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6"/>
  </bookViews>
  <sheets>
    <sheet name="InfoInicial" sheetId="1" r:id="rId1"/>
    <sheet name="E-Inv AF y Am" sheetId="2" r:id="rId2"/>
    <sheet name="Detalle Inv AF" sheetId="3" r:id="rId3"/>
    <sheet name="E-Costos" sheetId="4" r:id="rId4"/>
    <sheet name="Detalle costo" sheetId="5" r:id="rId5"/>
    <sheet name="E-InvAT" sheetId="6" r:id="rId6"/>
    <sheet name="Detalle Inv-AT" sheetId="7" r:id="rId7"/>
    <sheet name="E-Cal Inv." sheetId="8" r:id="rId8"/>
    <sheet name="E-IVA " sheetId="9" r:id="rId9"/>
    <sheet name="E-Form" sheetId="10" r:id="rId10"/>
    <sheet name="F-Cred" sheetId="11" r:id="rId11"/>
    <sheet name="F-CRes" sheetId="12" r:id="rId12"/>
    <sheet name="F-2 Estructura" sheetId="13" r:id="rId13"/>
    <sheet name="F-IVA" sheetId="14" r:id="rId14"/>
    <sheet name="F- CFyU" sheetId="15" r:id="rId15"/>
    <sheet name="F-Balance" sheetId="16" r:id="rId16"/>
    <sheet name="F- Form" sheetId="17" r:id="rId17"/>
  </sheets>
  <externalReferences>
    <externalReference r:id="rId20"/>
  </externalReferences>
  <definedNames>
    <definedName name="_xlnm.Print_Area" localSheetId="3">('E-Costos'!$A$3:$G$46,'E-Costos'!$A$49:$F$80,'E-Costos'!$A$83:$F$135)</definedName>
    <definedName name="_xlnm.Print_Area" localSheetId="14">'F- CFyU'!$A$3:$H$28</definedName>
    <definedName name="_xlnm.Print_Area" localSheetId="15">'F-Balance'!$A$3:$G$35</definedName>
    <definedName name="_xlnm.Print_Area" localSheetId="10">'F-Cred'!$A$1:$I$54</definedName>
    <definedName name="Excel_BuiltIn_Print_Area" localSheetId="14">('F- CFyU'!#REF!,'F- CFyU'!#REF!,'F- CFyU'!$A$3:$H$28)</definedName>
    <definedName name="Excel_BuiltIn_Print_Area" localSheetId="15">('F-Balance'!#REF!,'F-Balance'!#REF!,'F-Balance'!$A$3:$G$35)</definedName>
  </definedNames>
  <calcPr fullCalcOnLoad="1"/>
</workbook>
</file>

<file path=xl/sharedStrings.xml><?xml version="1.0" encoding="utf-8"?>
<sst xmlns="http://schemas.openxmlformats.org/spreadsheetml/2006/main" count="954" uniqueCount="636">
  <si>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</si>
  <si>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</si>
  <si>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</si>
  <si>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</si>
  <si>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</si>
  <si>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</si>
  <si>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</si>
  <si>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</si>
  <si>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</si>
  <si>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</rPr>
      <t>2. TODOS</t>
    </r>
    <r>
      <rPr>
        <sz val="10"/>
        <color indexed="9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</rPr>
      <t>FUENTE</t>
    </r>
    <r>
      <rPr>
        <sz val="10"/>
        <color indexed="9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</si>
  <si>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</si>
  <si>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</si>
  <si>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</si>
  <si>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</rPr>
      <t>3.</t>
    </r>
    <r>
      <rPr>
        <sz val="10"/>
        <color indexed="9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</si>
  <si>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</si>
  <si>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</si>
  <si>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</si>
  <si>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</si>
  <si>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</si>
  <si>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</si>
  <si>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</si>
  <si>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</si>
  <si>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</si>
  <si>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</si>
  <si>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</si>
  <si>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</si>
  <si>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</si>
  <si>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</si>
  <si>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</si>
  <si>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</si>
  <si>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</si>
  <si>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</si>
  <si>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</si>
  <si>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</si>
  <si>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</si>
  <si>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</si>
  <si>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</si>
  <si>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</si>
  <si>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</si>
  <si>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</si>
  <si>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</si>
  <si>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</si>
  <si>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</si>
  <si>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</si>
  <si>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</si>
  <si>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</si>
  <si>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</si>
  <si>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</si>
  <si>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Libertadores2015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</si>
  <si>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</si>
  <si>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</si>
  <si>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</si>
  <si>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</si>
  <si>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</si>
  <si>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</si>
  <si>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</si>
  <si>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</si>
  <si>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</si>
  <si>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</si>
  <si>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</si>
  <si>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</si>
  <si>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</si>
  <si>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</si>
  <si>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</si>
  <si>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</si>
  <si>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</si>
  <si>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</si>
  <si>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</si>
  <si>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</si>
  <si>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</si>
  <si>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</si>
  <si>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</si>
  <si>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</si>
  <si>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</si>
  <si>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</si>
  <si>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</si>
  <si>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</si>
  <si>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</si>
  <si>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</si>
  <si>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</si>
  <si>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</si>
  <si>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</si>
  <si>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</si>
  <si>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</si>
  <si>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</si>
  <si>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</si>
  <si>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</si>
  <si>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</si>
  <si>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</si>
  <si>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</si>
  <si>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</si>
  <si>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</si>
  <si>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</si>
  <si>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</si>
  <si>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</si>
  <si>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</si>
  <si>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</si>
  <si>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</si>
  <si>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</si>
  <si>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</si>
  <si>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</si>
  <si>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</si>
  <si>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</si>
  <si>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</si>
  <si>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</si>
  <si>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</si>
  <si>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</si>
  <si>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</si>
  <si>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</si>
  <si>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</si>
  <si>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</si>
  <si>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</si>
  <si>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</si>
  <si>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Personal indirecto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</si>
  <si>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</si>
  <si>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</si>
  <si>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</si>
  <si>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</si>
  <si>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</si>
  <si>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</si>
  <si>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</si>
  <si>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</si>
  <si>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</si>
  <si>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</si>
  <si>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</si>
  <si>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</si>
  <si>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</si>
  <si>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</si>
  <si>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</si>
  <si>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</si>
  <si>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</si>
  <si>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</si>
  <si>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</si>
  <si>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</si>
  <si>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</si>
  <si>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</si>
  <si>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</si>
  <si>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</si>
  <si>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</si>
  <si>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</si>
  <si>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</si>
  <si>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</si>
  <si>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</si>
  <si>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</si>
  <si>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</si>
  <si>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</si>
  <si>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</si>
  <si>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</si>
  <si>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</si>
  <si>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</si>
  <si>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</si>
  <si>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</si>
  <si>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</si>
  <si>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</si>
  <si>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</si>
  <si>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</si>
  <si>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</si>
  <si>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</si>
  <si>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</si>
  <si>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</si>
  <si>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</si>
  <si>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</si>
  <si>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</si>
  <si>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</si>
  <si>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</si>
  <si>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</si>
  <si>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</si>
  <si>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</si>
  <si>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</si>
  <si>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</si>
  <si>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</si>
  <si>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</si>
  <si>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</si>
  <si>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</si>
  <si>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</si>
  <si>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</si>
  <si>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</si>
  <si>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</si>
  <si>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</si>
  <si>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</si>
  <si>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</si>
  <si>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</si>
  <si>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</si>
  <si>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</si>
  <si>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</si>
  <si>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</si>
  <si>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</si>
  <si>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</si>
  <si>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</si>
  <si>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</si>
  <si>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</si>
  <si>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</si>
  <si>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</si>
  <si>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</si>
  <si>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</si>
  <si>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</si>
  <si>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</si>
  <si>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</si>
  <si>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</si>
  <si>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</si>
  <si>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</si>
  <si>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</si>
  <si>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</si>
  <si>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</si>
  <si>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</si>
  <si>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</si>
  <si>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</si>
  <si>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</si>
  <si>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</si>
  <si>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</si>
  <si>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</si>
  <si>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</si>
  <si>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</si>
  <si>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</si>
  <si>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</si>
  <si>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</si>
  <si>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</si>
  <si>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</si>
  <si>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</si>
  <si>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</si>
  <si>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</si>
  <si>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</si>
  <si>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</si>
  <si>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</si>
  <si>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</si>
  <si>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</si>
  <si>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</si>
  <si>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</si>
  <si>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</si>
  <si>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</si>
  <si>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</si>
  <si>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</si>
  <si>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</si>
  <si>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</si>
  <si>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</si>
  <si>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</si>
  <si>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</si>
  <si>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</si>
  <si>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</si>
  <si>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</si>
  <si>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</si>
  <si>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</si>
  <si>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</si>
  <si>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</si>
  <si>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</si>
  <si>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</si>
  <si>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</si>
  <si>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</si>
  <si>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</si>
  <si>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</si>
  <si>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</si>
  <si>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</si>
  <si>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</si>
  <si>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</si>
  <si>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</si>
  <si>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</si>
  <si>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</si>
  <si>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</si>
  <si>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</si>
  <si>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</si>
  <si>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</si>
  <si>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</si>
  <si>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</si>
  <si>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</si>
  <si>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</si>
  <si>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</si>
  <si>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</si>
  <si>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</si>
  <si>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</si>
  <si>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</si>
  <si>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</si>
  <si>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</si>
  <si>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</si>
  <si>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</si>
  <si>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</si>
  <si>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</si>
  <si>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</si>
  <si>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</si>
  <si>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</si>
  <si>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</si>
  <si>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</si>
  <si>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</si>
  <si>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</si>
  <si>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</si>
  <si>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</si>
  <si>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</si>
  <si>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</si>
  <si>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</si>
  <si>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</si>
  <si>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</si>
  <si>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</si>
  <si>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</si>
  <si>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</si>
  <si>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</si>
  <si>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</si>
  <si>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</si>
  <si>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</si>
  <si>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</si>
  <si>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</si>
  <si>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</si>
  <si>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</si>
  <si>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</si>
  <si>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</si>
  <si>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</si>
  <si>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</si>
  <si>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</si>
  <si>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</si>
  <si>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</si>
  <si>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</si>
  <si>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</si>
  <si>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</si>
  <si>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</si>
  <si>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</si>
  <si>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</si>
  <si>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</si>
  <si>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</si>
  <si>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</si>
  <si>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</si>
  <si>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</si>
  <si>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</si>
  <si>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</si>
  <si>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</si>
  <si>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</si>
  <si>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</si>
  <si>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</si>
  <si>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</si>
  <si>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</si>
  <si>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</si>
  <si>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</si>
  <si>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</si>
  <si>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</si>
  <si>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</si>
  <si>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</si>
  <si>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</si>
  <si>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</si>
  <si>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</si>
  <si>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</si>
  <si>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</si>
  <si>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</si>
  <si>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</si>
  <si>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</si>
  <si>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</si>
  <si>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</si>
  <si>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</si>
  <si>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</si>
  <si>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</si>
  <si>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</si>
  <si>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</si>
  <si>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</si>
  <si>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</si>
  <si>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</si>
  <si>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</si>
  <si>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</si>
  <si>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</si>
  <si>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</si>
  <si>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</si>
  <si>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</si>
  <si>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</si>
  <si>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</si>
  <si>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</si>
  <si>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</si>
  <si>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</si>
  <si>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</si>
  <si>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</si>
  <si>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</si>
  <si>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</si>
  <si>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</si>
  <si>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</si>
  <si>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</si>
  <si>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</si>
  <si>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</si>
  <si>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</si>
  <si>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</si>
  <si>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</si>
  <si>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</si>
  <si>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</si>
  <si>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</si>
  <si>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</si>
  <si>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</si>
  <si>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</si>
  <si>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</si>
  <si>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</si>
  <si>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</si>
  <si>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</si>
  <si>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</si>
  <si>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</si>
  <si>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</si>
  <si>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</si>
  <si>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</si>
  <si>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</si>
  <si>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</si>
  <si>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</si>
  <si>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</si>
  <si>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</si>
  <si>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</si>
  <si>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</si>
  <si>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</si>
  <si>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</si>
  <si>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</si>
  <si>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</si>
  <si>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</si>
  <si>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</si>
  <si>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SMARTAR</t>
  </si>
  <si>
    <t>Observaciones</t>
  </si>
  <si>
    <t>Terreno</t>
  </si>
  <si>
    <t>U$D/m2</t>
  </si>
  <si>
    <t>Investigación mercado inmobiliario de la zona</t>
  </si>
  <si>
    <t>Honorarios de JLC CONSTRUCTORA</t>
  </si>
  <si>
    <t>Costo de kit</t>
  </si>
  <si>
    <t xml:space="preserve">Edificio y Obras </t>
  </si>
  <si>
    <t>desperdicios kit anual</t>
  </si>
  <si>
    <t>USD/m2</t>
  </si>
  <si>
    <t>desperdicios mensuales kit</t>
  </si>
  <si>
    <t xml:space="preserve">desperdicios kit en puesta en marcha </t>
  </si>
  <si>
    <t>total en uSD</t>
  </si>
  <si>
    <t>gasto kit puesta en marcha</t>
  </si>
  <si>
    <t>total en pesos</t>
  </si>
  <si>
    <t>Gasto puesta en marcha</t>
  </si>
  <si>
    <t>Instalaciones Industriales</t>
  </si>
  <si>
    <t>Maquinas Operativas</t>
  </si>
  <si>
    <t>Hi Speed Mount</t>
  </si>
  <si>
    <t>importada</t>
  </si>
  <si>
    <t>Impresora</t>
  </si>
  <si>
    <t>Flexible Chip Mount</t>
  </si>
  <si>
    <t>Horno</t>
  </si>
  <si>
    <t>AOI Inspector</t>
  </si>
  <si>
    <t>Atornilladora neumatica</t>
  </si>
  <si>
    <t>nacional</t>
  </si>
  <si>
    <t>Transporte y Montaje de Máquinas</t>
  </si>
  <si>
    <t>Rodados</t>
  </si>
  <si>
    <t>Muebles y Útiles</t>
  </si>
  <si>
    <t>Investigación y estudios</t>
  </si>
  <si>
    <t>Total muebles e inmuebles</t>
  </si>
  <si>
    <t>Costo kit por material</t>
  </si>
  <si>
    <t>Costo MP kit</t>
  </si>
  <si>
    <t>Consumo MP año 1</t>
  </si>
  <si>
    <t>Consumo MP año 2 a n</t>
  </si>
  <si>
    <t>Gasto anual Mp año 1</t>
  </si>
  <si>
    <t>Gasto anual MP año 2-n</t>
  </si>
  <si>
    <t>año 1</t>
  </si>
  <si>
    <t>año 2-n</t>
  </si>
  <si>
    <t>MP en curso y SE</t>
  </si>
  <si>
    <t>costo exceso de mp en puesta en marcha</t>
  </si>
  <si>
    <t>año 0</t>
  </si>
  <si>
    <t>año 2 a n</t>
  </si>
  <si>
    <t>ventas</t>
  </si>
  <si>
    <t>Stock promedio de PT</t>
  </si>
  <si>
    <t xml:space="preserve">Produccion </t>
  </si>
  <si>
    <t>mercadería en curso y SE</t>
  </si>
  <si>
    <t>desperdicio no recuperable</t>
  </si>
  <si>
    <t>Consumo MP</t>
  </si>
  <si>
    <t>stock promedio de mp</t>
  </si>
  <si>
    <t>Compra Mp</t>
  </si>
  <si>
    <t>exceso en el consumo en puesta en marcha</t>
  </si>
  <si>
    <t>porcentaje de desperdicio real</t>
  </si>
  <si>
    <t>cantidad de desperdicio</t>
  </si>
  <si>
    <t>consumo de materia prima por producto terminado</t>
  </si>
  <si>
    <t>Exceso de mp debido a puesta en marcha</t>
  </si>
  <si>
    <t>mercaderia en C y SE destinada a producto elaborado</t>
  </si>
  <si>
    <t>incidencia de la mercaderia en proceso</t>
  </si>
  <si>
    <t>MOD</t>
  </si>
  <si>
    <t>Energia electrica</t>
  </si>
  <si>
    <t>Cantidad de operarios</t>
  </si>
  <si>
    <t>w/m2</t>
  </si>
  <si>
    <t>Tasa proceso produccion</t>
  </si>
  <si>
    <t>del inmueble</t>
  </si>
  <si>
    <t>horas activas anuales</t>
  </si>
  <si>
    <t>gastos de mantenimiento</t>
  </si>
  <si>
    <t>de bienes de uso (sin repuestos)</t>
  </si>
  <si>
    <t>Impuesto credito y debito</t>
  </si>
  <si>
    <t>costo de la hora</t>
  </si>
  <si>
    <t>gastos de repuestos</t>
  </si>
  <si>
    <t>de maquinaria</t>
  </si>
  <si>
    <t>potencia instalada W</t>
  </si>
  <si>
    <t xml:space="preserve">ambas corresponden a produccion en un </t>
  </si>
  <si>
    <t>CCSS</t>
  </si>
  <si>
    <t>produccion</t>
  </si>
  <si>
    <t>de gasto anual MP</t>
  </si>
  <si>
    <t>potencia instalada Kw</t>
  </si>
  <si>
    <t>Ingresos brutos</t>
  </si>
  <si>
    <t>rodados</t>
  </si>
  <si>
    <t>Costo neto hora</t>
  </si>
  <si>
    <t>personal</t>
  </si>
  <si>
    <t>de los gastos MOD y MOI</t>
  </si>
  <si>
    <t>consumo anual kwh</t>
  </si>
  <si>
    <t>el consumo anual se saca por el consumo</t>
  </si>
  <si>
    <t>año 2-5</t>
  </si>
  <si>
    <t>gasto anual año 2-5</t>
  </si>
  <si>
    <t>en el año 4 aumentan los gastos de mantenimiento y repuestos en</t>
  </si>
  <si>
    <t>$/KW</t>
  </si>
  <si>
    <t>de las maquinas, el comedor, las lamparas</t>
  </si>
  <si>
    <t>tasa municipal</t>
  </si>
  <si>
    <t>gasto especifico</t>
  </si>
  <si>
    <t>corresponden un total del 90% de los bienes de uso a produccion</t>
  </si>
  <si>
    <t>AÑO1=97%AÑO2</t>
  </si>
  <si>
    <t>$/Kwh hasta 300Kw</t>
  </si>
  <si>
    <t xml:space="preserve">los tubos fluorecentes, una heladera, 3 </t>
  </si>
  <si>
    <t>inmobiliario</t>
  </si>
  <si>
    <t>gasto anual año 1</t>
  </si>
  <si>
    <t>año 4-5</t>
  </si>
  <si>
    <t>$/kwh exceso</t>
  </si>
  <si>
    <t>computadoras,etc</t>
  </si>
  <si>
    <t>impuesto automotor</t>
  </si>
  <si>
    <t>gasto en producto terminado año1</t>
  </si>
  <si>
    <t>mantenimiento</t>
  </si>
  <si>
    <t>$/mes</t>
  </si>
  <si>
    <t>gasto total</t>
  </si>
  <si>
    <t>Gasto de MEC ySE</t>
  </si>
  <si>
    <t>repuesto</t>
  </si>
  <si>
    <t>el area de produccion es el 95% del consumo</t>
  </si>
  <si>
    <t>exceso de mod en puesta en marcha</t>
  </si>
  <si>
    <t>incremento en el gasto de mantenimiento</t>
  </si>
  <si>
    <t>en el año 1 se consume un 97% del año 2</t>
  </si>
  <si>
    <t>gasto en mep</t>
  </si>
  <si>
    <t>año 2 a 5</t>
  </si>
  <si>
    <t>Amortizacion</t>
  </si>
  <si>
    <t>le corresponde el 90% de las amortizaciones a Produccion</t>
  </si>
  <si>
    <t>gasto total año 4-5</t>
  </si>
  <si>
    <t>consumo mensual</t>
  </si>
  <si>
    <t>consumo por Kw instalado</t>
  </si>
  <si>
    <t>alicuota anual</t>
  </si>
  <si>
    <t>Amortizacion imputada a MEC y SE</t>
  </si>
  <si>
    <t>gasto en MEP</t>
  </si>
  <si>
    <t>gasto periodo de vacaciones</t>
  </si>
  <si>
    <t>imputacion especifica</t>
  </si>
  <si>
    <t>año 2-3</t>
  </si>
  <si>
    <t>gasto fijo mensual</t>
  </si>
  <si>
    <t xml:space="preserve">Imprevistos </t>
  </si>
  <si>
    <t>año 1-3</t>
  </si>
  <si>
    <t>año 2 y 3</t>
  </si>
  <si>
    <t>consumo variable mensual</t>
  </si>
  <si>
    <t>año 4 y 5</t>
  </si>
  <si>
    <t>gasto variable</t>
  </si>
  <si>
    <t>alicuota repuestos</t>
  </si>
  <si>
    <t>gasto mensual total</t>
  </si>
  <si>
    <t>alicuota total</t>
  </si>
  <si>
    <t>gasto anual total</t>
  </si>
  <si>
    <t>imputacion especifica año 2/3</t>
  </si>
  <si>
    <t>gasto anual</t>
  </si>
  <si>
    <t>imputacion especifica año 1</t>
  </si>
  <si>
    <t>gasto en productos terminados</t>
  </si>
  <si>
    <t>gasto de la MEP</t>
  </si>
  <si>
    <t>gasto en mercaderia en proceso</t>
  </si>
  <si>
    <t>MOI</t>
  </si>
  <si>
    <t>exceso de gasto de materiales en la puesta en marcha</t>
  </si>
  <si>
    <t>el gasto del año 1 corresponde a un 95% del año 2-5</t>
  </si>
  <si>
    <t>Sueldo del jefe de prod Bruto</t>
  </si>
  <si>
    <t>gasto constante</t>
  </si>
  <si>
    <t>Sueldo del jefe de prod neto</t>
  </si>
  <si>
    <t>se gasta en el año 1 el 97% del año dos</t>
  </si>
  <si>
    <t>gasto especifico constante</t>
  </si>
  <si>
    <t>Sueldo del Encargado de mantenimiento bruto</t>
  </si>
  <si>
    <t>diesel (l)</t>
  </si>
  <si>
    <t>gasto de produccion fijo</t>
  </si>
  <si>
    <t>Sueldo del Encargado de mantenimiento neto</t>
  </si>
  <si>
    <t>$/litros</t>
  </si>
  <si>
    <t>gasto de mep fijo</t>
  </si>
  <si>
    <t>Gasto anual año 2-5</t>
  </si>
  <si>
    <t>gasto total año 2-5</t>
  </si>
  <si>
    <t>gasto especifico variable</t>
  </si>
  <si>
    <t>gasto especifico año 2-5</t>
  </si>
  <si>
    <t>gasto total año 1</t>
  </si>
  <si>
    <t>gasto de produccion variable</t>
  </si>
  <si>
    <t>gasto de MEP variable</t>
  </si>
  <si>
    <t>Gasto anual año 1</t>
  </si>
  <si>
    <t>gasto especifico año 1</t>
  </si>
  <si>
    <t>exceso de gasto por puesta en marcha</t>
  </si>
  <si>
    <t>gasto en mercaderia en proceso año 1</t>
  </si>
  <si>
    <t>gasto de la MEP año 1</t>
  </si>
  <si>
    <t>gasto en mercaderia en proceso año 2-5</t>
  </si>
  <si>
    <t>gasto por poduccion</t>
  </si>
  <si>
    <t>exceso de gasto de combustibles en la puesta en marcha</t>
  </si>
  <si>
    <t>GASTOS ADMINISTRACIÓN</t>
  </si>
  <si>
    <t>electricidad</t>
  </si>
  <si>
    <t>consumo Admin</t>
  </si>
  <si>
    <t>sueldo jefe neto</t>
  </si>
  <si>
    <t>consumo anual Kwh</t>
  </si>
  <si>
    <t>sueldo jefe bruto</t>
  </si>
  <si>
    <t xml:space="preserve"> sueldo empleado neto</t>
  </si>
  <si>
    <t>el gasto del año 1 es el 0,95 de año 2</t>
  </si>
  <si>
    <t>sueldo empleado bruto</t>
  </si>
  <si>
    <t>gasto año 1</t>
  </si>
  <si>
    <t>impuestos y tasas</t>
  </si>
  <si>
    <t>amortizacion</t>
  </si>
  <si>
    <t>el 5% corresponde a Admin</t>
  </si>
  <si>
    <t>el 5% de los impuestos inmobiliarios y la tasa municipal corresponde a Admin</t>
  </si>
  <si>
    <t>impuesto inmobiliario</t>
  </si>
  <si>
    <t>impuestos sello 0,04% ventas en reg</t>
  </si>
  <si>
    <t>impuesto a los debitos y creditos bancarios</t>
  </si>
  <si>
    <t>el 5% corresponde a Admin para mantenimiento</t>
  </si>
  <si>
    <t>1,2% de las ventas</t>
  </si>
  <si>
    <t>Año1-5</t>
  </si>
  <si>
    <t>gastos totales</t>
  </si>
  <si>
    <t>papeleria (0,1% de los costos de produccion)</t>
  </si>
  <si>
    <t>articulos de tocador ( 0,5% de los sueldos)</t>
  </si>
  <si>
    <t>Gastos Comercializacion</t>
  </si>
  <si>
    <t>Gasto anual</t>
  </si>
  <si>
    <t xml:space="preserve"> </t>
  </si>
  <si>
    <t>el 5% de los impuestos inmobiliarios y la tasa municipal corresponde a Comer</t>
  </si>
  <si>
    <t>corresponde el 5%</t>
  </si>
  <si>
    <t>son iguales a las de admin</t>
  </si>
  <si>
    <t>impuesto sobre ingresos brutos</t>
  </si>
  <si>
    <t>impuesto sobre ingresos brutos año 2-5</t>
  </si>
  <si>
    <t>el 5% corresponde a Comer para mantenimiento</t>
  </si>
  <si>
    <t>impuesto sobre ingresos brutos año 1</t>
  </si>
  <si>
    <t>Imprevistos 2%</t>
  </si>
  <si>
    <t>Ventas</t>
  </si>
  <si>
    <t>Disponibilidad caja y bancos</t>
  </si>
  <si>
    <t>Stock de Materiales</t>
  </si>
  <si>
    <t>Año 4-5</t>
  </si>
  <si>
    <t>Producciòn</t>
  </si>
  <si>
    <t>Administraciòn</t>
  </si>
  <si>
    <t>Comercializacion</t>
  </si>
  <si>
    <t>Año 1-3</t>
  </si>
  <si>
    <t>año 2</t>
  </si>
  <si>
    <t>año 3</t>
  </si>
  <si>
    <t>año 4</t>
  </si>
  <si>
    <t>año 5</t>
  </si>
  <si>
    <t>Mercaderia en proceso que paga IVA</t>
  </si>
  <si>
    <t>variacion de mep</t>
  </si>
  <si>
    <t>variacion de stock mp</t>
  </si>
  <si>
    <t>variacion de stock de materiales</t>
  </si>
  <si>
    <t>Stock de elaborado</t>
  </si>
  <si>
    <t xml:space="preserve">año1 </t>
  </si>
  <si>
    <t>materiales</t>
  </si>
  <si>
    <t>energia electrica</t>
  </si>
  <si>
    <t>combustibles</t>
  </si>
  <si>
    <t>total</t>
  </si>
  <si>
    <t>variacion</t>
  </si>
  <si>
    <t>Cantidad</t>
  </si>
  <si>
    <t>Gastos Fijos</t>
  </si>
  <si>
    <t>Gastos variables</t>
  </si>
  <si>
    <t>Gastos Totales</t>
  </si>
  <si>
    <t>Ingreso</t>
  </si>
  <si>
    <t>Gasto variable u año 1</t>
  </si>
  <si>
    <t>Gasto variable u año 5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</si>
</sst>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_(* #,##0.000_);_(* \(#,##0.000\);_(* \-??_);_(@_)"/>
    <numFmt numFmtId="171" formatCode="&quot;$&quot;\ #,##0.00"/>
    <numFmt numFmtId="172" formatCode="0.0%"/>
    <numFmt numFmtId="173" formatCode="_ * #,##0.00_ ;_ * \-#,##0.00_ ;_ * &quot;-&quot;??_ ;_ @_ "/>
    <numFmt numFmtId="174" formatCode="0.0000"/>
  </numFmts>
  <fonts count="6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2"/>
      <name val="Symbol"/>
      <family val="1"/>
    </font>
    <font>
      <sz val="10"/>
      <color indexed="8"/>
      <name val="Calibri"/>
      <family val="2"/>
    </font>
    <font>
      <sz val="9"/>
      <color indexed="59"/>
      <name val="Calibri"/>
      <family val="2"/>
    </font>
    <font>
      <sz val="14"/>
      <color indexed="5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6100"/>
      <name val="Calibri"/>
      <family val="2"/>
    </font>
    <font>
      <sz val="12"/>
      <color rgb="FF006100"/>
      <name val="Calibri"/>
      <family val="2"/>
    </font>
    <font>
      <sz val="11"/>
      <color rgb="FF21212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double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double">
        <color indexed="59"/>
      </top>
      <bottom style="hair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 style="hair">
        <color indexed="59"/>
      </bottom>
    </border>
    <border>
      <left style="double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 style="hair">
        <color indexed="59"/>
      </top>
      <bottom>
        <color indexed="63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double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double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 style="double">
        <color indexed="59"/>
      </right>
      <top style="hair">
        <color indexed="59"/>
      </top>
      <bottom style="hair">
        <color indexed="59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double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double">
        <color indexed="59"/>
      </right>
      <top>
        <color indexed="63"/>
      </top>
      <bottom>
        <color indexed="63"/>
      </bottom>
    </border>
    <border>
      <left style="double">
        <color indexed="59"/>
      </left>
      <right style="thin">
        <color indexed="59"/>
      </right>
      <top>
        <color indexed="63"/>
      </top>
      <bottom style="double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double">
        <color indexed="59"/>
      </bottom>
    </border>
    <border>
      <left style="thin">
        <color indexed="59"/>
      </left>
      <right style="double">
        <color indexed="59"/>
      </right>
      <top>
        <color indexed="63"/>
      </top>
      <bottom style="double">
        <color indexed="59"/>
      </bottom>
    </border>
    <border>
      <left style="double">
        <color indexed="59"/>
      </left>
      <right>
        <color indexed="63"/>
      </right>
      <top>
        <color indexed="63"/>
      </top>
      <bottom style="double">
        <color indexed="59"/>
      </bottom>
    </border>
    <border>
      <left style="thin">
        <color indexed="59"/>
      </left>
      <right>
        <color indexed="63"/>
      </right>
      <top style="double">
        <color indexed="59"/>
      </top>
      <bottom style="hair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9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6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1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52" fillId="25" borderId="6" applyNumberForma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48" fillId="0" borderId="9" applyNumberFormat="0" applyFill="0" applyAlignment="0" applyProtection="0"/>
    <xf numFmtId="0" fontId="58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 horizontal="right"/>
    </xf>
    <xf numFmtId="9" fontId="13" fillId="35" borderId="11" xfId="65" applyFont="1" applyFill="1" applyBorder="1" applyAlignment="1" applyProtection="1">
      <alignment/>
      <protection/>
    </xf>
    <xf numFmtId="10" fontId="13" fillId="35" borderId="11" xfId="65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13" fillId="35" borderId="11" xfId="0" applyFont="1" applyFill="1" applyBorder="1" applyAlignment="1">
      <alignment horizontal="center"/>
    </xf>
    <xf numFmtId="164" fontId="13" fillId="35" borderId="11" xfId="0" applyNumberFormat="1" applyFont="1" applyFill="1" applyBorder="1" applyAlignment="1">
      <alignment horizontal="center"/>
    </xf>
    <xf numFmtId="0" fontId="0" fillId="42" borderId="12" xfId="0" applyFill="1" applyBorder="1" applyAlignment="1" applyProtection="1">
      <alignment/>
      <protection locked="0"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1" xfId="0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0" fillId="42" borderId="15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42" borderId="16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5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3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ont="1" applyFill="1" applyBorder="1" applyAlignment="1">
      <alignment/>
    </xf>
    <xf numFmtId="165" fontId="0" fillId="0" borderId="26" xfId="59" applyFont="1" applyFill="1" applyBorder="1" applyAlignment="1" applyProtection="1">
      <alignment/>
      <protection locked="0"/>
    </xf>
    <xf numFmtId="0" fontId="0" fillId="0" borderId="25" xfId="0" applyFont="1" applyFill="1" applyBorder="1" applyAlignment="1">
      <alignment horizontal="left"/>
    </xf>
    <xf numFmtId="165" fontId="0" fillId="0" borderId="26" xfId="59" applyFont="1" applyFill="1" applyBorder="1" applyAlignment="1" applyProtection="1">
      <alignment/>
      <protection/>
    </xf>
    <xf numFmtId="0" fontId="13" fillId="0" borderId="20" xfId="0" applyFont="1" applyFill="1" applyBorder="1" applyAlignment="1">
      <alignment horizontal="left"/>
    </xf>
    <xf numFmtId="165" fontId="0" fillId="0" borderId="21" xfId="59" applyFont="1" applyFill="1" applyBorder="1" applyAlignment="1" applyProtection="1">
      <alignment/>
      <protection locked="0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65" fontId="0" fillId="0" borderId="18" xfId="59" applyFont="1" applyFill="1" applyBorder="1" applyAlignment="1" applyProtection="1">
      <alignment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13" fillId="0" borderId="23" xfId="0" applyFont="1" applyFill="1" applyBorder="1" applyAlignment="1">
      <alignment/>
    </xf>
    <xf numFmtId="165" fontId="0" fillId="0" borderId="24" xfId="59" applyFont="1" applyFill="1" applyBorder="1" applyAlignment="1" applyProtection="1">
      <alignment/>
      <protection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/>
    </xf>
    <xf numFmtId="165" fontId="0" fillId="0" borderId="28" xfId="59" applyFont="1" applyFill="1" applyBorder="1" applyAlignment="1" applyProtection="1">
      <alignment/>
      <protection locked="0"/>
    </xf>
    <xf numFmtId="0" fontId="13" fillId="0" borderId="25" xfId="0" applyFont="1" applyFill="1" applyBorder="1" applyAlignment="1">
      <alignment horizontal="left"/>
    </xf>
    <xf numFmtId="166" fontId="0" fillId="0" borderId="26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/>
    </xf>
    <xf numFmtId="166" fontId="0" fillId="0" borderId="28" xfId="0" applyNumberFormat="1" applyFill="1" applyBorder="1" applyAlignment="1">
      <alignment/>
    </xf>
    <xf numFmtId="166" fontId="13" fillId="0" borderId="26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66" fontId="0" fillId="0" borderId="0" xfId="0" applyNumberFormat="1" applyFill="1" applyAlignment="1">
      <alignment/>
    </xf>
    <xf numFmtId="165" fontId="0" fillId="0" borderId="22" xfId="59" applyFont="1" applyFill="1" applyBorder="1" applyAlignment="1" applyProtection="1">
      <alignment/>
      <protection locked="0"/>
    </xf>
    <xf numFmtId="166" fontId="13" fillId="0" borderId="0" xfId="0" applyNumberFormat="1" applyFont="1" applyFill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165" fontId="0" fillId="0" borderId="24" xfId="59" applyFont="1" applyFill="1" applyBorder="1" applyAlignment="1" applyProtection="1">
      <alignment horizontal="center"/>
      <protection locked="0"/>
    </xf>
    <xf numFmtId="165" fontId="0" fillId="0" borderId="27" xfId="59" applyFont="1" applyFill="1" applyBorder="1" applyAlignment="1" applyProtection="1">
      <alignment horizontal="center"/>
      <protection locked="0"/>
    </xf>
    <xf numFmtId="165" fontId="0" fillId="0" borderId="26" xfId="59" applyFont="1" applyFill="1" applyBorder="1" applyAlignment="1" applyProtection="1">
      <alignment horizontal="center"/>
      <protection locked="0"/>
    </xf>
    <xf numFmtId="165" fontId="0" fillId="0" borderId="28" xfId="59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>
      <alignment/>
    </xf>
    <xf numFmtId="166" fontId="0" fillId="0" borderId="33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/>
    </xf>
    <xf numFmtId="0" fontId="13" fillId="0" borderId="32" xfId="0" applyFont="1" applyFill="1" applyBorder="1" applyAlignment="1">
      <alignment/>
    </xf>
    <xf numFmtId="165" fontId="0" fillId="0" borderId="21" xfId="59" applyFont="1" applyFill="1" applyBorder="1" applyAlignment="1" applyProtection="1">
      <alignment horizontal="center"/>
      <protection locked="0"/>
    </xf>
    <xf numFmtId="165" fontId="0" fillId="0" borderId="22" xfId="59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67" fontId="0" fillId="0" borderId="0" xfId="0" applyNumberFormat="1" applyFill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7" fontId="13" fillId="0" borderId="19" xfId="0" applyNumberFormat="1" applyFont="1" applyFill="1" applyBorder="1" applyAlignment="1">
      <alignment horizontal="center"/>
    </xf>
    <xf numFmtId="165" fontId="0" fillId="0" borderId="33" xfId="59" applyFont="1" applyFill="1" applyBorder="1" applyAlignment="1" applyProtection="1">
      <alignment horizontal="center"/>
      <protection locked="0"/>
    </xf>
    <xf numFmtId="165" fontId="0" fillId="0" borderId="34" xfId="59" applyFont="1" applyFill="1" applyBorder="1" applyAlignment="1" applyProtection="1">
      <alignment horizontal="center"/>
      <protection locked="0"/>
    </xf>
    <xf numFmtId="9" fontId="0" fillId="0" borderId="33" xfId="65" applyFont="1" applyFill="1" applyBorder="1" applyAlignment="1" applyProtection="1">
      <alignment horizontal="center"/>
      <protection locked="0"/>
    </xf>
    <xf numFmtId="9" fontId="0" fillId="0" borderId="34" xfId="65" applyFont="1" applyFill="1" applyBorder="1" applyAlignment="1" applyProtection="1">
      <alignment horizontal="center"/>
      <protection locked="0"/>
    </xf>
    <xf numFmtId="9" fontId="0" fillId="0" borderId="21" xfId="65" applyFont="1" applyFill="1" applyBorder="1" applyAlignment="1" applyProtection="1">
      <alignment horizontal="center"/>
      <protection locked="0"/>
    </xf>
    <xf numFmtId="9" fontId="0" fillId="0" borderId="22" xfId="65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>
      <alignment horizontal="center"/>
    </xf>
    <xf numFmtId="165" fontId="0" fillId="0" borderId="18" xfId="59" applyFont="1" applyFill="1" applyBorder="1" applyAlignment="1" applyProtection="1">
      <alignment horizontal="center"/>
      <protection locked="0"/>
    </xf>
    <xf numFmtId="165" fontId="0" fillId="0" borderId="19" xfId="59" applyFont="1" applyFill="1" applyBorder="1" applyAlignment="1" applyProtection="1">
      <alignment horizontal="center"/>
      <protection locked="0"/>
    </xf>
    <xf numFmtId="165" fontId="0" fillId="0" borderId="26" xfId="59" applyFont="1" applyFill="1" applyBorder="1" applyAlignment="1" applyProtection="1">
      <alignment horizontal="center"/>
      <protection/>
    </xf>
    <xf numFmtId="165" fontId="0" fillId="0" borderId="28" xfId="59" applyFont="1" applyFill="1" applyBorder="1" applyAlignment="1" applyProtection="1">
      <alignment horizontal="center"/>
      <protection/>
    </xf>
    <xf numFmtId="9" fontId="0" fillId="0" borderId="26" xfId="65" applyFont="1" applyFill="1" applyBorder="1" applyAlignment="1" applyProtection="1">
      <alignment horizontal="center"/>
      <protection locked="0"/>
    </xf>
    <xf numFmtId="9" fontId="0" fillId="0" borderId="28" xfId="65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168" fontId="0" fillId="0" borderId="26" xfId="57" applyFont="1" applyFill="1" applyBorder="1" applyAlignment="1" applyProtection="1">
      <alignment horizontal="center"/>
      <protection locked="0"/>
    </xf>
    <xf numFmtId="168" fontId="0" fillId="0" borderId="28" xfId="57" applyFont="1" applyFill="1" applyBorder="1" applyAlignment="1" applyProtection="1">
      <alignment horizontal="center"/>
      <protection locked="0"/>
    </xf>
    <xf numFmtId="165" fontId="13" fillId="0" borderId="26" xfId="59" applyFont="1" applyFill="1" applyBorder="1" applyAlignment="1" applyProtection="1">
      <alignment horizontal="center"/>
      <protection locked="0"/>
    </xf>
    <xf numFmtId="165" fontId="13" fillId="0" borderId="28" xfId="59" applyFont="1" applyFill="1" applyBorder="1" applyAlignment="1" applyProtection="1">
      <alignment horizontal="center"/>
      <protection locked="0"/>
    </xf>
    <xf numFmtId="165" fontId="13" fillId="0" borderId="26" xfId="59" applyFont="1" applyFill="1" applyBorder="1" applyAlignment="1" applyProtection="1">
      <alignment horizontal="center"/>
      <protection/>
    </xf>
    <xf numFmtId="165" fontId="13" fillId="0" borderId="28" xfId="59" applyFont="1" applyFill="1" applyBorder="1" applyAlignment="1" applyProtection="1">
      <alignment horizontal="center"/>
      <protection/>
    </xf>
    <xf numFmtId="9" fontId="0" fillId="0" borderId="26" xfId="65" applyFont="1" applyFill="1" applyBorder="1" applyAlignment="1" applyProtection="1">
      <alignment/>
      <protection locked="0"/>
    </xf>
    <xf numFmtId="9" fontId="0" fillId="0" borderId="28" xfId="65" applyFont="1" applyFill="1" applyBorder="1" applyAlignment="1" applyProtection="1">
      <alignment/>
      <protection locked="0"/>
    </xf>
    <xf numFmtId="9" fontId="0" fillId="0" borderId="26" xfId="65" applyFont="1" applyFill="1" applyBorder="1" applyAlignment="1" applyProtection="1">
      <alignment/>
      <protection/>
    </xf>
    <xf numFmtId="9" fontId="0" fillId="0" borderId="28" xfId="65" applyFont="1" applyFill="1" applyBorder="1" applyAlignment="1" applyProtection="1">
      <alignment/>
      <protection/>
    </xf>
    <xf numFmtId="165" fontId="0" fillId="0" borderId="28" xfId="59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35" xfId="0" applyFont="1" applyFill="1" applyBorder="1" applyAlignment="1">
      <alignment/>
    </xf>
    <xf numFmtId="165" fontId="0" fillId="0" borderId="24" xfId="59" applyFont="1" applyFill="1" applyBorder="1" applyAlignment="1" applyProtection="1">
      <alignment horizontal="center"/>
      <protection/>
    </xf>
    <xf numFmtId="165" fontId="0" fillId="0" borderId="27" xfId="59" applyFont="1" applyFill="1" applyBorder="1" applyAlignment="1" applyProtection="1">
      <alignment horizontal="center"/>
      <protection/>
    </xf>
    <xf numFmtId="0" fontId="0" fillId="0" borderId="35" xfId="0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21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/>
    </xf>
    <xf numFmtId="165" fontId="0" fillId="0" borderId="38" xfId="59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>
      <alignment/>
    </xf>
    <xf numFmtId="165" fontId="0" fillId="0" borderId="39" xfId="59" applyFont="1" applyFill="1" applyBorder="1" applyAlignment="1" applyProtection="1">
      <alignment horizontal="center"/>
      <protection locked="0"/>
    </xf>
    <xf numFmtId="165" fontId="0" fillId="0" borderId="39" xfId="59" applyFont="1" applyFill="1" applyBorder="1" applyAlignment="1" applyProtection="1">
      <alignment horizontal="center"/>
      <protection/>
    </xf>
    <xf numFmtId="165" fontId="0" fillId="0" borderId="37" xfId="59" applyFont="1" applyFill="1" applyBorder="1" applyAlignment="1" applyProtection="1">
      <alignment horizontal="center"/>
      <protection locked="0"/>
    </xf>
    <xf numFmtId="0" fontId="15" fillId="0" borderId="29" xfId="0" applyFont="1" applyFill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42" xfId="0" applyFont="1" applyFill="1" applyBorder="1" applyAlignment="1">
      <alignment/>
    </xf>
    <xf numFmtId="165" fontId="0" fillId="0" borderId="43" xfId="59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>
      <alignment/>
    </xf>
    <xf numFmtId="165" fontId="0" fillId="0" borderId="45" xfId="59" applyFont="1" applyFill="1" applyBorder="1" applyAlignment="1" applyProtection="1">
      <alignment horizontal="center"/>
      <protection locked="0"/>
    </xf>
    <xf numFmtId="0" fontId="13" fillId="0" borderId="44" xfId="0" applyFont="1" applyFill="1" applyBorder="1" applyAlignment="1">
      <alignment/>
    </xf>
    <xf numFmtId="165" fontId="0" fillId="0" borderId="45" xfId="59" applyFont="1" applyFill="1" applyBorder="1" applyAlignment="1" applyProtection="1">
      <alignment horizontal="center"/>
      <protection/>
    </xf>
    <xf numFmtId="0" fontId="13" fillId="0" borderId="44" xfId="0" applyFont="1" applyFill="1" applyBorder="1" applyAlignment="1">
      <alignment horizontal="left"/>
    </xf>
    <xf numFmtId="0" fontId="13" fillId="0" borderId="46" xfId="0" applyFont="1" applyFill="1" applyBorder="1" applyAlignment="1">
      <alignment/>
    </xf>
    <xf numFmtId="165" fontId="0" fillId="0" borderId="47" xfId="59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center"/>
    </xf>
    <xf numFmtId="165" fontId="0" fillId="0" borderId="43" xfId="59" applyFont="1" applyFill="1" applyBorder="1" applyAlignment="1" applyProtection="1">
      <alignment horizontal="center"/>
      <protection locked="0"/>
    </xf>
    <xf numFmtId="165" fontId="0" fillId="0" borderId="38" xfId="59" applyFont="1" applyFill="1" applyBorder="1" applyAlignment="1" applyProtection="1">
      <alignment horizontal="center"/>
      <protection locked="0"/>
    </xf>
    <xf numFmtId="0" fontId="13" fillId="0" borderId="44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11" xfId="59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9" fontId="0" fillId="0" borderId="11" xfId="6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4" fillId="43" borderId="48" xfId="0" applyFont="1" applyFill="1" applyBorder="1" applyAlignment="1" applyProtection="1">
      <alignment/>
      <protection/>
    </xf>
    <xf numFmtId="0" fontId="0" fillId="0" borderId="48" xfId="0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15" fillId="0" borderId="17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165" fontId="13" fillId="0" borderId="21" xfId="59" applyFont="1" applyFill="1" applyBorder="1" applyAlignment="1" applyProtection="1">
      <alignment horizontal="center"/>
      <protection locked="0"/>
    </xf>
    <xf numFmtId="9" fontId="13" fillId="0" borderId="21" xfId="65" applyFont="1" applyFill="1" applyBorder="1" applyAlignment="1" applyProtection="1">
      <alignment horizontal="center"/>
      <protection locked="0"/>
    </xf>
    <xf numFmtId="9" fontId="13" fillId="0" borderId="22" xfId="65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>
      <alignment horizontal="center"/>
    </xf>
    <xf numFmtId="0" fontId="15" fillId="0" borderId="49" xfId="0" applyFont="1" applyFill="1" applyBorder="1" applyAlignment="1">
      <alignment horizontal="left"/>
    </xf>
    <xf numFmtId="0" fontId="15" fillId="0" borderId="50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left"/>
    </xf>
    <xf numFmtId="0" fontId="13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169" fontId="0" fillId="0" borderId="17" xfId="0" applyNumberFormat="1" applyFont="1" applyFill="1" applyBorder="1" applyAlignment="1" applyProtection="1">
      <alignment/>
      <protection locked="0"/>
    </xf>
    <xf numFmtId="165" fontId="0" fillId="0" borderId="18" xfId="59" applyFont="1" applyFill="1" applyBorder="1" applyAlignment="1" applyProtection="1">
      <alignment/>
      <protection locked="0"/>
    </xf>
    <xf numFmtId="9" fontId="0" fillId="0" borderId="18" xfId="65" applyFont="1" applyFill="1" applyBorder="1" applyAlignment="1" applyProtection="1">
      <alignment/>
      <protection locked="0"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9" fontId="0" fillId="0" borderId="21" xfId="65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right"/>
    </xf>
    <xf numFmtId="165" fontId="13" fillId="0" borderId="0" xfId="59" applyFont="1" applyFill="1" applyBorder="1" applyAlignment="1" applyProtection="1">
      <alignment horizontal="center"/>
      <protection/>
    </xf>
    <xf numFmtId="165" fontId="13" fillId="0" borderId="11" xfId="59" applyFont="1" applyFill="1" applyBorder="1" applyAlignment="1" applyProtection="1">
      <alignment horizontal="center"/>
      <protection locked="0"/>
    </xf>
    <xf numFmtId="165" fontId="13" fillId="0" borderId="0" xfId="59" applyFont="1" applyFill="1" applyBorder="1" applyAlignment="1" applyProtection="1">
      <alignment/>
      <protection/>
    </xf>
    <xf numFmtId="9" fontId="0" fillId="0" borderId="0" xfId="65" applyFont="1" applyFill="1" applyBorder="1" applyAlignment="1" applyProtection="1">
      <alignment/>
      <protection/>
    </xf>
    <xf numFmtId="169" fontId="0" fillId="0" borderId="25" xfId="0" applyNumberFormat="1" applyFont="1" applyFill="1" applyBorder="1" applyAlignment="1" applyProtection="1">
      <alignment horizontal="left"/>
      <protection locked="0"/>
    </xf>
    <xf numFmtId="165" fontId="13" fillId="0" borderId="21" xfId="59" applyFont="1" applyFill="1" applyBorder="1" applyAlignment="1" applyProtection="1">
      <alignment/>
      <protection/>
    </xf>
    <xf numFmtId="9" fontId="13" fillId="0" borderId="21" xfId="65" applyFont="1" applyFill="1" applyBorder="1" applyAlignment="1" applyProtection="1">
      <alignment/>
      <protection/>
    </xf>
    <xf numFmtId="165" fontId="13" fillId="0" borderId="22" xfId="59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15" fillId="0" borderId="29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3" fillId="0" borderId="36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0" fillId="0" borderId="58" xfId="0" applyFill="1" applyBorder="1" applyAlignment="1" applyProtection="1">
      <alignment/>
      <protection/>
    </xf>
    <xf numFmtId="165" fontId="13" fillId="0" borderId="27" xfId="59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 horizontal="left"/>
      <protection/>
    </xf>
    <xf numFmtId="0" fontId="13" fillId="0" borderId="2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40" xfId="0" applyFont="1" applyFill="1" applyBorder="1" applyAlignment="1" applyProtection="1">
      <alignment horizontal="left"/>
      <protection/>
    </xf>
    <xf numFmtId="0" fontId="15" fillId="0" borderId="35" xfId="0" applyFont="1" applyFill="1" applyBorder="1" applyAlignment="1" applyProtection="1">
      <alignment horizontal="center"/>
      <protection/>
    </xf>
    <xf numFmtId="0" fontId="15" fillId="0" borderId="41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 wrapText="1"/>
      <protection/>
    </xf>
    <xf numFmtId="0" fontId="13" fillId="0" borderId="42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13" fillId="0" borderId="44" xfId="0" applyFont="1" applyFill="1" applyBorder="1" applyAlignment="1" applyProtection="1">
      <alignment/>
      <protection/>
    </xf>
    <xf numFmtId="0" fontId="13" fillId="0" borderId="44" xfId="0" applyFont="1" applyFill="1" applyBorder="1" applyAlignment="1" applyProtection="1">
      <alignment horizontal="left"/>
      <protection/>
    </xf>
    <xf numFmtId="0" fontId="13" fillId="0" borderId="4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5" fillId="0" borderId="18" xfId="0" applyFont="1" applyFill="1" applyBorder="1" applyAlignment="1" applyProtection="1">
      <alignment horizontal="center"/>
      <protection/>
    </xf>
    <xf numFmtId="0" fontId="15" fillId="0" borderId="59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168" fontId="0" fillId="0" borderId="39" xfId="57" applyFont="1" applyFill="1" applyBorder="1" applyAlignment="1" applyProtection="1">
      <alignment horizontal="center"/>
      <protection locked="0"/>
    </xf>
    <xf numFmtId="168" fontId="0" fillId="0" borderId="26" xfId="57" applyFont="1" applyFill="1" applyBorder="1" applyAlignment="1" applyProtection="1">
      <alignment/>
      <protection locked="0"/>
    </xf>
    <xf numFmtId="168" fontId="0" fillId="0" borderId="39" xfId="57" applyFont="1" applyFill="1" applyBorder="1" applyAlignment="1" applyProtection="1">
      <alignment/>
      <protection locked="0"/>
    </xf>
    <xf numFmtId="168" fontId="0" fillId="0" borderId="28" xfId="57" applyFont="1" applyFill="1" applyBorder="1" applyAlignment="1" applyProtection="1">
      <alignment/>
      <protection locked="0"/>
    </xf>
    <xf numFmtId="165" fontId="13" fillId="0" borderId="39" xfId="59" applyFont="1" applyFill="1" applyBorder="1" applyAlignment="1" applyProtection="1">
      <alignment horizontal="center"/>
      <protection locked="0"/>
    </xf>
    <xf numFmtId="165" fontId="0" fillId="0" borderId="37" xfId="59" applyFon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/>
      <protection/>
    </xf>
    <xf numFmtId="168" fontId="0" fillId="0" borderId="18" xfId="57" applyFont="1" applyFill="1" applyBorder="1" applyAlignment="1" applyProtection="1">
      <alignment horizontal="center"/>
      <protection locked="0"/>
    </xf>
    <xf numFmtId="168" fontId="0" fillId="0" borderId="19" xfId="57" applyFont="1" applyFill="1" applyBorder="1" applyAlignment="1" applyProtection="1">
      <alignment horizontal="center"/>
      <protection locked="0"/>
    </xf>
    <xf numFmtId="168" fontId="0" fillId="0" borderId="26" xfId="57" applyFont="1" applyFill="1" applyBorder="1" applyAlignment="1" applyProtection="1">
      <alignment horizontal="center"/>
      <protection/>
    </xf>
    <xf numFmtId="168" fontId="0" fillId="0" borderId="28" xfId="57" applyFont="1" applyFill="1" applyBorder="1" applyAlignment="1" applyProtection="1">
      <alignment horizontal="center"/>
      <protection/>
    </xf>
    <xf numFmtId="0" fontId="4" fillId="43" borderId="48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wrapText="1"/>
      <protection/>
    </xf>
    <xf numFmtId="0" fontId="13" fillId="0" borderId="22" xfId="0" applyFont="1" applyFill="1" applyBorder="1" applyAlignment="1" applyProtection="1">
      <alignment horizontal="center" wrapText="1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13" fillId="0" borderId="44" xfId="0" applyFont="1" applyFill="1" applyBorder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167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>
      <alignment/>
    </xf>
    <xf numFmtId="0" fontId="16" fillId="0" borderId="0" xfId="0" applyFont="1" applyFill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8" fontId="0" fillId="0" borderId="26" xfId="57" applyFill="1" applyBorder="1" applyAlignment="1" applyProtection="1">
      <alignment/>
      <protection locked="0"/>
    </xf>
    <xf numFmtId="168" fontId="0" fillId="0" borderId="26" xfId="57" applyFill="1" applyBorder="1" applyAlignment="1">
      <alignment horizontal="center"/>
    </xf>
    <xf numFmtId="171" fontId="0" fillId="0" borderId="26" xfId="0" applyNumberFormat="1" applyFill="1" applyBorder="1" applyAlignment="1" applyProtection="1">
      <alignment horizontal="center"/>
      <protection locked="0"/>
    </xf>
    <xf numFmtId="10" fontId="0" fillId="0" borderId="33" xfId="0" applyNumberFormat="1" applyFill="1" applyBorder="1" applyAlignment="1" applyProtection="1">
      <alignment horizontal="center"/>
      <protection locked="0"/>
    </xf>
    <xf numFmtId="10" fontId="0" fillId="0" borderId="21" xfId="59" applyNumberFormat="1" applyFont="1" applyFill="1" applyBorder="1" applyAlignment="1" applyProtection="1">
      <alignment horizontal="center"/>
      <protection locked="0"/>
    </xf>
    <xf numFmtId="165" fontId="0" fillId="0" borderId="26" xfId="59" applyNumberFormat="1" applyFont="1" applyFill="1" applyBorder="1" applyAlignment="1" applyProtection="1">
      <alignment horizontal="center"/>
      <protection locked="0"/>
    </xf>
    <xf numFmtId="2" fontId="13" fillId="0" borderId="26" xfId="59" applyNumberFormat="1" applyFont="1" applyFill="1" applyBorder="1" applyAlignment="1" applyProtection="1">
      <alignment horizontal="center"/>
      <protection locked="0"/>
    </xf>
    <xf numFmtId="172" fontId="0" fillId="0" borderId="26" xfId="65" applyNumberFormat="1" applyFont="1" applyFill="1" applyBorder="1" applyAlignment="1" applyProtection="1">
      <alignment/>
      <protection locked="0"/>
    </xf>
    <xf numFmtId="165" fontId="0" fillId="0" borderId="26" xfId="65" applyNumberFormat="1" applyFont="1" applyFill="1" applyBorder="1" applyAlignment="1" applyProtection="1">
      <alignment/>
      <protection locked="0"/>
    </xf>
    <xf numFmtId="171" fontId="0" fillId="0" borderId="26" xfId="65" applyNumberFormat="1" applyFont="1" applyFill="1" applyBorder="1" applyAlignment="1" applyProtection="1">
      <alignment/>
      <protection locked="0"/>
    </xf>
    <xf numFmtId="10" fontId="0" fillId="0" borderId="21" xfId="59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/>
    </xf>
    <xf numFmtId="2" fontId="0" fillId="0" borderId="0" xfId="57" applyNumberFormat="1" applyFont="1" applyFill="1" applyBorder="1" applyAlignment="1" applyProtection="1">
      <alignment horizontal="right"/>
      <protection locked="0"/>
    </xf>
    <xf numFmtId="165" fontId="0" fillId="0" borderId="26" xfId="59" applyFont="1" applyFill="1" applyBorder="1" applyAlignment="1" applyProtection="1" quotePrefix="1">
      <alignment horizontal="center"/>
      <protection locked="0"/>
    </xf>
    <xf numFmtId="165" fontId="0" fillId="0" borderId="43" xfId="59" applyFill="1" applyBorder="1" applyAlignment="1" applyProtection="1">
      <alignment horizontal="center"/>
      <protection locked="0"/>
    </xf>
    <xf numFmtId="165" fontId="0" fillId="0" borderId="0" xfId="59" applyFill="1" applyAlignment="1">
      <alignment/>
    </xf>
    <xf numFmtId="165" fontId="0" fillId="0" borderId="24" xfId="59" applyFill="1" applyBorder="1" applyAlignment="1" applyProtection="1">
      <alignment horizontal="center"/>
      <protection locked="0"/>
    </xf>
    <xf numFmtId="165" fontId="0" fillId="0" borderId="0" xfId="59" applyFill="1" applyBorder="1" applyAlignment="1" applyProtection="1">
      <alignment horizontal="center"/>
      <protection locked="0"/>
    </xf>
    <xf numFmtId="165" fontId="0" fillId="0" borderId="45" xfId="59" applyFill="1" applyBorder="1" applyAlignment="1" applyProtection="1">
      <alignment horizontal="center"/>
      <protection locked="0"/>
    </xf>
    <xf numFmtId="165" fontId="0" fillId="0" borderId="26" xfId="59" applyFill="1" applyBorder="1" applyAlignment="1" applyProtection="1">
      <alignment horizontal="center"/>
      <protection locked="0"/>
    </xf>
    <xf numFmtId="165" fontId="0" fillId="0" borderId="28" xfId="59" applyFill="1" applyBorder="1" applyAlignment="1" applyProtection="1">
      <alignment horizontal="center"/>
      <protection locked="0"/>
    </xf>
    <xf numFmtId="165" fontId="0" fillId="0" borderId="45" xfId="59" applyFill="1" applyBorder="1" applyAlignment="1" applyProtection="1">
      <alignment horizontal="center"/>
      <protection/>
    </xf>
    <xf numFmtId="165" fontId="0" fillId="0" borderId="26" xfId="59" applyFill="1" applyBorder="1" applyAlignment="1" applyProtection="1">
      <alignment horizontal="center"/>
      <protection/>
    </xf>
    <xf numFmtId="165" fontId="0" fillId="0" borderId="39" xfId="59" applyFill="1" applyBorder="1" applyAlignment="1" applyProtection="1">
      <alignment horizontal="center"/>
      <protection/>
    </xf>
    <xf numFmtId="165" fontId="0" fillId="0" borderId="28" xfId="59" applyFill="1" applyBorder="1" applyAlignment="1" applyProtection="1">
      <alignment horizontal="center"/>
      <protection/>
    </xf>
    <xf numFmtId="165" fontId="0" fillId="0" borderId="21" xfId="59" applyFill="1" applyBorder="1" applyAlignment="1" applyProtection="1">
      <alignment horizontal="center"/>
      <protection locked="0"/>
    </xf>
    <xf numFmtId="165" fontId="0" fillId="0" borderId="22" xfId="59" applyFill="1" applyBorder="1" applyAlignment="1" applyProtection="1">
      <alignment horizontal="center"/>
      <protection locked="0"/>
    </xf>
    <xf numFmtId="174" fontId="0" fillId="0" borderId="11" xfId="0" applyNumberFormat="1" applyFill="1" applyBorder="1" applyAlignment="1" applyProtection="1">
      <alignment/>
      <protection locked="0"/>
    </xf>
    <xf numFmtId="0" fontId="0" fillId="0" borderId="60" xfId="0" applyBorder="1" applyAlignment="1">
      <alignment/>
    </xf>
    <xf numFmtId="8" fontId="0" fillId="0" borderId="60" xfId="0" applyNumberFormat="1" applyBorder="1" applyAlignment="1">
      <alignment/>
    </xf>
    <xf numFmtId="2" fontId="0" fillId="0" borderId="60" xfId="0" applyNumberFormat="1" applyBorder="1" applyAlignment="1">
      <alignment/>
    </xf>
    <xf numFmtId="1" fontId="0" fillId="0" borderId="60" xfId="0" applyNumberFormat="1" applyBorder="1" applyAlignment="1">
      <alignment/>
    </xf>
    <xf numFmtId="9" fontId="0" fillId="0" borderId="60" xfId="0" applyNumberFormat="1" applyBorder="1" applyAlignment="1">
      <alignment/>
    </xf>
    <xf numFmtId="8" fontId="0" fillId="0" borderId="60" xfId="0" applyNumberFormat="1" applyFill="1" applyBorder="1" applyAlignment="1">
      <alignment/>
    </xf>
    <xf numFmtId="0" fontId="59" fillId="7" borderId="60" xfId="38" applyFont="1" applyFill="1" applyBorder="1" applyAlignment="1">
      <alignment/>
    </xf>
    <xf numFmtId="0" fontId="60" fillId="7" borderId="60" xfId="38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7" borderId="60" xfId="0" applyFont="1" applyFill="1" applyBorder="1" applyAlignment="1">
      <alignment/>
    </xf>
    <xf numFmtId="0" fontId="40" fillId="7" borderId="60" xfId="0" applyFont="1" applyFill="1" applyBorder="1" applyAlignment="1">
      <alignment/>
    </xf>
    <xf numFmtId="8" fontId="40" fillId="7" borderId="60" xfId="0" applyNumberFormat="1" applyFont="1" applyFill="1" applyBorder="1" applyAlignment="1">
      <alignment/>
    </xf>
    <xf numFmtId="0" fontId="40" fillId="0" borderId="0" xfId="0" applyFont="1" applyAlignment="1">
      <alignment horizontal="right"/>
    </xf>
    <xf numFmtId="0" fontId="39" fillId="12" borderId="60" xfId="0" applyFont="1" applyFill="1" applyBorder="1" applyAlignment="1">
      <alignment/>
    </xf>
    <xf numFmtId="0" fontId="40" fillId="0" borderId="60" xfId="0" applyFont="1" applyBorder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Fill="1" applyAlignment="1">
      <alignment/>
    </xf>
    <xf numFmtId="2" fontId="40" fillId="0" borderId="60" xfId="0" applyNumberFormat="1" applyFont="1" applyBorder="1" applyAlignment="1">
      <alignment/>
    </xf>
    <xf numFmtId="170" fontId="40" fillId="0" borderId="60" xfId="57" applyNumberFormat="1" applyFont="1" applyBorder="1" applyAlignment="1">
      <alignment/>
    </xf>
    <xf numFmtId="1" fontId="40" fillId="0" borderId="60" xfId="0" applyNumberFormat="1" applyFont="1" applyBorder="1" applyAlignment="1">
      <alignment/>
    </xf>
    <xf numFmtId="0" fontId="39" fillId="10" borderId="60" xfId="0" applyFont="1" applyFill="1" applyBorder="1" applyAlignment="1">
      <alignment/>
    </xf>
    <xf numFmtId="0" fontId="40" fillId="0" borderId="61" xfId="0" applyFont="1" applyBorder="1" applyAlignment="1">
      <alignment/>
    </xf>
    <xf numFmtId="0" fontId="40" fillId="0" borderId="62" xfId="0" applyFont="1" applyBorder="1" applyAlignment="1">
      <alignment/>
    </xf>
    <xf numFmtId="0" fontId="40" fillId="0" borderId="0" xfId="0" applyFont="1" applyBorder="1" applyAlignment="1">
      <alignment/>
    </xf>
    <xf numFmtId="0" fontId="40" fillId="10" borderId="60" xfId="0" applyFont="1" applyFill="1" applyBorder="1" applyAlignment="1">
      <alignment/>
    </xf>
    <xf numFmtId="0" fontId="40" fillId="44" borderId="60" xfId="0" applyFont="1" applyFill="1" applyBorder="1" applyAlignment="1">
      <alignment/>
    </xf>
    <xf numFmtId="0" fontId="39" fillId="17" borderId="60" xfId="0" applyFont="1" applyFill="1" applyBorder="1" applyAlignment="1">
      <alignment/>
    </xf>
    <xf numFmtId="0" fontId="39" fillId="0" borderId="60" xfId="0" applyFont="1" applyBorder="1" applyAlignment="1">
      <alignment/>
    </xf>
    <xf numFmtId="0" fontId="39" fillId="44" borderId="60" xfId="0" applyFont="1" applyFill="1" applyBorder="1" applyAlignment="1">
      <alignment/>
    </xf>
    <xf numFmtId="0" fontId="61" fillId="17" borderId="60" xfId="0" applyFont="1" applyFill="1" applyBorder="1" applyAlignment="1">
      <alignment/>
    </xf>
    <xf numFmtId="10" fontId="40" fillId="0" borderId="60" xfId="0" applyNumberFormat="1" applyFont="1" applyBorder="1" applyAlignment="1">
      <alignment/>
    </xf>
    <xf numFmtId="9" fontId="40" fillId="0" borderId="60" xfId="0" applyNumberFormat="1" applyFont="1" applyBorder="1" applyAlignment="1">
      <alignment/>
    </xf>
    <xf numFmtId="0" fontId="40" fillId="17" borderId="60" xfId="0" applyFont="1" applyFill="1" applyBorder="1" applyAlignment="1">
      <alignment/>
    </xf>
    <xf numFmtId="2" fontId="40" fillId="0" borderId="61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166" fontId="40" fillId="0" borderId="60" xfId="0" applyNumberFormat="1" applyFont="1" applyBorder="1" applyAlignment="1">
      <alignment/>
    </xf>
    <xf numFmtId="0" fontId="40" fillId="10" borderId="61" xfId="0" applyFont="1" applyFill="1" applyBorder="1" applyAlignment="1">
      <alignment/>
    </xf>
    <xf numFmtId="0" fontId="40" fillId="0" borderId="63" xfId="0" applyFont="1" applyBorder="1" applyAlignment="1">
      <alignment/>
    </xf>
    <xf numFmtId="0" fontId="40" fillId="0" borderId="6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64" xfId="0" applyFont="1" applyBorder="1" applyAlignment="1">
      <alignment/>
    </xf>
    <xf numFmtId="0" fontId="39" fillId="13" borderId="60" xfId="0" applyFont="1" applyFill="1" applyBorder="1" applyAlignment="1">
      <alignment/>
    </xf>
    <xf numFmtId="0" fontId="40" fillId="13" borderId="65" xfId="0" applyFont="1" applyFill="1" applyBorder="1" applyAlignment="1">
      <alignment/>
    </xf>
    <xf numFmtId="1" fontId="40" fillId="0" borderId="61" xfId="0" applyNumberFormat="1" applyFont="1" applyBorder="1" applyAlignment="1">
      <alignment/>
    </xf>
    <xf numFmtId="0" fontId="39" fillId="13" borderId="65" xfId="0" applyFont="1" applyFill="1" applyBorder="1" applyAlignment="1">
      <alignment/>
    </xf>
    <xf numFmtId="0" fontId="40" fillId="13" borderId="63" xfId="0" applyFont="1" applyFill="1" applyBorder="1" applyAlignment="1">
      <alignment/>
    </xf>
    <xf numFmtId="0" fontId="40" fillId="0" borderId="65" xfId="0" applyFont="1" applyBorder="1" applyAlignment="1">
      <alignment/>
    </xf>
    <xf numFmtId="0" fontId="40" fillId="12" borderId="60" xfId="0" applyFont="1" applyFill="1" applyBorder="1" applyAlignment="1">
      <alignment/>
    </xf>
    <xf numFmtId="168" fontId="40" fillId="0" borderId="60" xfId="57" applyNumberFormat="1" applyFont="1" applyBorder="1" applyAlignment="1">
      <alignment/>
    </xf>
    <xf numFmtId="0" fontId="39" fillId="12" borderId="0" xfId="0" applyFont="1" applyFill="1" applyAlignment="1">
      <alignment/>
    </xf>
    <xf numFmtId="0" fontId="0" fillId="45" borderId="60" xfId="0" applyFill="1" applyBorder="1" applyAlignment="1">
      <alignment/>
    </xf>
    <xf numFmtId="0" fontId="13" fillId="45" borderId="60" xfId="0" applyFont="1" applyFill="1" applyBorder="1" applyAlignment="1">
      <alignment/>
    </xf>
    <xf numFmtId="0" fontId="13" fillId="45" borderId="60" xfId="0" applyFont="1" applyFill="1" applyBorder="1" applyAlignment="1">
      <alignment wrapText="1"/>
    </xf>
    <xf numFmtId="9" fontId="0" fillId="45" borderId="60" xfId="0" applyNumberFormat="1" applyFill="1" applyBorder="1" applyAlignment="1">
      <alignment/>
    </xf>
    <xf numFmtId="0" fontId="0" fillId="46" borderId="60" xfId="0" applyFill="1" applyBorder="1" applyAlignment="1">
      <alignment/>
    </xf>
    <xf numFmtId="0" fontId="13" fillId="46" borderId="60" xfId="0" applyFont="1" applyFill="1" applyBorder="1" applyAlignment="1">
      <alignment/>
    </xf>
    <xf numFmtId="0" fontId="0" fillId="42" borderId="11" xfId="0" applyFill="1" applyBorder="1" applyAlignment="1" applyProtection="1">
      <alignment horizontal="center"/>
      <protection locked="0"/>
    </xf>
    <xf numFmtId="0" fontId="14" fillId="43" borderId="48" xfId="0" applyFont="1" applyFill="1" applyBorder="1" applyAlignment="1">
      <alignment horizontal="center"/>
    </xf>
    <xf numFmtId="0" fontId="1" fillId="43" borderId="48" xfId="0" applyFont="1" applyFill="1" applyBorder="1" applyAlignment="1">
      <alignment horizontal="left" vertical="center" wrapText="1"/>
    </xf>
    <xf numFmtId="0" fontId="4" fillId="43" borderId="48" xfId="0" applyFont="1" applyFill="1" applyBorder="1" applyAlignment="1">
      <alignment horizontal="left" vertical="center" wrapText="1"/>
    </xf>
    <xf numFmtId="0" fontId="4" fillId="43" borderId="48" xfId="0" applyFont="1" applyFill="1" applyBorder="1" applyAlignment="1">
      <alignment horizontal="left" vertical="center"/>
    </xf>
    <xf numFmtId="0" fontId="4" fillId="43" borderId="4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4" fillId="43" borderId="48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4" fillId="43" borderId="48" xfId="0" applyFont="1" applyFill="1" applyBorder="1" applyAlignment="1" applyProtection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 1 1" xfId="33"/>
    <cellStyle name="Accent 2 1" xfId="34"/>
    <cellStyle name="Accent 3 1" xfId="35"/>
    <cellStyle name="Accent 4" xfId="36"/>
    <cellStyle name="Bad 1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 1" xfId="50"/>
    <cellStyle name="Footnote 1" xfId="51"/>
    <cellStyle name="Good 1" xfId="52"/>
    <cellStyle name="Heading 1 1" xfId="53"/>
    <cellStyle name="Heading 2 1" xfId="54"/>
    <cellStyle name="Heading 3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eutral 1" xfId="62"/>
    <cellStyle name="Notas" xfId="63"/>
    <cellStyle name="Note 1" xfId="64"/>
    <cellStyle name="Percent" xfId="65"/>
    <cellStyle name="Salida" xfId="66"/>
    <cellStyle name="Sin título1" xfId="67"/>
    <cellStyle name="Sin título2" xfId="68"/>
    <cellStyle name="Status 1" xfId="69"/>
    <cellStyle name="Text 1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Warning 1" xfId="78"/>
  </cellStyles>
  <dxfs count="42"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966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'[1]E-Costos'!$B$138</c:f>
              <c:strCache>
                <c:ptCount val="1"/>
                <c:pt idx="0">
                  <c:v>Gastos Fijos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'[1]E-Costos'!$A$139:$A$150</c:f>
              <c:numCache>
                <c:ptCount val="12"/>
                <c:pt idx="0">
                  <c:v>500</c:v>
                </c:pt>
                <c:pt idx="1">
                  <c:v>1700</c:v>
                </c:pt>
                <c:pt idx="2">
                  <c:v>3352</c:v>
                </c:pt>
                <c:pt idx="3">
                  <c:v>5652</c:v>
                </c:pt>
                <c:pt idx="4">
                  <c:v>7766</c:v>
                </c:pt>
                <c:pt idx="5">
                  <c:v>10324</c:v>
                </c:pt>
                <c:pt idx="6">
                  <c:v>12728</c:v>
                </c:pt>
                <c:pt idx="7">
                  <c:v>15132</c:v>
                </c:pt>
                <c:pt idx="8">
                  <c:v>17035</c:v>
                </c:pt>
                <c:pt idx="9">
                  <c:v>19474</c:v>
                </c:pt>
                <c:pt idx="10">
                  <c:v>20943</c:v>
                </c:pt>
                <c:pt idx="11">
                  <c:v>22100</c:v>
                </c:pt>
              </c:numCache>
            </c:numRef>
          </c:cat>
          <c:val>
            <c:numRef>
              <c:f>'[1]E-Costos'!$B$139:$B$150</c:f>
              <c:numCache>
                <c:ptCount val="12"/>
                <c:pt idx="0">
                  <c:v>15473530.680805027</c:v>
                </c:pt>
                <c:pt idx="1">
                  <c:v>15473530.680805027</c:v>
                </c:pt>
                <c:pt idx="2">
                  <c:v>15473530.680805027</c:v>
                </c:pt>
                <c:pt idx="3">
                  <c:v>15473530.680805027</c:v>
                </c:pt>
                <c:pt idx="4">
                  <c:v>15473530.680805027</c:v>
                </c:pt>
                <c:pt idx="5">
                  <c:v>15473530.680805027</c:v>
                </c:pt>
                <c:pt idx="6">
                  <c:v>15473530.680805027</c:v>
                </c:pt>
                <c:pt idx="7">
                  <c:v>15473530.680805027</c:v>
                </c:pt>
                <c:pt idx="8">
                  <c:v>15473530.680805027</c:v>
                </c:pt>
                <c:pt idx="9">
                  <c:v>15473530.680805027</c:v>
                </c:pt>
                <c:pt idx="10">
                  <c:v>15473530.680805027</c:v>
                </c:pt>
                <c:pt idx="11">
                  <c:v>15473530.680805027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'[1]E-Costos'!$C$138</c:f>
              <c:strCache>
                <c:ptCount val="1"/>
                <c:pt idx="0">
                  <c:v>Gastos variables</c:v>
                </c:pt>
              </c:strCache>
            </c:strRef>
          </c:tx>
          <c:spPr>
            <a:ln w="25400">
              <a:solidFill>
                <a:srgbClr val="62A73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'[1]E-Costos'!$A$139:$A$150</c:f>
              <c:numCache>
                <c:ptCount val="12"/>
                <c:pt idx="0">
                  <c:v>500</c:v>
                </c:pt>
                <c:pt idx="1">
                  <c:v>1700</c:v>
                </c:pt>
                <c:pt idx="2">
                  <c:v>3352</c:v>
                </c:pt>
                <c:pt idx="3">
                  <c:v>5652</c:v>
                </c:pt>
                <c:pt idx="4">
                  <c:v>7766</c:v>
                </c:pt>
                <c:pt idx="5">
                  <c:v>10324</c:v>
                </c:pt>
                <c:pt idx="6">
                  <c:v>12728</c:v>
                </c:pt>
                <c:pt idx="7">
                  <c:v>15132</c:v>
                </c:pt>
                <c:pt idx="8">
                  <c:v>17035</c:v>
                </c:pt>
                <c:pt idx="9">
                  <c:v>19474</c:v>
                </c:pt>
                <c:pt idx="10">
                  <c:v>20943</c:v>
                </c:pt>
                <c:pt idx="11">
                  <c:v>22100</c:v>
                </c:pt>
              </c:numCache>
            </c:numRef>
          </c:cat>
          <c:val>
            <c:numRef>
              <c:f>'[1]E-Costos'!$C$139:$C$150</c:f>
              <c:numCache>
                <c:ptCount val="12"/>
                <c:pt idx="0">
                  <c:v>3038837.497761641</c:v>
                </c:pt>
                <c:pt idx="1">
                  <c:v>10332047.49238958</c:v>
                </c:pt>
                <c:pt idx="2">
                  <c:v>20372366.584994044</c:v>
                </c:pt>
                <c:pt idx="3">
                  <c:v>34351019.07469759</c:v>
                </c:pt>
                <c:pt idx="4">
                  <c:v>47199224.015233815</c:v>
                </c:pt>
                <c:pt idx="5">
                  <c:v>62745916.65378237</c:v>
                </c:pt>
                <c:pt idx="6">
                  <c:v>77356647.34302033</c:v>
                </c:pt>
                <c:pt idx="7">
                  <c:v>91967378.03225832</c:v>
                </c:pt>
                <c:pt idx="8">
                  <c:v>103533193.54873912</c:v>
                </c:pt>
                <c:pt idx="9">
                  <c:v>118356642.8628204</c:v>
                </c:pt>
                <c:pt idx="10">
                  <c:v>127284747.4312441</c:v>
                </c:pt>
                <c:pt idx="11">
                  <c:v>134316617.40106454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'[1]E-Costos'!$D$138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'[1]E-Costos'!$A$139:$A$150</c:f>
              <c:numCache>
                <c:ptCount val="12"/>
                <c:pt idx="0">
                  <c:v>500</c:v>
                </c:pt>
                <c:pt idx="1">
                  <c:v>1700</c:v>
                </c:pt>
                <c:pt idx="2">
                  <c:v>3352</c:v>
                </c:pt>
                <c:pt idx="3">
                  <c:v>5652</c:v>
                </c:pt>
                <c:pt idx="4">
                  <c:v>7766</c:v>
                </c:pt>
                <c:pt idx="5">
                  <c:v>10324</c:v>
                </c:pt>
                <c:pt idx="6">
                  <c:v>12728</c:v>
                </c:pt>
                <c:pt idx="7">
                  <c:v>15132</c:v>
                </c:pt>
                <c:pt idx="8">
                  <c:v>17035</c:v>
                </c:pt>
                <c:pt idx="9">
                  <c:v>19474</c:v>
                </c:pt>
                <c:pt idx="10">
                  <c:v>20943</c:v>
                </c:pt>
                <c:pt idx="11">
                  <c:v>22100</c:v>
                </c:pt>
              </c:numCache>
            </c:numRef>
          </c:cat>
          <c:val>
            <c:numRef>
              <c:f>'[1]E-Costos'!$D$139:$D$150</c:f>
              <c:numCache>
                <c:ptCount val="12"/>
                <c:pt idx="0">
                  <c:v>18512368.17856667</c:v>
                </c:pt>
                <c:pt idx="1">
                  <c:v>25805578.17319461</c:v>
                </c:pt>
                <c:pt idx="2">
                  <c:v>35845897.265799075</c:v>
                </c:pt>
                <c:pt idx="3">
                  <c:v>49824549.75550262</c:v>
                </c:pt>
                <c:pt idx="4">
                  <c:v>62672754.69603884</c:v>
                </c:pt>
                <c:pt idx="5">
                  <c:v>78219447.3345874</c:v>
                </c:pt>
                <c:pt idx="6">
                  <c:v>92830178.02382536</c:v>
                </c:pt>
                <c:pt idx="7">
                  <c:v>107440908.71306334</c:v>
                </c:pt>
                <c:pt idx="8">
                  <c:v>119006724.22954415</c:v>
                </c:pt>
                <c:pt idx="9">
                  <c:v>133830173.54362543</c:v>
                </c:pt>
                <c:pt idx="10">
                  <c:v>142758278.11204913</c:v>
                </c:pt>
                <c:pt idx="11">
                  <c:v>149790148.08186957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'[1]E-Costos'!$E$138</c:f>
              <c:strCache>
                <c:ptCount val="1"/>
                <c:pt idx="0">
                  <c:v>Ingreso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'[1]E-Costos'!$A$139:$A$150</c:f>
              <c:numCache>
                <c:ptCount val="12"/>
                <c:pt idx="0">
                  <c:v>500</c:v>
                </c:pt>
                <c:pt idx="1">
                  <c:v>1700</c:v>
                </c:pt>
                <c:pt idx="2">
                  <c:v>3352</c:v>
                </c:pt>
                <c:pt idx="3">
                  <c:v>5652</c:v>
                </c:pt>
                <c:pt idx="4">
                  <c:v>7766</c:v>
                </c:pt>
                <c:pt idx="5">
                  <c:v>10324</c:v>
                </c:pt>
                <c:pt idx="6">
                  <c:v>12728</c:v>
                </c:pt>
                <c:pt idx="7">
                  <c:v>15132</c:v>
                </c:pt>
                <c:pt idx="8">
                  <c:v>17035</c:v>
                </c:pt>
                <c:pt idx="9">
                  <c:v>19474</c:v>
                </c:pt>
                <c:pt idx="10">
                  <c:v>20943</c:v>
                </c:pt>
                <c:pt idx="11">
                  <c:v>22100</c:v>
                </c:pt>
              </c:numCache>
            </c:numRef>
          </c:cat>
          <c:val>
            <c:numRef>
              <c:f>'[1]E-Costos'!$E$139:$E$150</c:f>
              <c:numCache>
                <c:ptCount val="12"/>
                <c:pt idx="0">
                  <c:v>3350000</c:v>
                </c:pt>
                <c:pt idx="1">
                  <c:v>11390000</c:v>
                </c:pt>
                <c:pt idx="2">
                  <c:v>22458400</c:v>
                </c:pt>
                <c:pt idx="3">
                  <c:v>37868400</c:v>
                </c:pt>
                <c:pt idx="4">
                  <c:v>52032200</c:v>
                </c:pt>
                <c:pt idx="5">
                  <c:v>69170800</c:v>
                </c:pt>
                <c:pt idx="6">
                  <c:v>85277600</c:v>
                </c:pt>
                <c:pt idx="7">
                  <c:v>101384400</c:v>
                </c:pt>
                <c:pt idx="8">
                  <c:v>114134500</c:v>
                </c:pt>
                <c:pt idx="9">
                  <c:v>130475800</c:v>
                </c:pt>
                <c:pt idx="10">
                  <c:v>140318100</c:v>
                </c:pt>
                <c:pt idx="11">
                  <c:v>148070000</c:v>
                </c:pt>
              </c:numCache>
            </c:numRef>
          </c:val>
          <c:smooth val="0"/>
        </c:ser>
        <c:marker val="1"/>
        <c:axId val="56280804"/>
        <c:axId val="36765189"/>
      </c:lineChart>
      <c:catAx>
        <c:axId val="56280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36765189"/>
        <c:crosses val="autoZero"/>
        <c:auto val="1"/>
        <c:lblOffset val="100"/>
        <c:tickLblSkip val="1"/>
        <c:noMultiLvlLbl val="0"/>
      </c:catAx>
      <c:valAx>
        <c:axId val="36765189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562808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25"/>
          <c:y val="0.9365"/>
          <c:w val="0.722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C3C3C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09225"/>
          <c:w val="0.96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'[1]E-Costos'!$B$185</c:f>
              <c:strCache>
                <c:ptCount val="1"/>
                <c:pt idx="0">
                  <c:v>Gastos Fijos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'[1]E-Costos'!$A$186:$A$197</c:f>
              <c:numCache>
                <c:ptCount val="12"/>
                <c:pt idx="0">
                  <c:v>1292</c:v>
                </c:pt>
                <c:pt idx="1">
                  <c:v>4116</c:v>
                </c:pt>
                <c:pt idx="2">
                  <c:v>5846</c:v>
                </c:pt>
                <c:pt idx="3">
                  <c:v>8670</c:v>
                </c:pt>
                <c:pt idx="4">
                  <c:v>10851</c:v>
                </c:pt>
                <c:pt idx="5">
                  <c:v>13541</c:v>
                </c:pt>
                <c:pt idx="6">
                  <c:v>16044</c:v>
                </c:pt>
                <c:pt idx="7">
                  <c:v>18452</c:v>
                </c:pt>
                <c:pt idx="8">
                  <c:v>20720</c:v>
                </c:pt>
                <c:pt idx="9">
                  <c:v>23240</c:v>
                </c:pt>
                <c:pt idx="10">
                  <c:v>24740</c:v>
                </c:pt>
                <c:pt idx="11">
                  <c:v>26000</c:v>
                </c:pt>
              </c:numCache>
            </c:numRef>
          </c:cat>
          <c:val>
            <c:numRef>
              <c:f>'[1]E-Costos'!$B$186:$B$197</c:f>
              <c:numCache>
                <c:ptCount val="12"/>
                <c:pt idx="0">
                  <c:v>16137669.532010026</c:v>
                </c:pt>
                <c:pt idx="1">
                  <c:v>16137669.532010026</c:v>
                </c:pt>
                <c:pt idx="2">
                  <c:v>16137669.532010026</c:v>
                </c:pt>
                <c:pt idx="3">
                  <c:v>16137669.532010026</c:v>
                </c:pt>
                <c:pt idx="4">
                  <c:v>16137669.532010026</c:v>
                </c:pt>
                <c:pt idx="5">
                  <c:v>16137669.532010026</c:v>
                </c:pt>
                <c:pt idx="6">
                  <c:v>16137669.532010026</c:v>
                </c:pt>
                <c:pt idx="7">
                  <c:v>16137669.532010026</c:v>
                </c:pt>
                <c:pt idx="8">
                  <c:v>16137669.532010026</c:v>
                </c:pt>
                <c:pt idx="9">
                  <c:v>16137669.532010026</c:v>
                </c:pt>
                <c:pt idx="10">
                  <c:v>16137669.532010026</c:v>
                </c:pt>
                <c:pt idx="11">
                  <c:v>16137669.532010026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'[1]E-Costos'!$C$185</c:f>
              <c:strCache>
                <c:ptCount val="1"/>
                <c:pt idx="0">
                  <c:v>Gastos variables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'[1]E-Costos'!$A$186:$A$197</c:f>
              <c:numCache>
                <c:ptCount val="12"/>
                <c:pt idx="0">
                  <c:v>1292</c:v>
                </c:pt>
                <c:pt idx="1">
                  <c:v>4116</c:v>
                </c:pt>
                <c:pt idx="2">
                  <c:v>5846</c:v>
                </c:pt>
                <c:pt idx="3">
                  <c:v>8670</c:v>
                </c:pt>
                <c:pt idx="4">
                  <c:v>10851</c:v>
                </c:pt>
                <c:pt idx="5">
                  <c:v>13541</c:v>
                </c:pt>
                <c:pt idx="6">
                  <c:v>16044</c:v>
                </c:pt>
                <c:pt idx="7">
                  <c:v>18452</c:v>
                </c:pt>
                <c:pt idx="8">
                  <c:v>20720</c:v>
                </c:pt>
                <c:pt idx="9">
                  <c:v>23240</c:v>
                </c:pt>
                <c:pt idx="10">
                  <c:v>24740</c:v>
                </c:pt>
                <c:pt idx="11">
                  <c:v>26000</c:v>
                </c:pt>
              </c:numCache>
            </c:numRef>
          </c:cat>
          <c:val>
            <c:numRef>
              <c:f>'[1]E-Costos'!$C$186:$C$197</c:f>
              <c:numCache>
                <c:ptCount val="12"/>
                <c:pt idx="0">
                  <c:v>6626722.162693016</c:v>
                </c:pt>
                <c:pt idx="1">
                  <c:v>21111136.54926041</c:v>
                </c:pt>
                <c:pt idx="2">
                  <c:v>29984379.07360942</c:v>
                </c:pt>
                <c:pt idx="3">
                  <c:v>44468793.46017682</c:v>
                </c:pt>
                <c:pt idx="4">
                  <c:v>55655233.89116247</c:v>
                </c:pt>
                <c:pt idx="5">
                  <c:v>69452356.66023694</c:v>
                </c:pt>
                <c:pt idx="6">
                  <c:v>82290348.58997425</c:v>
                </c:pt>
                <c:pt idx="7">
                  <c:v>94641081.53716062</c:v>
                </c:pt>
                <c:pt idx="8">
                  <c:v>106273748.61532453</c:v>
                </c:pt>
                <c:pt idx="9">
                  <c:v>119198934.25772886</c:v>
                </c:pt>
                <c:pt idx="10">
                  <c:v>126892497.14011239</c:v>
                </c:pt>
                <c:pt idx="11">
                  <c:v>133355089.96131456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'[1]E-Costos'!$D$185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5400">
              <a:solidFill>
                <a:srgbClr val="62A73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'[1]E-Costos'!$A$186:$A$197</c:f>
              <c:numCache>
                <c:ptCount val="12"/>
                <c:pt idx="0">
                  <c:v>1292</c:v>
                </c:pt>
                <c:pt idx="1">
                  <c:v>4116</c:v>
                </c:pt>
                <c:pt idx="2">
                  <c:v>5846</c:v>
                </c:pt>
                <c:pt idx="3">
                  <c:v>8670</c:v>
                </c:pt>
                <c:pt idx="4">
                  <c:v>10851</c:v>
                </c:pt>
                <c:pt idx="5">
                  <c:v>13541</c:v>
                </c:pt>
                <c:pt idx="6">
                  <c:v>16044</c:v>
                </c:pt>
                <c:pt idx="7">
                  <c:v>18452</c:v>
                </c:pt>
                <c:pt idx="8">
                  <c:v>20720</c:v>
                </c:pt>
                <c:pt idx="9">
                  <c:v>23240</c:v>
                </c:pt>
                <c:pt idx="10">
                  <c:v>24740</c:v>
                </c:pt>
                <c:pt idx="11">
                  <c:v>26000</c:v>
                </c:pt>
              </c:numCache>
            </c:numRef>
          </c:cat>
          <c:val>
            <c:numRef>
              <c:f>'[1]E-Costos'!$D$186:$D$197</c:f>
              <c:numCache>
                <c:ptCount val="12"/>
                <c:pt idx="0">
                  <c:v>22764391.694703043</c:v>
                </c:pt>
                <c:pt idx="1">
                  <c:v>37248806.08127044</c:v>
                </c:pt>
                <c:pt idx="2">
                  <c:v>46122048.605619445</c:v>
                </c:pt>
                <c:pt idx="3">
                  <c:v>60606462.992186844</c:v>
                </c:pt>
                <c:pt idx="4">
                  <c:v>71792903.4231725</c:v>
                </c:pt>
                <c:pt idx="5">
                  <c:v>85590026.19224697</c:v>
                </c:pt>
                <c:pt idx="6">
                  <c:v>98428018.12198427</c:v>
                </c:pt>
                <c:pt idx="7">
                  <c:v>110778751.06917065</c:v>
                </c:pt>
                <c:pt idx="8">
                  <c:v>122411418.14733455</c:v>
                </c:pt>
                <c:pt idx="9">
                  <c:v>135336603.7897389</c:v>
                </c:pt>
                <c:pt idx="10">
                  <c:v>143030166.67212242</c:v>
                </c:pt>
                <c:pt idx="11">
                  <c:v>149492759.49332458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'[1]E-Costos'!$E$185</c:f>
              <c:strCache>
                <c:ptCount val="1"/>
                <c:pt idx="0">
                  <c:v>Ingreso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'[1]E-Costos'!$A$186:$A$197</c:f>
              <c:numCache>
                <c:ptCount val="12"/>
                <c:pt idx="0">
                  <c:v>1292</c:v>
                </c:pt>
                <c:pt idx="1">
                  <c:v>4116</c:v>
                </c:pt>
                <c:pt idx="2">
                  <c:v>5846</c:v>
                </c:pt>
                <c:pt idx="3">
                  <c:v>8670</c:v>
                </c:pt>
                <c:pt idx="4">
                  <c:v>10851</c:v>
                </c:pt>
                <c:pt idx="5">
                  <c:v>13541</c:v>
                </c:pt>
                <c:pt idx="6">
                  <c:v>16044</c:v>
                </c:pt>
                <c:pt idx="7">
                  <c:v>18452</c:v>
                </c:pt>
                <c:pt idx="8">
                  <c:v>20720</c:v>
                </c:pt>
                <c:pt idx="9">
                  <c:v>23240</c:v>
                </c:pt>
                <c:pt idx="10">
                  <c:v>24740</c:v>
                </c:pt>
                <c:pt idx="11">
                  <c:v>26000</c:v>
                </c:pt>
              </c:numCache>
            </c:numRef>
          </c:cat>
          <c:val>
            <c:numRef>
              <c:f>'[1]E-Costos'!$E$186:$E$197</c:f>
              <c:numCache>
                <c:ptCount val="12"/>
                <c:pt idx="0">
                  <c:v>8656400</c:v>
                </c:pt>
                <c:pt idx="1">
                  <c:v>27577200</c:v>
                </c:pt>
                <c:pt idx="2">
                  <c:v>39168200</c:v>
                </c:pt>
                <c:pt idx="3">
                  <c:v>58089000</c:v>
                </c:pt>
                <c:pt idx="4">
                  <c:v>72701700</c:v>
                </c:pt>
                <c:pt idx="5">
                  <c:v>90724700</c:v>
                </c:pt>
                <c:pt idx="6">
                  <c:v>107494800</c:v>
                </c:pt>
                <c:pt idx="7">
                  <c:v>123628400</c:v>
                </c:pt>
                <c:pt idx="8">
                  <c:v>138824000</c:v>
                </c:pt>
                <c:pt idx="9">
                  <c:v>155708000</c:v>
                </c:pt>
                <c:pt idx="10">
                  <c:v>165758000</c:v>
                </c:pt>
                <c:pt idx="11">
                  <c:v>174200000</c:v>
                </c:pt>
              </c:numCache>
            </c:numRef>
          </c:val>
          <c:smooth val="0"/>
        </c:ser>
        <c:marker val="1"/>
        <c:axId val="62451246"/>
        <c:axId val="25190303"/>
      </c:lineChart>
      <c:catAx>
        <c:axId val="62451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25190303"/>
        <c:crosses val="autoZero"/>
        <c:auto val="1"/>
        <c:lblOffset val="100"/>
        <c:tickLblSkip val="1"/>
        <c:noMultiLvlLbl val="0"/>
      </c:catAx>
      <c:valAx>
        <c:axId val="25190303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62451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5"/>
          <c:y val="0.94375"/>
          <c:w val="0.70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152</xdr:row>
      <xdr:rowOff>0</xdr:rowOff>
    </xdr:from>
    <xdr:to>
      <xdr:col>2</xdr:col>
      <xdr:colOff>790575</xdr:colOff>
      <xdr:row>177</xdr:row>
      <xdr:rowOff>85725</xdr:rowOff>
    </xdr:to>
    <xdr:graphicFrame>
      <xdr:nvGraphicFramePr>
        <xdr:cNvPr id="1" name="Gráfico 1"/>
        <xdr:cNvGraphicFramePr/>
      </xdr:nvGraphicFramePr>
      <xdr:xfrm>
        <a:off x="0" y="24765000"/>
        <a:ext cx="59817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2</xdr:col>
      <xdr:colOff>962025</xdr:colOff>
      <xdr:row>226</xdr:row>
      <xdr:rowOff>133350</xdr:rowOff>
    </xdr:to>
    <xdr:graphicFrame>
      <xdr:nvGraphicFramePr>
        <xdr:cNvPr id="2" name="Gráfico 2"/>
        <xdr:cNvGraphicFramePr/>
      </xdr:nvGraphicFramePr>
      <xdr:xfrm>
        <a:off x="0" y="32251650"/>
        <a:ext cx="61531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res%20eval\Dimen%20economi\Dim-Economico-Financiero_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Inicial"/>
      <sheetName val="E-Inv AF y Am"/>
      <sheetName val="Detalle Inv AF"/>
      <sheetName val="E-Costos"/>
      <sheetName val="Detalle Costo"/>
      <sheetName val="E-InvAT"/>
      <sheetName val="Detalle Inv-AT"/>
      <sheetName val="E-Cal Inv."/>
      <sheetName val="E-IVA "/>
      <sheetName val="E-Form"/>
      <sheetName val="F-Cred"/>
      <sheetName val="F-CRes"/>
      <sheetName val="F-2 Estructura"/>
      <sheetName val="F-IVA"/>
      <sheetName val="F- CFyU"/>
      <sheetName val="F-Balance"/>
      <sheetName val="F- Form"/>
    </sheetNames>
    <sheetDataSet>
      <sheetData sheetId="3">
        <row r="138">
          <cell r="B138" t="str">
            <v>Gastos Fijos</v>
          </cell>
          <cell r="C138" t="str">
            <v>Gastos variables</v>
          </cell>
          <cell r="D138" t="str">
            <v>Gastos Totales</v>
          </cell>
          <cell r="E138" t="str">
            <v>Ingreso</v>
          </cell>
        </row>
        <row r="139">
          <cell r="A139">
            <v>500</v>
          </cell>
          <cell r="B139">
            <v>15473530.680805027</v>
          </cell>
          <cell r="C139">
            <v>3038837.497761641</v>
          </cell>
          <cell r="D139">
            <v>18512368.17856667</v>
          </cell>
          <cell r="E139">
            <v>3350000</v>
          </cell>
        </row>
        <row r="140">
          <cell r="A140">
            <v>1700</v>
          </cell>
          <cell r="B140">
            <v>15473530.680805027</v>
          </cell>
          <cell r="C140">
            <v>10332047.49238958</v>
          </cell>
          <cell r="D140">
            <v>25805578.17319461</v>
          </cell>
          <cell r="E140">
            <v>11390000</v>
          </cell>
        </row>
        <row r="141">
          <cell r="A141">
            <v>3352</v>
          </cell>
          <cell r="B141">
            <v>15473530.680805027</v>
          </cell>
          <cell r="C141">
            <v>20372366.584994044</v>
          </cell>
          <cell r="D141">
            <v>35845897.265799075</v>
          </cell>
          <cell r="E141">
            <v>22458400</v>
          </cell>
        </row>
        <row r="142">
          <cell r="A142">
            <v>5652</v>
          </cell>
          <cell r="B142">
            <v>15473530.680805027</v>
          </cell>
          <cell r="C142">
            <v>34351019.07469759</v>
          </cell>
          <cell r="D142">
            <v>49824549.75550262</v>
          </cell>
          <cell r="E142">
            <v>37868400</v>
          </cell>
        </row>
        <row r="143">
          <cell r="A143">
            <v>7766</v>
          </cell>
          <cell r="B143">
            <v>15473530.680805027</v>
          </cell>
          <cell r="C143">
            <v>47199224.015233815</v>
          </cell>
          <cell r="D143">
            <v>62672754.69603884</v>
          </cell>
          <cell r="E143">
            <v>52032200</v>
          </cell>
        </row>
        <row r="144">
          <cell r="A144">
            <v>10324</v>
          </cell>
          <cell r="B144">
            <v>15473530.680805027</v>
          </cell>
          <cell r="C144">
            <v>62745916.65378237</v>
          </cell>
          <cell r="D144">
            <v>78219447.3345874</v>
          </cell>
          <cell r="E144">
            <v>69170800</v>
          </cell>
        </row>
        <row r="145">
          <cell r="A145">
            <v>12728</v>
          </cell>
          <cell r="B145">
            <v>15473530.680805027</v>
          </cell>
          <cell r="C145">
            <v>77356647.34302033</v>
          </cell>
          <cell r="D145">
            <v>92830178.02382536</v>
          </cell>
          <cell r="E145">
            <v>85277600</v>
          </cell>
        </row>
        <row r="146">
          <cell r="A146">
            <v>15132</v>
          </cell>
          <cell r="B146">
            <v>15473530.680805027</v>
          </cell>
          <cell r="C146">
            <v>91967378.03225832</v>
          </cell>
          <cell r="D146">
            <v>107440908.71306334</v>
          </cell>
          <cell r="E146">
            <v>101384400</v>
          </cell>
        </row>
        <row r="147">
          <cell r="A147">
            <v>17035</v>
          </cell>
          <cell r="B147">
            <v>15473530.680805027</v>
          </cell>
          <cell r="C147">
            <v>103533193.54873912</v>
          </cell>
          <cell r="D147">
            <v>119006724.22954415</v>
          </cell>
          <cell r="E147">
            <v>114134500</v>
          </cell>
        </row>
        <row r="148">
          <cell r="A148">
            <v>19474</v>
          </cell>
          <cell r="B148">
            <v>15473530.680805027</v>
          </cell>
          <cell r="C148">
            <v>118356642.8628204</v>
          </cell>
          <cell r="D148">
            <v>133830173.54362543</v>
          </cell>
          <cell r="E148">
            <v>130475800</v>
          </cell>
        </row>
        <row r="149">
          <cell r="A149">
            <v>20943</v>
          </cell>
          <cell r="B149">
            <v>15473530.680805027</v>
          </cell>
          <cell r="C149">
            <v>127284747.4312441</v>
          </cell>
          <cell r="D149">
            <v>142758278.11204913</v>
          </cell>
          <cell r="E149">
            <v>140318100</v>
          </cell>
        </row>
        <row r="150">
          <cell r="A150">
            <v>22100</v>
          </cell>
          <cell r="B150">
            <v>15473530.680805027</v>
          </cell>
          <cell r="C150">
            <v>134316617.40106454</v>
          </cell>
          <cell r="D150">
            <v>149790148.08186957</v>
          </cell>
          <cell r="E150">
            <v>148070000</v>
          </cell>
        </row>
        <row r="185">
          <cell r="B185" t="str">
            <v>Gastos Fijos</v>
          </cell>
          <cell r="C185" t="str">
            <v>Gastos variables</v>
          </cell>
          <cell r="D185" t="str">
            <v>Gastos Totales</v>
          </cell>
          <cell r="E185" t="str">
            <v>Ingreso</v>
          </cell>
        </row>
        <row r="186">
          <cell r="A186">
            <v>1292</v>
          </cell>
          <cell r="B186">
            <v>16137669.532010026</v>
          </cell>
          <cell r="C186">
            <v>6626722.162693016</v>
          </cell>
          <cell r="D186">
            <v>22764391.694703043</v>
          </cell>
          <cell r="E186">
            <v>8656400</v>
          </cell>
        </row>
        <row r="187">
          <cell r="A187">
            <v>4116</v>
          </cell>
          <cell r="B187">
            <v>16137669.532010026</v>
          </cell>
          <cell r="C187">
            <v>21111136.54926041</v>
          </cell>
          <cell r="D187">
            <v>37248806.08127044</v>
          </cell>
          <cell r="E187">
            <v>27577200</v>
          </cell>
        </row>
        <row r="188">
          <cell r="A188">
            <v>5846</v>
          </cell>
          <cell r="B188">
            <v>16137669.532010026</v>
          </cell>
          <cell r="C188">
            <v>29984379.07360942</v>
          </cell>
          <cell r="D188">
            <v>46122048.605619445</v>
          </cell>
          <cell r="E188">
            <v>39168200</v>
          </cell>
        </row>
        <row r="189">
          <cell r="A189">
            <v>8670</v>
          </cell>
          <cell r="B189">
            <v>16137669.532010026</v>
          </cell>
          <cell r="C189">
            <v>44468793.46017682</v>
          </cell>
          <cell r="D189">
            <v>60606462.992186844</v>
          </cell>
          <cell r="E189">
            <v>58089000</v>
          </cell>
        </row>
        <row r="190">
          <cell r="A190">
            <v>10851</v>
          </cell>
          <cell r="B190">
            <v>16137669.532010026</v>
          </cell>
          <cell r="C190">
            <v>55655233.89116247</v>
          </cell>
          <cell r="D190">
            <v>71792903.4231725</v>
          </cell>
          <cell r="E190">
            <v>72701700</v>
          </cell>
        </row>
        <row r="191">
          <cell r="A191">
            <v>13541</v>
          </cell>
          <cell r="B191">
            <v>16137669.532010026</v>
          </cell>
          <cell r="C191">
            <v>69452356.66023694</v>
          </cell>
          <cell r="D191">
            <v>85590026.19224697</v>
          </cell>
          <cell r="E191">
            <v>90724700</v>
          </cell>
        </row>
        <row r="192">
          <cell r="A192">
            <v>16044</v>
          </cell>
          <cell r="B192">
            <v>16137669.532010026</v>
          </cell>
          <cell r="C192">
            <v>82290348.58997425</v>
          </cell>
          <cell r="D192">
            <v>98428018.12198427</v>
          </cell>
          <cell r="E192">
            <v>107494800</v>
          </cell>
        </row>
        <row r="193">
          <cell r="A193">
            <v>18452</v>
          </cell>
          <cell r="B193">
            <v>16137669.532010026</v>
          </cell>
          <cell r="C193">
            <v>94641081.53716062</v>
          </cell>
          <cell r="D193">
            <v>110778751.06917065</v>
          </cell>
          <cell r="E193">
            <v>123628400</v>
          </cell>
        </row>
        <row r="194">
          <cell r="A194">
            <v>20720</v>
          </cell>
          <cell r="B194">
            <v>16137669.532010026</v>
          </cell>
          <cell r="C194">
            <v>106273748.61532453</v>
          </cell>
          <cell r="D194">
            <v>122411418.14733455</v>
          </cell>
          <cell r="E194">
            <v>138824000</v>
          </cell>
        </row>
        <row r="195">
          <cell r="A195">
            <v>23240</v>
          </cell>
          <cell r="B195">
            <v>16137669.532010026</v>
          </cell>
          <cell r="C195">
            <v>119198934.25772886</v>
          </cell>
          <cell r="D195">
            <v>135336603.7897389</v>
          </cell>
          <cell r="E195">
            <v>155708000</v>
          </cell>
        </row>
        <row r="196">
          <cell r="A196">
            <v>24740</v>
          </cell>
          <cell r="B196">
            <v>16137669.532010026</v>
          </cell>
          <cell r="C196">
            <v>126892497.14011239</v>
          </cell>
          <cell r="D196">
            <v>143030166.67212242</v>
          </cell>
          <cell r="E196">
            <v>165758000</v>
          </cell>
        </row>
        <row r="197">
          <cell r="A197">
            <v>26000</v>
          </cell>
          <cell r="B197">
            <v>16137669.532010026</v>
          </cell>
          <cell r="C197">
            <v>133355089.96131456</v>
          </cell>
          <cell r="D197">
            <v>149492759.49332458</v>
          </cell>
          <cell r="E197">
            <v>174200000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6"/>
  <sheetViews>
    <sheetView zoomScale="90" zoomScaleNormal="90" zoomScalePageLayoutView="0" workbookViewId="0" topLeftCell="A1">
      <selection activeCell="B15" sqref="B15"/>
    </sheetView>
  </sheetViews>
  <sheetFormatPr defaultColWidth="11.00390625" defaultRowHeight="12.75"/>
  <cols>
    <col min="1" max="1" width="42.140625" style="0" customWidth="1"/>
    <col min="2" max="3" width="11.00390625" style="0" customWidth="1"/>
    <col min="4" max="4" width="17.28125" style="0" customWidth="1"/>
    <col min="5" max="5" width="11.00390625" style="0" customWidth="1"/>
    <col min="6" max="6" width="6.8515625" style="0" customWidth="1"/>
    <col min="7" max="12" width="11.00390625" style="0" customWidth="1"/>
    <col min="13" max="13" width="17.00390625" style="0" customWidth="1"/>
  </cols>
  <sheetData>
    <row r="1" spans="1:5" ht="12.75">
      <c r="A1" s="1" t="s">
        <v>0</v>
      </c>
      <c r="E1" s="2">
        <v>12</v>
      </c>
    </row>
    <row r="2" spans="7:13" ht="15">
      <c r="G2" s="345" t="s">
        <v>1</v>
      </c>
      <c r="H2" s="345"/>
      <c r="I2" s="345"/>
      <c r="J2" s="345"/>
      <c r="K2" s="345"/>
      <c r="L2" s="345"/>
      <c r="M2" s="345"/>
    </row>
    <row r="3" spans="1:13" ht="14.25" customHeight="1">
      <c r="A3" s="3" t="s">
        <v>2</v>
      </c>
      <c r="B3" s="4">
        <v>0.21</v>
      </c>
      <c r="G3" s="346" t="s">
        <v>3</v>
      </c>
      <c r="H3" s="346"/>
      <c r="I3" s="346"/>
      <c r="J3" s="346"/>
      <c r="K3" s="346"/>
      <c r="L3" s="346"/>
      <c r="M3" s="346"/>
    </row>
    <row r="4" spans="1:13" ht="12.75">
      <c r="A4" s="3" t="s">
        <v>4</v>
      </c>
      <c r="B4" s="4">
        <v>0.35</v>
      </c>
      <c r="G4" s="346"/>
      <c r="H4" s="346"/>
      <c r="I4" s="346"/>
      <c r="J4" s="346"/>
      <c r="K4" s="346"/>
      <c r="L4" s="346"/>
      <c r="M4" s="346"/>
    </row>
    <row r="5" spans="1:13" ht="12.75">
      <c r="A5" s="3" t="s">
        <v>5</v>
      </c>
      <c r="B5" s="5">
        <v>0.025</v>
      </c>
      <c r="C5" t="s">
        <v>6</v>
      </c>
      <c r="G5" s="346"/>
      <c r="H5" s="346"/>
      <c r="I5" s="346"/>
      <c r="J5" s="346"/>
      <c r="K5" s="346"/>
      <c r="L5" s="346"/>
      <c r="M5" s="346"/>
    </row>
    <row r="6" spans="7:13" ht="12.75">
      <c r="G6" s="346"/>
      <c r="H6" s="346"/>
      <c r="I6" s="346"/>
      <c r="J6" s="346"/>
      <c r="K6" s="346"/>
      <c r="L6" s="346"/>
      <c r="M6" s="346"/>
    </row>
    <row r="7" spans="1:13" ht="14.25" customHeight="1">
      <c r="A7" s="3" t="s">
        <v>7</v>
      </c>
      <c r="B7" t="s">
        <v>8</v>
      </c>
      <c r="G7" s="347" t="s">
        <v>9</v>
      </c>
      <c r="H7" s="347"/>
      <c r="I7" s="347"/>
      <c r="J7" s="347"/>
      <c r="K7" s="347"/>
      <c r="L7" s="347"/>
      <c r="M7" s="347"/>
    </row>
    <row r="8" spans="1:13" ht="12.75">
      <c r="A8" s="6" t="s">
        <v>10</v>
      </c>
      <c r="B8" s="7">
        <v>30</v>
      </c>
      <c r="C8" t="s">
        <v>11</v>
      </c>
      <c r="G8" s="347"/>
      <c r="H8" s="347"/>
      <c r="I8" s="347"/>
      <c r="J8" s="347"/>
      <c r="K8" s="347"/>
      <c r="L8" s="347"/>
      <c r="M8" s="347"/>
    </row>
    <row r="9" spans="1:13" ht="12.75">
      <c r="A9" s="6" t="s">
        <v>12</v>
      </c>
      <c r="B9" s="7">
        <v>10</v>
      </c>
      <c r="C9" t="s">
        <v>11</v>
      </c>
      <c r="G9" s="348" t="s">
        <v>13</v>
      </c>
      <c r="H9" s="348"/>
      <c r="I9" s="348"/>
      <c r="J9" s="348"/>
      <c r="K9" s="348"/>
      <c r="L9" s="348"/>
      <c r="M9" s="348"/>
    </row>
    <row r="10" spans="1:13" ht="14.25" customHeight="1">
      <c r="A10" s="6" t="s">
        <v>14</v>
      </c>
      <c r="B10" s="7">
        <v>10</v>
      </c>
      <c r="C10" t="s">
        <v>11</v>
      </c>
      <c r="G10" s="349" t="s">
        <v>15</v>
      </c>
      <c r="H10" s="349"/>
      <c r="I10" s="349"/>
      <c r="J10" s="349"/>
      <c r="K10" s="349"/>
      <c r="L10" s="349"/>
      <c r="M10" s="349"/>
    </row>
    <row r="11" spans="1:13" ht="12.75">
      <c r="A11" s="6" t="s">
        <v>16</v>
      </c>
      <c r="B11" s="7">
        <v>5</v>
      </c>
      <c r="C11" t="s">
        <v>11</v>
      </c>
      <c r="G11" s="349"/>
      <c r="H11" s="349"/>
      <c r="I11" s="349"/>
      <c r="J11" s="349"/>
      <c r="K11" s="349"/>
      <c r="L11" s="349"/>
      <c r="M11" s="349"/>
    </row>
    <row r="12" spans="1:13" ht="14.25" customHeight="1">
      <c r="A12" s="6" t="s">
        <v>17</v>
      </c>
      <c r="B12" s="7">
        <v>5</v>
      </c>
      <c r="C12" t="s">
        <v>11</v>
      </c>
      <c r="G12" s="349" t="s">
        <v>18</v>
      </c>
      <c r="H12" s="349"/>
      <c r="I12" s="349"/>
      <c r="J12" s="349"/>
      <c r="K12" s="349"/>
      <c r="L12" s="349"/>
      <c r="M12" s="349"/>
    </row>
    <row r="13" spans="1:13" ht="12.75">
      <c r="A13" s="6" t="s">
        <v>19</v>
      </c>
      <c r="B13" s="7">
        <v>3</v>
      </c>
      <c r="C13" t="s">
        <v>11</v>
      </c>
      <c r="G13" s="349"/>
      <c r="H13" s="349"/>
      <c r="I13" s="349"/>
      <c r="J13" s="349"/>
      <c r="K13" s="349"/>
      <c r="L13" s="349"/>
      <c r="M13" s="349"/>
    </row>
    <row r="14" spans="1:3" ht="12.75">
      <c r="A14" s="6" t="s">
        <v>20</v>
      </c>
      <c r="B14" s="7">
        <v>5</v>
      </c>
      <c r="C14" t="s">
        <v>11</v>
      </c>
    </row>
    <row r="15" spans="1:2" ht="12.75">
      <c r="A15" s="6" t="s">
        <v>21</v>
      </c>
      <c r="B15" s="8">
        <v>0.035</v>
      </c>
    </row>
    <row r="17" spans="1:7" ht="12.75">
      <c r="A17" s="3" t="s">
        <v>22</v>
      </c>
      <c r="B17" s="9" t="s">
        <v>402</v>
      </c>
      <c r="C17" s="10"/>
      <c r="D17" s="10"/>
      <c r="E17" s="10"/>
      <c r="F17" s="10"/>
      <c r="G17" s="11"/>
    </row>
    <row r="19" spans="1:3" ht="12.75">
      <c r="A19" s="3" t="s">
        <v>23</v>
      </c>
      <c r="B19" s="12">
        <v>26000</v>
      </c>
      <c r="C19" t="s">
        <v>24</v>
      </c>
    </row>
    <row r="20" spans="1:3" ht="12.75">
      <c r="A20" s="3" t="s">
        <v>25</v>
      </c>
      <c r="B20" s="12">
        <v>6700</v>
      </c>
      <c r="C20" t="s">
        <v>26</v>
      </c>
    </row>
    <row r="22" ht="12.75">
      <c r="A22" s="3" t="s">
        <v>27</v>
      </c>
    </row>
    <row r="23" spans="1:3" ht="12.75">
      <c r="A23" s="3" t="s">
        <v>28</v>
      </c>
      <c r="B23" s="12">
        <v>12</v>
      </c>
      <c r="C23" t="s">
        <v>29</v>
      </c>
    </row>
    <row r="24" spans="1:3" ht="12.75">
      <c r="A24" s="3" t="s">
        <v>30</v>
      </c>
      <c r="B24" s="12">
        <v>4</v>
      </c>
      <c r="C24" t="s">
        <v>29</v>
      </c>
    </row>
    <row r="25" spans="1:3" ht="12.75">
      <c r="A25" s="3" t="s">
        <v>31</v>
      </c>
      <c r="B25" s="12">
        <v>4</v>
      </c>
      <c r="C25" t="s">
        <v>29</v>
      </c>
    </row>
    <row r="27" spans="1:3" ht="12.75">
      <c r="A27" s="3" t="s">
        <v>32</v>
      </c>
      <c r="B27" s="12">
        <v>880</v>
      </c>
      <c r="C27" t="s">
        <v>33</v>
      </c>
    </row>
    <row r="28" spans="1:3" ht="12.75">
      <c r="A28" s="3" t="s">
        <v>34</v>
      </c>
      <c r="B28" s="12">
        <v>11</v>
      </c>
      <c r="C28" t="s">
        <v>35</v>
      </c>
    </row>
    <row r="29" spans="1:3" ht="12.75">
      <c r="A29" s="3" t="s">
        <v>36</v>
      </c>
      <c r="B29" s="12">
        <v>3</v>
      </c>
      <c r="C29" t="s">
        <v>35</v>
      </c>
    </row>
    <row r="32" spans="1:5" ht="12.75">
      <c r="A32" s="3" t="s">
        <v>37</v>
      </c>
      <c r="B32" s="12">
        <v>29</v>
      </c>
      <c r="C32" t="s">
        <v>38</v>
      </c>
      <c r="D32" s="12">
        <v>1</v>
      </c>
      <c r="E32" t="s">
        <v>39</v>
      </c>
    </row>
    <row r="33" ht="12.75">
      <c r="A33" s="13"/>
    </row>
    <row r="34" ht="12.75">
      <c r="A34" s="13"/>
    </row>
    <row r="35" spans="1:7" ht="12.75">
      <c r="A35" s="3" t="s">
        <v>40</v>
      </c>
      <c r="B35" s="14"/>
      <c r="C35" t="s">
        <v>41</v>
      </c>
      <c r="G35" s="15" t="s">
        <v>42</v>
      </c>
    </row>
    <row r="36" spans="1:4" ht="12.75">
      <c r="A36" s="3" t="s">
        <v>43</v>
      </c>
      <c r="B36" s="344"/>
      <c r="C36" s="344"/>
      <c r="D36" s="344"/>
    </row>
    <row r="37" spans="1:2" ht="12.75">
      <c r="A37" s="3" t="s">
        <v>44</v>
      </c>
      <c r="B37" s="16"/>
    </row>
    <row r="38" ht="12.75">
      <c r="A38" s="3"/>
    </row>
    <row r="39" spans="1:2" ht="12.75">
      <c r="A39" s="3" t="s">
        <v>45</v>
      </c>
      <c r="B39" s="12"/>
    </row>
    <row r="40" spans="1:2" ht="12.75">
      <c r="A40" s="3" t="s">
        <v>46</v>
      </c>
      <c r="B40" s="12"/>
    </row>
    <row r="41" spans="1:3" ht="12.75">
      <c r="A41" s="3" t="s">
        <v>47</v>
      </c>
      <c r="B41" s="12"/>
      <c r="C41" t="s">
        <v>41</v>
      </c>
    </row>
    <row r="136" ht="12.75">
      <c r="AN136" s="15" t="s">
        <v>48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rintOptions/>
  <pageMargins left="0.75" right="0.75" top="0.7" bottom="1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90" zoomScaleNormal="90" zoomScalePageLayoutView="0" workbookViewId="0" topLeftCell="C1">
      <selection activeCell="F32" sqref="F32"/>
    </sheetView>
  </sheetViews>
  <sheetFormatPr defaultColWidth="11.28125" defaultRowHeight="12.75"/>
  <cols>
    <col min="1" max="1" width="7.8515625" style="17" customWidth="1"/>
    <col min="2" max="2" width="20.00390625" style="17" customWidth="1"/>
    <col min="3" max="3" width="33.28125" style="17" bestFit="1" customWidth="1"/>
    <col min="4" max="4" width="16.00390625" style="17" bestFit="1" customWidth="1"/>
    <col min="5" max="5" width="14.7109375" style="17" customWidth="1"/>
    <col min="6" max="6" width="16.00390625" style="17" bestFit="1" customWidth="1"/>
    <col min="7" max="7" width="16.7109375" style="17" bestFit="1" customWidth="1"/>
    <col min="8" max="8" width="16.00390625" style="17" bestFit="1" customWidth="1"/>
    <col min="9" max="10" width="14.7109375" style="17" customWidth="1"/>
    <col min="11" max="11" width="17.140625" style="17" bestFit="1" customWidth="1"/>
    <col min="12" max="13" width="16.7109375" style="17" bestFit="1" customWidth="1"/>
    <col min="14" max="14" width="17.28125" style="17" customWidth="1"/>
    <col min="15" max="16384" width="11.28125" style="17" customWidth="1"/>
  </cols>
  <sheetData>
    <row r="1" spans="1:8" ht="12.75">
      <c r="A1" s="1" t="s">
        <v>0</v>
      </c>
      <c r="B1"/>
      <c r="C1"/>
      <c r="D1"/>
      <c r="G1" s="17">
        <f>InfoInicial!E1</f>
        <v>12</v>
      </c>
      <c r="H1" s="2"/>
    </row>
    <row r="2" spans="1:13" ht="15.75">
      <c r="A2" s="121" t="s">
        <v>237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38.25">
      <c r="A3" s="125" t="s">
        <v>238</v>
      </c>
      <c r="B3" s="114" t="s">
        <v>239</v>
      </c>
      <c r="C3" s="114" t="s">
        <v>240</v>
      </c>
      <c r="D3" s="114" t="s">
        <v>241</v>
      </c>
      <c r="E3" s="114" t="s">
        <v>5</v>
      </c>
      <c r="F3" s="114" t="s">
        <v>242</v>
      </c>
      <c r="G3" s="114" t="s">
        <v>243</v>
      </c>
      <c r="H3" s="114" t="s">
        <v>244</v>
      </c>
      <c r="I3" s="114" t="s">
        <v>102</v>
      </c>
      <c r="J3" s="114" t="s">
        <v>245</v>
      </c>
      <c r="K3" s="114" t="s">
        <v>246</v>
      </c>
      <c r="L3" s="135" t="s">
        <v>247</v>
      </c>
      <c r="M3" s="136" t="s">
        <v>248</v>
      </c>
    </row>
    <row r="4" spans="1:13" ht="12.75">
      <c r="A4" s="137">
        <v>0</v>
      </c>
      <c r="B4" s="273">
        <f>'E-Cal Inv.'!B8+'E-Cal Inv.'!C8</f>
        <v>21156823.296749998</v>
      </c>
      <c r="C4" s="274">
        <f>'E-Cal Inv.'!C18</f>
        <v>3844343.253074575</v>
      </c>
      <c r="D4" s="274">
        <f>'E-IVA '!B26</f>
        <v>4632510.78986316</v>
      </c>
      <c r="E4" s="275">
        <v>0</v>
      </c>
      <c r="F4" s="275">
        <v>0</v>
      </c>
      <c r="G4" s="275">
        <f aca="true" t="shared" si="0" ref="G4:G9">F4+B4+C4+D4+E4</f>
        <v>29633677.339687735</v>
      </c>
      <c r="H4" s="276">
        <v>0</v>
      </c>
      <c r="I4" s="276">
        <v>0</v>
      </c>
      <c r="J4" s="276">
        <v>0</v>
      </c>
      <c r="K4" s="274">
        <f aca="true" t="shared" si="1" ref="K4:K9">+H4+I4+J4</f>
        <v>0</v>
      </c>
      <c r="L4" s="274">
        <f aca="true" t="shared" si="2" ref="L4:L9">K4-G4</f>
        <v>-29633677.339687735</v>
      </c>
      <c r="M4" s="274">
        <f>+L4</f>
        <v>-29633677.339687735</v>
      </c>
    </row>
    <row r="5" spans="1:13" ht="12.75">
      <c r="A5" s="140">
        <v>1</v>
      </c>
      <c r="B5" s="277">
        <f>'E-Cal Inv.'!D8</f>
        <v>460556.25</v>
      </c>
      <c r="C5" s="274">
        <f>'E-Cal Inv.'!D18</f>
        <v>15090531.052153034</v>
      </c>
      <c r="D5" s="274">
        <f>'E-IVA '!C26</f>
        <v>473477.02975087153</v>
      </c>
      <c r="E5" s="278">
        <f>'E-Costos'!B116</f>
        <v>-6534.364851854443</v>
      </c>
      <c r="F5" s="278">
        <f>'E-Costos'!B117</f>
        <v>-112064.3572093037</v>
      </c>
      <c r="G5" s="275">
        <f t="shared" si="0"/>
        <v>15905965.609842747</v>
      </c>
      <c r="H5" s="274">
        <f>'E-Costos'!B115</f>
        <v>-326718.2425927222</v>
      </c>
      <c r="I5" s="275">
        <f>'E-Inv AF y Am'!$D$56</f>
        <v>1749355.9093499999</v>
      </c>
      <c r="J5" s="278">
        <f>'E-IVA '!C28</f>
        <v>5105987.819614031</v>
      </c>
      <c r="K5" s="274">
        <f t="shared" si="1"/>
        <v>6528625.486371309</v>
      </c>
      <c r="L5" s="274">
        <f t="shared" si="2"/>
        <v>-9377340.123471439</v>
      </c>
      <c r="M5" s="279">
        <f>+M4+L5</f>
        <v>-39011017.463159174</v>
      </c>
    </row>
    <row r="6" spans="1:13" ht="12.75">
      <c r="A6" s="140">
        <v>2</v>
      </c>
      <c r="B6" s="277">
        <v>0</v>
      </c>
      <c r="C6" s="274">
        <f>'E-Cal Inv.'!E18</f>
        <v>496416.81533583417</v>
      </c>
      <c r="D6" s="274">
        <f>'E-IVA '!D26</f>
        <v>-32977.550392145626</v>
      </c>
      <c r="E6" s="278">
        <f>'E-Costos'!C116</f>
        <v>496724.6253098065</v>
      </c>
      <c r="F6" s="278">
        <f>'E-Costos'!C117</f>
        <v>8518827.32406318</v>
      </c>
      <c r="G6" s="275">
        <f t="shared" si="0"/>
        <v>9478991.214316675</v>
      </c>
      <c r="H6" s="274">
        <f>'E-Costos'!C115</f>
        <v>24836231.265490323</v>
      </c>
      <c r="I6" s="275">
        <f>'E-Inv AF y Am'!$D$56</f>
        <v>1749355.9093499999</v>
      </c>
      <c r="J6" s="278">
        <f>'E-IVA '!D28</f>
        <v>-32977.55039214529</v>
      </c>
      <c r="K6" s="274">
        <f t="shared" si="1"/>
        <v>26552609.62444818</v>
      </c>
      <c r="L6" s="274">
        <f t="shared" si="2"/>
        <v>17073618.410131507</v>
      </c>
      <c r="M6" s="279">
        <f>+M5+L6</f>
        <v>-21937399.053027667</v>
      </c>
    </row>
    <row r="7" spans="1:13" ht="12.75">
      <c r="A7" s="140">
        <v>3</v>
      </c>
      <c r="B7" s="277">
        <v>0</v>
      </c>
      <c r="C7" s="274">
        <f>'E-Cal Inv.'!F18</f>
        <v>0</v>
      </c>
      <c r="D7" s="274">
        <f>'E-IVA '!E26</f>
        <v>-501.8917377599864</v>
      </c>
      <c r="E7" s="278">
        <f>'E-Costos'!D116</f>
        <v>497221.3676946384</v>
      </c>
      <c r="F7" s="278">
        <f>'E-Costos'!D117</f>
        <v>8527346.455963047</v>
      </c>
      <c r="G7" s="275">
        <f t="shared" si="0"/>
        <v>9024065.931919927</v>
      </c>
      <c r="H7" s="274">
        <f>'E-Costos'!D115</f>
        <v>24861068.38473192</v>
      </c>
      <c r="I7" s="275">
        <f>'E-Inv AF y Am'!$D$56</f>
        <v>1749355.9093499999</v>
      </c>
      <c r="J7" s="278">
        <f>'E-IVA '!E28</f>
        <v>-501.8917377591133</v>
      </c>
      <c r="K7" s="274">
        <f t="shared" si="1"/>
        <v>26609922.40234416</v>
      </c>
      <c r="L7" s="274">
        <f t="shared" si="2"/>
        <v>17585856.470424235</v>
      </c>
      <c r="M7" s="279">
        <f>+M6+L7</f>
        <v>-4351542.582603432</v>
      </c>
    </row>
    <row r="8" spans="1:13" ht="12.75">
      <c r="A8" s="140">
        <v>4</v>
      </c>
      <c r="B8" s="277">
        <v>0</v>
      </c>
      <c r="C8" s="274">
        <f>'E-Cal Inv.'!G18</f>
        <v>18081.023617945903</v>
      </c>
      <c r="D8" s="274">
        <f>'E-IVA '!F26</f>
        <v>5501.691577180087</v>
      </c>
      <c r="E8" s="278">
        <f>'E-Costos'!E116</f>
        <v>499790.1826401526</v>
      </c>
      <c r="F8" s="278">
        <f>'E-Costos'!E117</f>
        <v>8571401.632278616</v>
      </c>
      <c r="G8" s="275">
        <f t="shared" si="0"/>
        <v>9094774.530113893</v>
      </c>
      <c r="H8" s="274">
        <f>'E-Costos'!E115</f>
        <v>24989509.13200763</v>
      </c>
      <c r="I8" s="275">
        <f>'E-Inv AF y Am'!$E$56</f>
        <v>1604355.9093499999</v>
      </c>
      <c r="J8" s="278">
        <f>'E-IVA '!F28</f>
        <v>5501.691577179357</v>
      </c>
      <c r="K8" s="274">
        <f t="shared" si="1"/>
        <v>26599366.73293481</v>
      </c>
      <c r="L8" s="274">
        <f t="shared" si="2"/>
        <v>17504592.20282092</v>
      </c>
      <c r="M8" s="279">
        <f>+M7+L8</f>
        <v>13153049.620217487</v>
      </c>
    </row>
    <row r="9" spans="1:13" ht="12.75">
      <c r="A9" s="140">
        <v>5</v>
      </c>
      <c r="B9" s="277">
        <f>-'E-Inv AF y Am'!G56</f>
        <v>-13160600</v>
      </c>
      <c r="C9" s="274">
        <f>('E-Cal Inv.'!H18-C8-C7-C6-C5-C4-'E-Cal Inv.'!H18)</f>
        <v>-19449372.14418139</v>
      </c>
      <c r="D9" s="274">
        <v>0</v>
      </c>
      <c r="E9" s="278">
        <f>'E-Costos'!F116</f>
        <v>499918.2430238539</v>
      </c>
      <c r="F9" s="278">
        <f>'E-Costos'!F117</f>
        <v>8573597.867859093</v>
      </c>
      <c r="G9" s="275">
        <f t="shared" si="0"/>
        <v>-23536456.033298444</v>
      </c>
      <c r="H9" s="274">
        <f>'E-Costos'!F115</f>
        <v>24995912.151192695</v>
      </c>
      <c r="I9" s="275">
        <f>'E-Inv AF y Am'!$E$56</f>
        <v>1604355.9093499999</v>
      </c>
      <c r="J9" s="278">
        <f>'E-IVA '!G28</f>
        <v>0</v>
      </c>
      <c r="K9" s="274">
        <f t="shared" si="1"/>
        <v>26600268.060542695</v>
      </c>
      <c r="L9" s="274">
        <f t="shared" si="2"/>
        <v>50136724.093841136</v>
      </c>
      <c r="M9" s="279">
        <f>+M8+L9</f>
        <v>63289773.71405862</v>
      </c>
    </row>
    <row r="10" spans="1:13" ht="12.75">
      <c r="A10" s="140"/>
      <c r="B10" s="280"/>
      <c r="C10" s="281"/>
      <c r="D10" s="281"/>
      <c r="E10" s="281"/>
      <c r="F10" s="281"/>
      <c r="G10" s="281"/>
      <c r="H10" s="281"/>
      <c r="I10" s="281"/>
      <c r="J10" s="281"/>
      <c r="K10" s="281"/>
      <c r="L10" s="282"/>
      <c r="M10" s="283"/>
    </row>
    <row r="11" spans="1:13" ht="12.75">
      <c r="A11" s="141" t="s">
        <v>249</v>
      </c>
      <c r="B11" s="284">
        <f aca="true" t="shared" si="3" ref="B11:G11">SUM(B4:B9)</f>
        <v>8456779.546749998</v>
      </c>
      <c r="C11" s="284">
        <f t="shared" si="3"/>
        <v>0</v>
      </c>
      <c r="D11" s="284">
        <f t="shared" si="3"/>
        <v>5078010.069061306</v>
      </c>
      <c r="E11" s="284">
        <f t="shared" si="3"/>
        <v>1987120.053816597</v>
      </c>
      <c r="F11" s="284">
        <f t="shared" si="3"/>
        <v>34079108.922954634</v>
      </c>
      <c r="G11" s="284">
        <f t="shared" si="3"/>
        <v>49601018.592582524</v>
      </c>
      <c r="H11" s="284">
        <f>SUM(H5:H9)</f>
        <v>99356002.69082984</v>
      </c>
      <c r="I11" s="284">
        <f>SUM(I4:I9)</f>
        <v>8456779.54675</v>
      </c>
      <c r="J11" s="284">
        <f>SUM(J4:J9)</f>
        <v>5078010.069061306</v>
      </c>
      <c r="K11" s="284">
        <f>SUM(K4:K9)</f>
        <v>112890792.30664116</v>
      </c>
      <c r="L11" s="284">
        <f>SUM(L4:L9)</f>
        <v>63289773.71405862</v>
      </c>
      <c r="M11" s="285"/>
    </row>
    <row r="13" spans="3:4" ht="12.75">
      <c r="C13" s="142" t="s">
        <v>250</v>
      </c>
      <c r="D13" s="143">
        <f>H11-E11-F11</f>
        <v>63289773.71405861</v>
      </c>
    </row>
    <row r="14" spans="1:5" ht="12.75">
      <c r="A14" s="76"/>
      <c r="C14" s="142" t="s">
        <v>251</v>
      </c>
      <c r="D14" s="286">
        <f>-M5/L6+1</f>
        <v>3.284871110860132</v>
      </c>
      <c r="E14" s="17" t="s">
        <v>252</v>
      </c>
    </row>
    <row r="15" spans="3:4" ht="12.75">
      <c r="C15" s="142" t="s">
        <v>253</v>
      </c>
      <c r="D15" s="145">
        <f>IRR(L4:L9)</f>
        <v>0.3091547083227411</v>
      </c>
    </row>
    <row r="16" spans="12:13" ht="12.75">
      <c r="L16" s="353" t="s">
        <v>254</v>
      </c>
      <c r="M16" s="353"/>
    </row>
    <row r="17" spans="10:13" ht="12.75">
      <c r="J17" s="146"/>
      <c r="L17" s="353" t="s">
        <v>255</v>
      </c>
      <c r="M17" s="353"/>
    </row>
    <row r="18" spans="12:13" ht="12.75">
      <c r="L18" s="147" t="s">
        <v>102</v>
      </c>
      <c r="M18" s="148" t="str">
        <f>IF(B11=I11,"OK","MAL")</f>
        <v>OK</v>
      </c>
    </row>
    <row r="19" spans="12:13" ht="12.75">
      <c r="L19" s="147" t="s">
        <v>256</v>
      </c>
      <c r="M19" s="148" t="str">
        <f>IF(D11=J11,"OK","MAL")</f>
        <v>OK</v>
      </c>
    </row>
    <row r="20" spans="12:13" ht="12.75">
      <c r="L20" s="147" t="s">
        <v>257</v>
      </c>
      <c r="M20" s="148" t="str">
        <f>IF(C11=0,"OK","MAL")</f>
        <v>OK</v>
      </c>
    </row>
    <row r="21" spans="12:13" ht="12.75">
      <c r="L21" s="147" t="s">
        <v>258</v>
      </c>
      <c r="M21" s="148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priority="1" dxfId="1" operator="equal" stopIfTrue="1">
      <formula>"OK"</formula>
    </cfRule>
    <cfRule type="cellIs" priority="2" dxfId="0" operator="equal" stopIfTrue="1">
      <formula>"MAL"</formula>
    </cfRule>
  </conditionalFormatting>
  <conditionalFormatting sqref="M19">
    <cfRule type="cellIs" priority="3" dxfId="1" operator="equal" stopIfTrue="1">
      <formula>"OK"</formula>
    </cfRule>
    <cfRule type="cellIs" priority="4" dxfId="0" operator="equal" stopIfTrue="1">
      <formula>"MAL"</formula>
    </cfRule>
  </conditionalFormatting>
  <conditionalFormatting sqref="M20">
    <cfRule type="cellIs" priority="5" dxfId="1" operator="equal" stopIfTrue="1">
      <formula>"OK"</formula>
    </cfRule>
    <cfRule type="cellIs" priority="6" dxfId="0" operator="equal" stopIfTrue="1">
      <formula>"MAL"</formula>
    </cfRule>
  </conditionalFormatting>
  <conditionalFormatting sqref="M21">
    <cfRule type="cellIs" priority="7" dxfId="1" operator="equal" stopIfTrue="1">
      <formula>"OK"</formula>
    </cfRule>
    <cfRule type="cellIs" priority="8" dxfId="0" operator="equal" stopIfTrue="1">
      <formula>"MAL"</formula>
    </cfRule>
  </conditionalFormatting>
  <conditionalFormatting sqref="J17">
    <cfRule type="cellIs" priority="9" dxfId="1" operator="equal" stopIfTrue="1">
      <formula>"OK"</formula>
    </cfRule>
    <cfRule type="cellIs" priority="10" dxfId="0" operator="equal" stopIfTrue="1">
      <formula>"MAL"</formula>
    </cfRule>
  </conditionalFormatting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90" zoomScaleNormal="90" zoomScalePageLayoutView="0" workbookViewId="0" topLeftCell="A1">
      <selection activeCell="F1" sqref="F1"/>
    </sheetView>
  </sheetViews>
  <sheetFormatPr defaultColWidth="11.28125" defaultRowHeight="12.75"/>
  <cols>
    <col min="1" max="1" width="27.140625" style="17" customWidth="1"/>
    <col min="2" max="9" width="15.00390625" style="17" customWidth="1"/>
    <col min="10" max="16384" width="11.28125" style="17" customWidth="1"/>
  </cols>
  <sheetData>
    <row r="1" spans="1:7" ht="12.75">
      <c r="A1" s="1" t="s">
        <v>0</v>
      </c>
      <c r="B1"/>
      <c r="C1"/>
      <c r="D1"/>
      <c r="F1" s="149">
        <f>InfoInicial!E1</f>
        <v>12</v>
      </c>
      <c r="G1" s="2"/>
    </row>
    <row r="2" spans="1:7" ht="15.75">
      <c r="A2" s="150" t="s">
        <v>259</v>
      </c>
      <c r="B2" s="94"/>
      <c r="C2" s="94"/>
      <c r="D2" s="94"/>
      <c r="E2" s="94"/>
      <c r="F2" s="94"/>
      <c r="G2" s="95"/>
    </row>
    <row r="3" spans="1:7" ht="12.75">
      <c r="A3" s="60" t="s">
        <v>94</v>
      </c>
      <c r="B3" s="354" t="s">
        <v>260</v>
      </c>
      <c r="C3" s="354"/>
      <c r="D3" s="354" t="s">
        <v>261</v>
      </c>
      <c r="E3" s="354"/>
      <c r="F3" s="355" t="s">
        <v>262</v>
      </c>
      <c r="G3" s="355"/>
    </row>
    <row r="4" spans="1:7" ht="12.75">
      <c r="A4" s="60" t="s">
        <v>80</v>
      </c>
      <c r="B4" s="151" t="s">
        <v>263</v>
      </c>
      <c r="C4" s="151" t="s">
        <v>264</v>
      </c>
      <c r="D4" s="151" t="s">
        <v>263</v>
      </c>
      <c r="E4" s="151" t="s">
        <v>264</v>
      </c>
      <c r="F4" s="151" t="s">
        <v>263</v>
      </c>
      <c r="G4" s="152" t="s">
        <v>264</v>
      </c>
    </row>
    <row r="5" spans="1:7" ht="12.75">
      <c r="A5" s="30" t="s">
        <v>265</v>
      </c>
      <c r="B5" s="65"/>
      <c r="C5" s="91"/>
      <c r="D5" s="65"/>
      <c r="E5" s="91"/>
      <c r="F5" s="65"/>
      <c r="G5" s="92"/>
    </row>
    <row r="6" spans="1:7" ht="12.75">
      <c r="A6" s="28" t="s">
        <v>266</v>
      </c>
      <c r="B6" s="65"/>
      <c r="C6" s="91"/>
      <c r="D6" s="65"/>
      <c r="E6" s="91"/>
      <c r="F6" s="65"/>
      <c r="G6" s="92"/>
    </row>
    <row r="7" spans="1:7" ht="12.75">
      <c r="A7" s="28" t="s">
        <v>267</v>
      </c>
      <c r="B7" s="65"/>
      <c r="C7" s="91"/>
      <c r="D7" s="65"/>
      <c r="E7" s="102"/>
      <c r="F7" s="65"/>
      <c r="G7" s="92"/>
    </row>
    <row r="8" spans="1:7" ht="12.75">
      <c r="A8" s="36" t="s">
        <v>198</v>
      </c>
      <c r="B8" s="153"/>
      <c r="C8" s="154"/>
      <c r="D8" s="153"/>
      <c r="E8" s="154"/>
      <c r="F8" s="153"/>
      <c r="G8" s="155"/>
    </row>
    <row r="9" spans="1:7" ht="12.75">
      <c r="A9" s="76"/>
      <c r="B9" s="56"/>
      <c r="C9" s="156"/>
      <c r="D9" s="56"/>
      <c r="E9" s="56"/>
      <c r="F9" s="56"/>
      <c r="G9" s="56"/>
    </row>
    <row r="10" spans="1:9" ht="15.75">
      <c r="A10" s="157" t="s">
        <v>268</v>
      </c>
      <c r="B10" s="158"/>
      <c r="C10" s="158"/>
      <c r="D10" s="158"/>
      <c r="E10" s="158"/>
      <c r="F10" s="158"/>
      <c r="G10" s="158"/>
      <c r="H10" s="158"/>
      <c r="I10" s="159"/>
    </row>
    <row r="11" spans="1:9" ht="12.75">
      <c r="A11" s="160" t="s">
        <v>269</v>
      </c>
      <c r="B11" s="161" t="s">
        <v>270</v>
      </c>
      <c r="C11" s="161" t="s">
        <v>271</v>
      </c>
      <c r="D11" s="161" t="s">
        <v>272</v>
      </c>
      <c r="E11" s="161" t="s">
        <v>271</v>
      </c>
      <c r="F11" s="161" t="s">
        <v>273</v>
      </c>
      <c r="G11" s="161" t="s">
        <v>272</v>
      </c>
      <c r="H11" s="161"/>
      <c r="I11" s="162" t="s">
        <v>274</v>
      </c>
    </row>
    <row r="12" spans="1:9" ht="12.75">
      <c r="A12" s="163"/>
      <c r="B12" s="164"/>
      <c r="C12" s="164" t="s">
        <v>275</v>
      </c>
      <c r="D12" s="164" t="s">
        <v>275</v>
      </c>
      <c r="E12" s="164" t="s">
        <v>41</v>
      </c>
      <c r="F12" s="164" t="s">
        <v>276</v>
      </c>
      <c r="G12" s="164" t="s">
        <v>41</v>
      </c>
      <c r="H12" s="164" t="s">
        <v>277</v>
      </c>
      <c r="I12" s="165" t="s">
        <v>278</v>
      </c>
    </row>
    <row r="13" spans="1:9" ht="12.75">
      <c r="A13" s="166"/>
      <c r="B13" s="87"/>
      <c r="C13" s="87"/>
      <c r="D13" s="87"/>
      <c r="E13" s="87"/>
      <c r="F13" s="167"/>
      <c r="G13" s="87"/>
      <c r="H13" s="168"/>
      <c r="I13" s="88"/>
    </row>
    <row r="14" spans="1:9" ht="12.75">
      <c r="A14" s="169"/>
      <c r="B14" s="65"/>
      <c r="C14" s="65"/>
      <c r="D14" s="65"/>
      <c r="E14" s="65"/>
      <c r="F14" s="29"/>
      <c r="G14" s="65"/>
      <c r="H14" s="102"/>
      <c r="I14" s="66"/>
    </row>
    <row r="15" spans="1:9" ht="12.75">
      <c r="A15" s="169"/>
      <c r="B15" s="65"/>
      <c r="C15" s="65"/>
      <c r="D15" s="65"/>
      <c r="E15" s="65"/>
      <c r="F15" s="29"/>
      <c r="G15" s="65"/>
      <c r="H15" s="102"/>
      <c r="I15" s="66"/>
    </row>
    <row r="16" spans="1:9" ht="12.75">
      <c r="A16" s="169"/>
      <c r="B16" s="65"/>
      <c r="C16" s="65"/>
      <c r="D16" s="65"/>
      <c r="E16" s="65"/>
      <c r="F16" s="29"/>
      <c r="G16" s="65"/>
      <c r="H16" s="102"/>
      <c r="I16" s="66"/>
    </row>
    <row r="17" spans="1:9" ht="12.75">
      <c r="A17" s="169"/>
      <c r="B17" s="65"/>
      <c r="C17" s="65"/>
      <c r="D17" s="65"/>
      <c r="E17" s="65"/>
      <c r="F17" s="29"/>
      <c r="G17" s="65"/>
      <c r="H17" s="102"/>
      <c r="I17" s="66"/>
    </row>
    <row r="18" spans="1:9" ht="12.75">
      <c r="A18" s="169"/>
      <c r="B18" s="65"/>
      <c r="C18" s="65"/>
      <c r="D18" s="65"/>
      <c r="E18" s="65"/>
      <c r="F18" s="29"/>
      <c r="G18" s="65"/>
      <c r="H18" s="102"/>
      <c r="I18" s="66"/>
    </row>
    <row r="19" spans="1:9" ht="12.75">
      <c r="A19" s="169"/>
      <c r="B19" s="65"/>
      <c r="C19" s="65"/>
      <c r="D19" s="65"/>
      <c r="E19" s="65"/>
      <c r="F19" s="29"/>
      <c r="G19" s="65"/>
      <c r="H19" s="102"/>
      <c r="I19" s="66"/>
    </row>
    <row r="20" spans="1:9" ht="12.75">
      <c r="A20" s="170"/>
      <c r="B20" s="71"/>
      <c r="C20" s="71"/>
      <c r="D20" s="80"/>
      <c r="E20" s="71"/>
      <c r="F20" s="33"/>
      <c r="G20" s="80"/>
      <c r="H20" s="171"/>
      <c r="I20" s="81"/>
    </row>
    <row r="21" spans="1:9" ht="12.75">
      <c r="A21" s="172" t="s">
        <v>279</v>
      </c>
      <c r="B21" s="173"/>
      <c r="C21" s="173"/>
      <c r="D21" s="174"/>
      <c r="E21" s="173"/>
      <c r="F21" s="175"/>
      <c r="G21" s="174"/>
      <c r="H21" s="176"/>
      <c r="I21" s="174"/>
    </row>
    <row r="22" spans="1:9" ht="12.75">
      <c r="A22" s="166"/>
      <c r="B22" s="87"/>
      <c r="C22" s="87"/>
      <c r="D22" s="63"/>
      <c r="E22" s="87"/>
      <c r="F22" s="167"/>
      <c r="G22" s="63"/>
      <c r="H22" s="168"/>
      <c r="I22" s="64"/>
    </row>
    <row r="23" spans="1:9" ht="12.75">
      <c r="A23" s="169"/>
      <c r="B23" s="65"/>
      <c r="C23" s="65"/>
      <c r="D23" s="65"/>
      <c r="E23" s="65"/>
      <c r="F23" s="29"/>
      <c r="G23" s="65"/>
      <c r="H23" s="102"/>
      <c r="I23" s="66"/>
    </row>
    <row r="24" spans="1:9" ht="12.75">
      <c r="A24" s="177"/>
      <c r="B24" s="65"/>
      <c r="C24" s="65"/>
      <c r="D24" s="65"/>
      <c r="E24" s="65"/>
      <c r="F24" s="65"/>
      <c r="G24" s="65"/>
      <c r="H24" s="91"/>
      <c r="I24" s="66"/>
    </row>
    <row r="25" spans="1:9" ht="12.75">
      <c r="A25" s="177"/>
      <c r="B25" s="65"/>
      <c r="C25" s="65"/>
      <c r="D25" s="65"/>
      <c r="E25" s="65"/>
      <c r="F25" s="65"/>
      <c r="G25" s="65"/>
      <c r="H25" s="91"/>
      <c r="I25" s="66"/>
    </row>
    <row r="26" spans="1:9" ht="12.75">
      <c r="A26" s="177"/>
      <c r="B26" s="65"/>
      <c r="C26" s="65"/>
      <c r="D26" s="65"/>
      <c r="E26" s="65"/>
      <c r="F26" s="65"/>
      <c r="G26" s="65"/>
      <c r="H26" s="91"/>
      <c r="I26" s="66"/>
    </row>
    <row r="27" spans="1:9" ht="12.75">
      <c r="A27" s="177"/>
      <c r="B27" s="65"/>
      <c r="C27" s="65"/>
      <c r="D27" s="65"/>
      <c r="E27" s="65"/>
      <c r="F27" s="65"/>
      <c r="G27" s="65"/>
      <c r="H27" s="91"/>
      <c r="I27" s="66"/>
    </row>
    <row r="28" spans="1:9" ht="12.75">
      <c r="A28" s="177"/>
      <c r="B28" s="65"/>
      <c r="C28" s="65"/>
      <c r="D28" s="65"/>
      <c r="E28" s="65"/>
      <c r="F28" s="65"/>
      <c r="G28" s="65"/>
      <c r="H28" s="91"/>
      <c r="I28" s="66"/>
    </row>
    <row r="29" spans="1:9" ht="12.75">
      <c r="A29" s="177"/>
      <c r="B29" s="65"/>
      <c r="C29" s="65"/>
      <c r="D29" s="65"/>
      <c r="E29" s="65"/>
      <c r="F29" s="65"/>
      <c r="G29" s="65"/>
      <c r="H29" s="91"/>
      <c r="I29" s="66"/>
    </row>
    <row r="30" spans="1:9" ht="12.75">
      <c r="A30" s="177"/>
      <c r="B30" s="65"/>
      <c r="C30" s="65"/>
      <c r="D30" s="65"/>
      <c r="E30" s="65"/>
      <c r="F30" s="65"/>
      <c r="G30" s="65"/>
      <c r="H30" s="91"/>
      <c r="I30" s="66"/>
    </row>
    <row r="31" spans="1:9" ht="12.75">
      <c r="A31" s="177"/>
      <c r="B31" s="65"/>
      <c r="C31" s="65"/>
      <c r="D31" s="65"/>
      <c r="E31" s="65"/>
      <c r="F31" s="65"/>
      <c r="G31" s="65"/>
      <c r="H31" s="91"/>
      <c r="I31" s="66"/>
    </row>
    <row r="32" spans="1:9" ht="12.75">
      <c r="A32" s="177"/>
      <c r="B32" s="65"/>
      <c r="C32" s="65"/>
      <c r="D32" s="65"/>
      <c r="E32" s="65"/>
      <c r="F32" s="65"/>
      <c r="G32" s="65"/>
      <c r="H32" s="91"/>
      <c r="I32" s="66"/>
    </row>
    <row r="33" spans="1:9" ht="12.75">
      <c r="A33" s="177"/>
      <c r="B33" s="65"/>
      <c r="C33" s="65"/>
      <c r="D33" s="65"/>
      <c r="E33" s="65"/>
      <c r="F33" s="65"/>
      <c r="G33" s="65"/>
      <c r="H33" s="91"/>
      <c r="I33" s="66"/>
    </row>
    <row r="34" spans="1:9" ht="12.75">
      <c r="A34" s="177"/>
      <c r="B34" s="65"/>
      <c r="C34" s="65"/>
      <c r="D34" s="65"/>
      <c r="E34" s="65"/>
      <c r="F34" s="65"/>
      <c r="G34" s="65"/>
      <c r="H34" s="91"/>
      <c r="I34" s="66"/>
    </row>
    <row r="35" spans="1:9" ht="12.75">
      <c r="A35" s="177"/>
      <c r="B35" s="65"/>
      <c r="C35" s="65"/>
      <c r="D35" s="65"/>
      <c r="E35" s="65"/>
      <c r="F35" s="29"/>
      <c r="G35" s="65"/>
      <c r="H35" s="102"/>
      <c r="I35" s="66"/>
    </row>
    <row r="36" spans="1:9" ht="12.75">
      <c r="A36" s="177"/>
      <c r="B36" s="65"/>
      <c r="C36" s="65"/>
      <c r="D36" s="65"/>
      <c r="E36" s="65"/>
      <c r="F36" s="65"/>
      <c r="G36" s="65"/>
      <c r="H36" s="91"/>
      <c r="I36" s="66"/>
    </row>
    <row r="37" spans="1:9" ht="12.75">
      <c r="A37" s="177"/>
      <c r="B37" s="65"/>
      <c r="C37" s="65"/>
      <c r="D37" s="65"/>
      <c r="E37" s="65"/>
      <c r="F37" s="29"/>
      <c r="G37" s="65"/>
      <c r="H37" s="102"/>
      <c r="I37" s="66"/>
    </row>
    <row r="38" spans="1:9" ht="12.75">
      <c r="A38" s="177"/>
      <c r="B38" s="65"/>
      <c r="C38" s="65"/>
      <c r="D38" s="65"/>
      <c r="E38" s="65"/>
      <c r="F38" s="65"/>
      <c r="G38" s="65"/>
      <c r="H38" s="91"/>
      <c r="I38" s="66"/>
    </row>
    <row r="39" spans="1:9" ht="12.75">
      <c r="A39" s="177"/>
      <c r="B39" s="65"/>
      <c r="C39" s="65"/>
      <c r="D39" s="65"/>
      <c r="E39" s="65"/>
      <c r="F39" s="29"/>
      <c r="G39" s="65"/>
      <c r="H39" s="102"/>
      <c r="I39" s="66"/>
    </row>
    <row r="40" spans="1:9" ht="12.75">
      <c r="A40" s="177"/>
      <c r="B40" s="65"/>
      <c r="C40" s="65"/>
      <c r="D40" s="65"/>
      <c r="E40" s="65"/>
      <c r="F40" s="65"/>
      <c r="G40" s="65"/>
      <c r="H40" s="91"/>
      <c r="I40" s="66"/>
    </row>
    <row r="41" spans="1:9" ht="12.75">
      <c r="A41" s="177"/>
      <c r="B41" s="65"/>
      <c r="C41" s="65"/>
      <c r="D41" s="65"/>
      <c r="E41" s="65"/>
      <c r="F41" s="29"/>
      <c r="G41" s="65"/>
      <c r="H41" s="102"/>
      <c r="I41" s="66"/>
    </row>
    <row r="42" spans="1:9" ht="12.75">
      <c r="A42" s="177"/>
      <c r="B42" s="65"/>
      <c r="C42" s="65"/>
      <c r="D42" s="65"/>
      <c r="E42" s="65"/>
      <c r="F42" s="65"/>
      <c r="G42" s="65"/>
      <c r="H42" s="91"/>
      <c r="I42" s="66"/>
    </row>
    <row r="43" spans="1:9" ht="12.75">
      <c r="A43" s="177"/>
      <c r="B43" s="65"/>
      <c r="C43" s="65"/>
      <c r="D43" s="65"/>
      <c r="E43" s="65"/>
      <c r="F43" s="29"/>
      <c r="G43" s="65"/>
      <c r="H43" s="102"/>
      <c r="I43" s="66"/>
    </row>
    <row r="44" spans="1:9" ht="12.75">
      <c r="A44" s="177"/>
      <c r="B44" s="65"/>
      <c r="C44" s="65"/>
      <c r="D44" s="65"/>
      <c r="E44" s="65"/>
      <c r="F44" s="65"/>
      <c r="G44" s="65"/>
      <c r="H44" s="91"/>
      <c r="I44" s="66"/>
    </row>
    <row r="45" spans="1:9" ht="12.75">
      <c r="A45" s="177"/>
      <c r="B45" s="65"/>
      <c r="C45" s="65"/>
      <c r="D45" s="65"/>
      <c r="E45" s="65"/>
      <c r="F45" s="29"/>
      <c r="G45" s="65"/>
      <c r="H45" s="102"/>
      <c r="I45" s="66"/>
    </row>
    <row r="46" spans="1:9" ht="12.75">
      <c r="A46" s="177"/>
      <c r="B46" s="65"/>
      <c r="C46" s="65"/>
      <c r="D46" s="65"/>
      <c r="E46" s="65"/>
      <c r="F46" s="65"/>
      <c r="G46" s="65"/>
      <c r="H46" s="91"/>
      <c r="I46" s="66"/>
    </row>
    <row r="47" spans="1:9" ht="12.75">
      <c r="A47" s="177"/>
      <c r="B47" s="65"/>
      <c r="C47" s="65"/>
      <c r="D47" s="65"/>
      <c r="E47" s="65"/>
      <c r="F47" s="29"/>
      <c r="G47" s="65"/>
      <c r="H47" s="102"/>
      <c r="I47" s="66"/>
    </row>
    <row r="48" spans="1:9" ht="12.75">
      <c r="A48" s="177"/>
      <c r="B48" s="65"/>
      <c r="C48" s="65"/>
      <c r="D48" s="65"/>
      <c r="E48" s="65"/>
      <c r="F48" s="65"/>
      <c r="G48" s="65"/>
      <c r="H48" s="91"/>
      <c r="I48" s="66"/>
    </row>
    <row r="49" spans="1:9" ht="12.75">
      <c r="A49" s="177"/>
      <c r="B49" s="65"/>
      <c r="C49" s="65"/>
      <c r="D49" s="65"/>
      <c r="E49" s="65"/>
      <c r="F49" s="29"/>
      <c r="G49" s="65"/>
      <c r="H49" s="102"/>
      <c r="I49" s="66"/>
    </row>
    <row r="50" spans="1:9" ht="12.75">
      <c r="A50" s="177"/>
      <c r="B50" s="65"/>
      <c r="C50" s="65"/>
      <c r="D50" s="65"/>
      <c r="E50" s="65"/>
      <c r="F50" s="65"/>
      <c r="G50" s="65"/>
      <c r="H50" s="91"/>
      <c r="I50" s="66"/>
    </row>
    <row r="51" spans="1:9" ht="12.75">
      <c r="A51" s="177"/>
      <c r="B51" s="65"/>
      <c r="C51" s="65"/>
      <c r="D51" s="65"/>
      <c r="E51" s="65"/>
      <c r="F51" s="29"/>
      <c r="G51" s="65"/>
      <c r="H51" s="102"/>
      <c r="I51" s="66"/>
    </row>
    <row r="52" spans="1:9" ht="12.75">
      <c r="A52" s="177"/>
      <c r="B52" s="65"/>
      <c r="C52" s="65"/>
      <c r="D52" s="65"/>
      <c r="E52" s="65"/>
      <c r="F52" s="65"/>
      <c r="G52" s="65"/>
      <c r="H52" s="91"/>
      <c r="I52" s="66"/>
    </row>
    <row r="53" spans="1:9" ht="12.75">
      <c r="A53" s="169"/>
      <c r="B53" s="65"/>
      <c r="C53" s="65"/>
      <c r="D53" s="65"/>
      <c r="E53" s="65"/>
      <c r="F53" s="29"/>
      <c r="G53" s="65"/>
      <c r="H53" s="102"/>
      <c r="I53" s="66"/>
    </row>
    <row r="54" spans="1:9" ht="12.75">
      <c r="A54" s="86" t="s">
        <v>280</v>
      </c>
      <c r="B54" s="153"/>
      <c r="C54" s="153"/>
      <c r="D54" s="153"/>
      <c r="E54" s="153"/>
      <c r="F54" s="178"/>
      <c r="G54" s="153"/>
      <c r="H54" s="179"/>
      <c r="I54" s="180"/>
    </row>
  </sheetData>
  <sheetProtection selectLockedCells="1" selectUnlockedCells="1"/>
  <mergeCells count="3">
    <mergeCell ref="B3:C3"/>
    <mergeCell ref="D3:E3"/>
    <mergeCell ref="F3:G3"/>
  </mergeCells>
  <printOptions/>
  <pageMargins left="0.25972222222222224" right="0.4597222222222222" top="0.42986111111111114" bottom="1" header="0.5118055555555555" footer="0.5118055555555555"/>
  <pageSetup fitToHeight="4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90" zoomScaleNormal="90" zoomScalePageLayoutView="0" workbookViewId="0" topLeftCell="A1">
      <selection activeCell="B4" sqref="B4"/>
    </sheetView>
  </sheetViews>
  <sheetFormatPr defaultColWidth="11.28125" defaultRowHeight="12.75"/>
  <cols>
    <col min="1" max="1" width="32.00390625" style="181" customWidth="1"/>
    <col min="2" max="7" width="13.8515625" style="181" customWidth="1"/>
    <col min="8" max="8" width="17.28125" style="181" customWidth="1"/>
    <col min="9" max="16384" width="11.28125" style="181" customWidth="1"/>
  </cols>
  <sheetData>
    <row r="1" spans="1:6" ht="12.75">
      <c r="A1" s="1" t="s">
        <v>0</v>
      </c>
      <c r="B1"/>
      <c r="C1"/>
      <c r="D1"/>
      <c r="E1" s="149"/>
      <c r="F1" s="2">
        <f>InfoInicial!E1</f>
        <v>12</v>
      </c>
    </row>
    <row r="2" spans="1:7" ht="15.75">
      <c r="A2" s="182" t="s">
        <v>281</v>
      </c>
      <c r="B2" s="183"/>
      <c r="C2" s="183"/>
      <c r="D2" s="183"/>
      <c r="E2" s="183"/>
      <c r="F2" s="183"/>
      <c r="G2" s="184"/>
    </row>
    <row r="3" spans="1:7" ht="12.75">
      <c r="A3" s="185" t="s">
        <v>94</v>
      </c>
      <c r="B3" s="186" t="s">
        <v>54</v>
      </c>
      <c r="C3" s="186" t="s">
        <v>95</v>
      </c>
      <c r="D3" s="186" t="s">
        <v>96</v>
      </c>
      <c r="E3" s="186" t="s">
        <v>97</v>
      </c>
      <c r="F3" s="187" t="s">
        <v>98</v>
      </c>
      <c r="G3" s="188" t="s">
        <v>198</v>
      </c>
    </row>
    <row r="4" spans="1:7" ht="12.75">
      <c r="A4" s="181" t="s">
        <v>282</v>
      </c>
      <c r="B4" s="65"/>
      <c r="C4" s="65"/>
      <c r="D4" s="65"/>
      <c r="E4" s="65"/>
      <c r="F4" s="118"/>
      <c r="G4" s="66"/>
    </row>
    <row r="5" spans="1:7" ht="12.75">
      <c r="A5" s="181" t="s">
        <v>283</v>
      </c>
      <c r="B5" s="65"/>
      <c r="C5" s="65"/>
      <c r="D5" s="65"/>
      <c r="E5" s="65"/>
      <c r="F5" s="118"/>
      <c r="G5" s="66"/>
    </row>
    <row r="6" spans="1:7" ht="12.75">
      <c r="A6" s="181" t="s">
        <v>284</v>
      </c>
      <c r="B6" s="65"/>
      <c r="C6" s="65"/>
      <c r="D6" s="65"/>
      <c r="E6" s="65"/>
      <c r="F6" s="118"/>
      <c r="G6" s="66"/>
    </row>
    <row r="7" spans="1:7" ht="12.75">
      <c r="A7" s="181" t="s">
        <v>120</v>
      </c>
      <c r="B7" s="89"/>
      <c r="C7" s="89"/>
      <c r="D7" s="89"/>
      <c r="E7" s="89"/>
      <c r="F7" s="119"/>
      <c r="G7" s="90"/>
    </row>
    <row r="8" spans="1:7" ht="12.75">
      <c r="A8" s="181" t="s">
        <v>285</v>
      </c>
      <c r="B8" s="65"/>
      <c r="C8" s="65"/>
      <c r="D8" s="65"/>
      <c r="E8" s="65"/>
      <c r="F8" s="118"/>
      <c r="G8" s="66"/>
    </row>
    <row r="9" spans="1:7" ht="12.75">
      <c r="A9" s="181" t="s">
        <v>286</v>
      </c>
      <c r="B9" s="65"/>
      <c r="C9" s="65"/>
      <c r="D9" s="65"/>
      <c r="E9" s="65"/>
      <c r="F9" s="118"/>
      <c r="G9" s="66"/>
    </row>
    <row r="10" spans="1:7" ht="12.75">
      <c r="A10" s="181" t="s">
        <v>287</v>
      </c>
      <c r="B10" s="65"/>
      <c r="C10" s="65"/>
      <c r="D10" s="65"/>
      <c r="E10" s="65"/>
      <c r="F10" s="118"/>
      <c r="G10" s="66"/>
    </row>
    <row r="11" spans="1:7" ht="12.75">
      <c r="A11" s="189" t="s">
        <v>288</v>
      </c>
      <c r="B11" s="65"/>
      <c r="C11" s="65"/>
      <c r="D11" s="65"/>
      <c r="E11" s="65"/>
      <c r="F11" s="118"/>
      <c r="G11" s="66"/>
    </row>
    <row r="12" spans="1:7" ht="12.75">
      <c r="A12" s="181" t="s">
        <v>289</v>
      </c>
      <c r="B12" s="65"/>
      <c r="C12" s="65"/>
      <c r="D12" s="65"/>
      <c r="E12" s="65"/>
      <c r="F12" s="118"/>
      <c r="G12" s="66"/>
    </row>
    <row r="13" spans="1:7" ht="12.75">
      <c r="A13" s="190" t="s">
        <v>290</v>
      </c>
      <c r="B13" s="65"/>
      <c r="C13" s="65"/>
      <c r="D13" s="65"/>
      <c r="E13" s="65"/>
      <c r="F13" s="118"/>
      <c r="G13" s="66"/>
    </row>
    <row r="14" spans="1:7" ht="12.75">
      <c r="A14" s="191" t="s">
        <v>291</v>
      </c>
      <c r="B14" s="71"/>
      <c r="C14" s="71"/>
      <c r="D14" s="71"/>
      <c r="E14" s="71"/>
      <c r="F14" s="120"/>
      <c r="G14" s="72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90" zoomScaleNormal="90" zoomScalePageLayoutView="0" workbookViewId="0" topLeftCell="A1">
      <selection activeCell="D1" sqref="D1"/>
    </sheetView>
  </sheetViews>
  <sheetFormatPr defaultColWidth="11.28125" defaultRowHeight="12.75"/>
  <cols>
    <col min="1" max="1" width="54.28125" style="181" customWidth="1"/>
    <col min="2" max="4" width="13.8515625" style="181" customWidth="1"/>
    <col min="5" max="250" width="11.28125" style="181" customWidth="1"/>
  </cols>
  <sheetData>
    <row r="1" spans="1:5" ht="12.75">
      <c r="A1" s="1" t="s">
        <v>0</v>
      </c>
      <c r="B1"/>
      <c r="C1"/>
      <c r="D1">
        <f>InfoInicial!E1</f>
        <v>12</v>
      </c>
      <c r="E1" s="2"/>
    </row>
    <row r="2" spans="1:4" ht="15.75">
      <c r="A2" s="182" t="s">
        <v>292</v>
      </c>
      <c r="B2" s="183"/>
      <c r="C2" s="183"/>
      <c r="D2" s="184"/>
    </row>
    <row r="3" spans="1:4" ht="12.75">
      <c r="A3" s="185" t="s">
        <v>94</v>
      </c>
      <c r="B3" s="192" t="s">
        <v>53</v>
      </c>
      <c r="C3" s="192" t="s">
        <v>54</v>
      </c>
      <c r="D3" s="188" t="s">
        <v>198</v>
      </c>
    </row>
    <row r="4" spans="1:4" ht="12.75">
      <c r="A4" s="189" t="s">
        <v>293</v>
      </c>
      <c r="B4" s="89"/>
      <c r="C4" s="89"/>
      <c r="D4" s="90"/>
    </row>
    <row r="5" spans="2:4" ht="12.75">
      <c r="B5" s="65"/>
      <c r="C5" s="65"/>
      <c r="D5" s="66"/>
    </row>
    <row r="6" spans="1:4" ht="12.75">
      <c r="A6" s="181" t="s">
        <v>294</v>
      </c>
      <c r="B6" s="65"/>
      <c r="C6" s="65"/>
      <c r="D6" s="66"/>
    </row>
    <row r="7" spans="1:4" ht="12.75">
      <c r="A7" s="181" t="s">
        <v>295</v>
      </c>
      <c r="B7" s="65"/>
      <c r="C7" s="65"/>
      <c r="D7" s="66"/>
    </row>
    <row r="8" spans="1:4" ht="12.75">
      <c r="A8" s="189" t="s">
        <v>296</v>
      </c>
      <c r="B8" s="65"/>
      <c r="C8" s="65"/>
      <c r="D8" s="66"/>
    </row>
    <row r="9" spans="1:4" ht="12.75">
      <c r="A9" s="190" t="s">
        <v>297</v>
      </c>
      <c r="B9" s="65"/>
      <c r="C9" s="65"/>
      <c r="D9" s="66"/>
    </row>
    <row r="10" spans="1:4" ht="12.75">
      <c r="A10" s="189" t="s">
        <v>298</v>
      </c>
      <c r="B10" s="65"/>
      <c r="C10" s="65"/>
      <c r="D10" s="66"/>
    </row>
    <row r="11" spans="1:4" ht="12.75">
      <c r="A11" s="189" t="s">
        <v>299</v>
      </c>
      <c r="B11" s="89"/>
      <c r="C11" s="89"/>
      <c r="D11" s="90"/>
    </row>
    <row r="12" spans="1:4" ht="12.75">
      <c r="A12" s="190" t="s">
        <v>300</v>
      </c>
      <c r="B12" s="65"/>
      <c r="C12" s="65"/>
      <c r="D12" s="66"/>
    </row>
    <row r="13" spans="1:4" ht="12.75">
      <c r="A13" s="181" t="s">
        <v>301</v>
      </c>
      <c r="B13" s="65"/>
      <c r="C13" s="65"/>
      <c r="D13" s="66"/>
    </row>
    <row r="14" spans="1:4" ht="12.75">
      <c r="A14" s="181" t="s">
        <v>302</v>
      </c>
      <c r="B14" s="65"/>
      <c r="C14" s="65"/>
      <c r="D14" s="66"/>
    </row>
    <row r="15" spans="1:4" ht="12.75">
      <c r="A15" s="189" t="s">
        <v>303</v>
      </c>
      <c r="B15" s="65"/>
      <c r="C15" s="65"/>
      <c r="D15" s="66"/>
    </row>
    <row r="16" spans="1:4" ht="12.75">
      <c r="A16" s="181" t="s">
        <v>120</v>
      </c>
      <c r="B16" s="89"/>
      <c r="C16" s="89"/>
      <c r="D16" s="90"/>
    </row>
    <row r="17" spans="1:4" ht="12.75">
      <c r="A17" s="181" t="s">
        <v>304</v>
      </c>
      <c r="B17" s="65"/>
      <c r="C17" s="65"/>
      <c r="D17" s="66"/>
    </row>
    <row r="18" spans="1:4" ht="12.75">
      <c r="A18" s="181" t="s">
        <v>305</v>
      </c>
      <c r="B18" s="65"/>
      <c r="C18" s="65"/>
      <c r="D18" s="66"/>
    </row>
    <row r="19" spans="1:4" ht="12.75">
      <c r="A19" s="181" t="s">
        <v>306</v>
      </c>
      <c r="B19" s="65"/>
      <c r="C19" s="65"/>
      <c r="D19" s="66"/>
    </row>
    <row r="20" spans="1:4" ht="12.75">
      <c r="A20" s="189" t="s">
        <v>307</v>
      </c>
      <c r="B20" s="65"/>
      <c r="C20" s="65"/>
      <c r="D20" s="66"/>
    </row>
    <row r="21" spans="1:4" ht="12.75">
      <c r="A21" s="181" t="s">
        <v>256</v>
      </c>
      <c r="B21" s="65"/>
      <c r="C21" s="65"/>
      <c r="D21" s="66"/>
    </row>
    <row r="22" spans="1:4" ht="12.75">
      <c r="A22" s="189" t="s">
        <v>308</v>
      </c>
      <c r="B22" s="65"/>
      <c r="C22" s="65"/>
      <c r="D22" s="66"/>
    </row>
    <row r="23" spans="1:4" ht="12.75">
      <c r="A23" s="189" t="s">
        <v>309</v>
      </c>
      <c r="B23" s="65"/>
      <c r="C23" s="65"/>
      <c r="D23" s="66"/>
    </row>
    <row r="24" spans="1:4" ht="12.75">
      <c r="A24" s="189" t="s">
        <v>310</v>
      </c>
      <c r="B24" s="89"/>
      <c r="C24" s="89"/>
      <c r="D24" s="90"/>
    </row>
    <row r="25" spans="1:4" ht="12.75">
      <c r="A25" s="181" t="s">
        <v>311</v>
      </c>
      <c r="B25" s="65"/>
      <c r="C25" s="65"/>
      <c r="D25" s="66"/>
    </row>
    <row r="26" spans="1:4" ht="12.75">
      <c r="A26" s="181" t="s">
        <v>312</v>
      </c>
      <c r="B26" s="65"/>
      <c r="C26" s="65"/>
      <c r="D26" s="66"/>
    </row>
    <row r="27" spans="1:5" ht="12.75">
      <c r="A27" s="189" t="s">
        <v>313</v>
      </c>
      <c r="B27" s="65"/>
      <c r="C27" s="65"/>
      <c r="D27" s="66"/>
      <c r="E27" s="193"/>
    </row>
    <row r="28" spans="1:5" ht="12.75">
      <c r="A28" s="189" t="s">
        <v>314</v>
      </c>
      <c r="B28" s="89"/>
      <c r="C28" s="89"/>
      <c r="D28" s="119"/>
      <c r="E28" s="194" t="s">
        <v>315</v>
      </c>
    </row>
    <row r="29" spans="1:5" ht="12.75">
      <c r="A29" s="189" t="s">
        <v>316</v>
      </c>
      <c r="B29" s="65"/>
      <c r="C29" s="65"/>
      <c r="D29" s="118"/>
      <c r="E29" s="92"/>
    </row>
    <row r="30" spans="1:5" ht="12.75">
      <c r="A30" s="189" t="s">
        <v>317</v>
      </c>
      <c r="B30" s="65"/>
      <c r="C30" s="65"/>
      <c r="D30" s="118"/>
      <c r="E30" s="92"/>
    </row>
    <row r="31" spans="1:5" ht="12.75">
      <c r="A31" s="189" t="s">
        <v>318</v>
      </c>
      <c r="B31" s="65"/>
      <c r="C31" s="65"/>
      <c r="D31" s="118"/>
      <c r="E31" s="92"/>
    </row>
    <row r="32" spans="1:5" ht="12.75">
      <c r="A32" s="191" t="s">
        <v>198</v>
      </c>
      <c r="B32" s="71"/>
      <c r="C32" s="71"/>
      <c r="D32" s="120"/>
      <c r="E32" s="85"/>
    </row>
    <row r="34" spans="1:6" ht="15.75">
      <c r="A34" s="182" t="s">
        <v>319</v>
      </c>
      <c r="B34" s="183"/>
      <c r="C34" s="183"/>
      <c r="D34" s="183"/>
      <c r="E34" s="183"/>
      <c r="F34" s="183"/>
    </row>
    <row r="35" spans="1:6" ht="12.75">
      <c r="A35" s="185" t="s">
        <v>94</v>
      </c>
      <c r="B35" s="186" t="s">
        <v>54</v>
      </c>
      <c r="C35" s="186" t="s">
        <v>95</v>
      </c>
      <c r="D35" s="186" t="s">
        <v>96</v>
      </c>
      <c r="E35" s="186" t="s">
        <v>97</v>
      </c>
      <c r="F35" s="186" t="s">
        <v>98</v>
      </c>
    </row>
    <row r="36" spans="1:6" ht="12.75">
      <c r="A36" s="195" t="s">
        <v>160</v>
      </c>
      <c r="B36" s="29"/>
      <c r="C36" s="29"/>
      <c r="D36" s="29"/>
      <c r="E36" s="29"/>
      <c r="F36" s="29"/>
    </row>
    <row r="37" spans="1:6" ht="12.75">
      <c r="A37" s="196" t="s">
        <v>159</v>
      </c>
      <c r="B37" s="29"/>
      <c r="C37" s="29"/>
      <c r="D37" s="29"/>
      <c r="E37" s="29"/>
      <c r="F37" s="29"/>
    </row>
    <row r="38" spans="1:6" ht="12.75">
      <c r="A38" s="195" t="s">
        <v>162</v>
      </c>
      <c r="B38" s="29"/>
      <c r="C38" s="29"/>
      <c r="D38" s="29"/>
      <c r="E38" s="29"/>
      <c r="F38" s="29"/>
    </row>
    <row r="39" spans="1:6" ht="12.75">
      <c r="A39" s="196" t="s">
        <v>161</v>
      </c>
      <c r="B39" s="29"/>
      <c r="C39" s="29"/>
      <c r="D39" s="29"/>
      <c r="E39" s="29"/>
      <c r="F39" s="29"/>
    </row>
    <row r="40" spans="1:6" ht="12.75">
      <c r="A40" s="195" t="s">
        <v>164</v>
      </c>
      <c r="B40" s="29"/>
      <c r="C40" s="29"/>
      <c r="D40" s="29"/>
      <c r="E40" s="29"/>
      <c r="F40" s="29"/>
    </row>
    <row r="41" spans="1:6" ht="12.75">
      <c r="A41" s="196" t="s">
        <v>163</v>
      </c>
      <c r="B41" s="29"/>
      <c r="C41" s="29"/>
      <c r="D41" s="29"/>
      <c r="E41" s="29"/>
      <c r="F41" s="29"/>
    </row>
    <row r="42" spans="1:6" ht="12.75">
      <c r="A42" s="196" t="s">
        <v>320</v>
      </c>
      <c r="B42" s="29"/>
      <c r="C42" s="29"/>
      <c r="D42" s="29"/>
      <c r="E42" s="29"/>
      <c r="F42" s="29"/>
    </row>
    <row r="43" spans="1:6" ht="12.75">
      <c r="A43" s="195" t="s">
        <v>165</v>
      </c>
      <c r="B43" s="29"/>
      <c r="C43" s="29"/>
      <c r="D43" s="29"/>
      <c r="E43" s="29"/>
      <c r="F43" s="29"/>
    </row>
    <row r="44" spans="1:6" ht="12.75">
      <c r="A44" s="197" t="s">
        <v>166</v>
      </c>
      <c r="B44" s="33"/>
      <c r="C44" s="33"/>
      <c r="D44" s="33"/>
      <c r="E44" s="33"/>
      <c r="F44" s="33"/>
    </row>
    <row r="45" ht="15.75">
      <c r="A45" s="198" t="s">
        <v>321</v>
      </c>
    </row>
  </sheetData>
  <sheetProtection selectLockedCells="1" selectUnlockedCells="1"/>
  <printOptions/>
  <pageMargins left="0.25972222222222224" right="0.4597222222222222" top="0.7" bottom="1" header="0.5118055555555555" footer="0.5118055555555555"/>
  <pageSetup fitToHeight="4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90" zoomScaleNormal="90" zoomScalePageLayoutView="0" workbookViewId="0" topLeftCell="A1">
      <selection activeCell="E1" sqref="E1"/>
    </sheetView>
  </sheetViews>
  <sheetFormatPr defaultColWidth="11.28125" defaultRowHeight="12.75"/>
  <cols>
    <col min="1" max="1" width="42.8515625" style="181" customWidth="1"/>
    <col min="2" max="7" width="13.8515625" style="181" customWidth="1"/>
    <col min="8" max="8" width="17.28125" style="181" customWidth="1"/>
    <col min="9" max="16384" width="11.28125" style="181" customWidth="1"/>
  </cols>
  <sheetData>
    <row r="1" spans="1:5" ht="12.75">
      <c r="A1" s="1" t="s">
        <v>0</v>
      </c>
      <c r="B1"/>
      <c r="C1"/>
      <c r="D1"/>
      <c r="E1" s="2">
        <f>InfoInicial!E1</f>
        <v>12</v>
      </c>
    </row>
    <row r="2" spans="1:7" ht="15.75">
      <c r="A2" s="182" t="s">
        <v>217</v>
      </c>
      <c r="B2" s="183"/>
      <c r="C2" s="183"/>
      <c r="D2" s="183"/>
      <c r="E2" s="183"/>
      <c r="F2" s="183"/>
      <c r="G2" s="184"/>
    </row>
    <row r="3" spans="1:7" ht="15.75">
      <c r="A3" s="199"/>
      <c r="B3" s="200" t="s">
        <v>218</v>
      </c>
      <c r="C3" s="200"/>
      <c r="D3" s="200"/>
      <c r="E3" s="200"/>
      <c r="F3" s="200"/>
      <c r="G3" s="201"/>
    </row>
    <row r="4" spans="1:7" ht="12.75">
      <c r="A4" s="202" t="s">
        <v>94</v>
      </c>
      <c r="B4" s="203" t="s">
        <v>53</v>
      </c>
      <c r="C4" s="186" t="s">
        <v>54</v>
      </c>
      <c r="D4" s="186" t="s">
        <v>95</v>
      </c>
      <c r="E4" s="186" t="s">
        <v>96</v>
      </c>
      <c r="F4" s="186" t="s">
        <v>97</v>
      </c>
      <c r="G4" s="188" t="s">
        <v>98</v>
      </c>
    </row>
    <row r="5" spans="1:7" ht="12.75">
      <c r="A5" s="204" t="s">
        <v>322</v>
      </c>
      <c r="B5" s="127"/>
      <c r="C5" s="110"/>
      <c r="D5" s="110"/>
      <c r="E5" s="110"/>
      <c r="F5" s="110"/>
      <c r="G5" s="111"/>
    </row>
    <row r="6" spans="1:7" ht="12.75">
      <c r="A6" s="205" t="s">
        <v>323</v>
      </c>
      <c r="B6" s="129"/>
      <c r="C6" s="65"/>
      <c r="D6" s="65"/>
      <c r="E6" s="65"/>
      <c r="F6" s="65"/>
      <c r="G6" s="66"/>
    </row>
    <row r="7" spans="1:7" ht="12.75">
      <c r="A7" s="205" t="s">
        <v>324</v>
      </c>
      <c r="B7" s="129"/>
      <c r="C7" s="65"/>
      <c r="D7" s="65"/>
      <c r="E7" s="65"/>
      <c r="F7" s="65"/>
      <c r="G7" s="66"/>
    </row>
    <row r="8" spans="1:7" ht="12.75">
      <c r="A8" s="206" t="s">
        <v>325</v>
      </c>
      <c r="B8" s="129"/>
      <c r="C8" s="65"/>
      <c r="D8" s="65"/>
      <c r="E8" s="65"/>
      <c r="F8" s="65"/>
      <c r="G8" s="66"/>
    </row>
    <row r="9" spans="1:7" ht="12.75">
      <c r="A9" s="206" t="s">
        <v>326</v>
      </c>
      <c r="B9" s="129"/>
      <c r="C9" s="65"/>
      <c r="D9" s="65"/>
      <c r="E9" s="65"/>
      <c r="F9" s="65"/>
      <c r="G9" s="66"/>
    </row>
    <row r="10" spans="1:7" ht="12.75">
      <c r="A10" s="207" t="s">
        <v>327</v>
      </c>
      <c r="B10" s="129"/>
      <c r="C10" s="65"/>
      <c r="D10" s="65"/>
      <c r="E10" s="65"/>
      <c r="F10" s="65"/>
      <c r="G10" s="66"/>
    </row>
    <row r="11" spans="1:7" ht="12.75">
      <c r="A11" s="207"/>
      <c r="B11" s="131"/>
      <c r="C11" s="89"/>
      <c r="D11" s="89"/>
      <c r="E11" s="89"/>
      <c r="F11" s="89"/>
      <c r="G11" s="90"/>
    </row>
    <row r="12" spans="1:7" ht="12.75">
      <c r="A12" s="205" t="s">
        <v>229</v>
      </c>
      <c r="B12" s="129"/>
      <c r="C12" s="65"/>
      <c r="D12" s="65"/>
      <c r="E12" s="65"/>
      <c r="F12" s="65"/>
      <c r="G12" s="66"/>
    </row>
    <row r="13" spans="1:7" ht="12.75">
      <c r="A13" s="205" t="s">
        <v>230</v>
      </c>
      <c r="B13" s="129"/>
      <c r="C13" s="65"/>
      <c r="D13" s="65"/>
      <c r="E13" s="65"/>
      <c r="F13" s="65"/>
      <c r="G13" s="66"/>
    </row>
    <row r="14" spans="1:7" ht="12.75">
      <c r="A14" s="207" t="s">
        <v>328</v>
      </c>
      <c r="B14" s="129"/>
      <c r="C14" s="65"/>
      <c r="D14" s="65"/>
      <c r="E14" s="65"/>
      <c r="F14" s="65"/>
      <c r="G14" s="66"/>
    </row>
    <row r="15" spans="1:7" ht="12.75">
      <c r="A15" s="205"/>
      <c r="B15" s="131"/>
      <c r="C15" s="89"/>
      <c r="D15" s="89"/>
      <c r="E15" s="89"/>
      <c r="F15" s="89"/>
      <c r="G15" s="90"/>
    </row>
    <row r="16" spans="1:7" ht="12.75">
      <c r="A16" s="208" t="s">
        <v>329</v>
      </c>
      <c r="B16" s="129"/>
      <c r="C16" s="65"/>
      <c r="D16" s="65"/>
      <c r="E16" s="65"/>
      <c r="F16" s="65"/>
      <c r="G16" s="66"/>
    </row>
    <row r="17" spans="1:7" ht="12.75">
      <c r="A17" s="208" t="s">
        <v>330</v>
      </c>
      <c r="B17" s="129"/>
      <c r="C17" s="65"/>
      <c r="D17" s="65"/>
      <c r="E17" s="65"/>
      <c r="F17" s="65"/>
      <c r="G17" s="66"/>
    </row>
    <row r="18" spans="1:7" ht="12.75">
      <c r="A18" s="207" t="s">
        <v>331</v>
      </c>
      <c r="B18" s="129"/>
      <c r="C18" s="65"/>
      <c r="D18" s="65"/>
      <c r="E18" s="65"/>
      <c r="F18" s="65"/>
      <c r="G18" s="66"/>
    </row>
    <row r="19" spans="1:7" ht="12.75">
      <c r="A19" s="207" t="s">
        <v>332</v>
      </c>
      <c r="B19" s="129"/>
      <c r="C19" s="65"/>
      <c r="D19" s="65"/>
      <c r="E19" s="65"/>
      <c r="F19" s="65"/>
      <c r="G19" s="66"/>
    </row>
    <row r="20" spans="1:7" ht="12.75">
      <c r="A20" s="205"/>
      <c r="B20" s="131"/>
      <c r="C20" s="89"/>
      <c r="D20" s="89"/>
      <c r="E20" s="89"/>
      <c r="F20" s="89"/>
      <c r="G20" s="90"/>
    </row>
    <row r="21" spans="1:7" ht="12.75">
      <c r="A21" s="209" t="s">
        <v>236</v>
      </c>
      <c r="B21" s="134"/>
      <c r="C21" s="71"/>
      <c r="D21" s="71"/>
      <c r="E21" s="71"/>
      <c r="F21" s="71"/>
      <c r="G21" s="72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90" zoomScaleNormal="90" zoomScalePageLayoutView="0" workbookViewId="0" topLeftCell="A1">
      <selection activeCell="B5" sqref="B5"/>
    </sheetView>
  </sheetViews>
  <sheetFormatPr defaultColWidth="11.28125" defaultRowHeight="12.75"/>
  <cols>
    <col min="1" max="1" width="40.8515625" style="210" customWidth="1"/>
    <col min="2" max="7" width="14.7109375" style="210" customWidth="1"/>
    <col min="8" max="8" width="21.7109375" style="210" customWidth="1"/>
    <col min="9" max="9" width="17.28125" style="210" customWidth="1"/>
    <col min="10" max="16384" width="11.28125" style="210" customWidth="1"/>
  </cols>
  <sheetData>
    <row r="1" spans="1:5" ht="12.75">
      <c r="A1" s="1" t="s">
        <v>0</v>
      </c>
      <c r="B1"/>
      <c r="C1"/>
      <c r="D1"/>
      <c r="E1" s="2">
        <f>InfoInicial!E1</f>
        <v>12</v>
      </c>
    </row>
    <row r="3" spans="1:8" ht="15.75">
      <c r="A3" s="211" t="s">
        <v>333</v>
      </c>
      <c r="B3" s="212"/>
      <c r="C3" s="212"/>
      <c r="D3" s="212"/>
      <c r="E3" s="212"/>
      <c r="F3" s="212"/>
      <c r="G3" s="213"/>
      <c r="H3" s="214"/>
    </row>
    <row r="4" spans="1:8" ht="12.75">
      <c r="A4" s="215"/>
      <c r="B4" s="216" t="s">
        <v>53</v>
      </c>
      <c r="C4" s="216" t="s">
        <v>54</v>
      </c>
      <c r="D4" s="216" t="s">
        <v>95</v>
      </c>
      <c r="E4" s="216" t="s">
        <v>96</v>
      </c>
      <c r="F4" s="216" t="s">
        <v>97</v>
      </c>
      <c r="G4" s="217" t="s">
        <v>98</v>
      </c>
      <c r="H4" s="218" t="s">
        <v>198</v>
      </c>
    </row>
    <row r="5" spans="1:8" ht="12.75">
      <c r="A5" s="189" t="s">
        <v>334</v>
      </c>
      <c r="B5" s="96"/>
      <c r="C5" s="96"/>
      <c r="D5" s="96"/>
      <c r="E5" s="96"/>
      <c r="F5" s="96"/>
      <c r="G5" s="219"/>
      <c r="H5" s="97"/>
    </row>
    <row r="6" spans="1:8" ht="12.75">
      <c r="A6" s="181" t="s">
        <v>335</v>
      </c>
      <c r="B6" s="65"/>
      <c r="C6" s="65"/>
      <c r="D6" s="65"/>
      <c r="E6" s="65"/>
      <c r="F6" s="65"/>
      <c r="G6" s="118"/>
      <c r="H6" s="66"/>
    </row>
    <row r="7" spans="1:8" ht="12.75">
      <c r="A7" s="181" t="s">
        <v>336</v>
      </c>
      <c r="B7" s="220"/>
      <c r="C7" s="220"/>
      <c r="D7" s="220"/>
      <c r="E7" s="220"/>
      <c r="F7" s="220"/>
      <c r="G7" s="221"/>
      <c r="H7" s="222"/>
    </row>
    <row r="8" spans="1:8" ht="12.75">
      <c r="A8" s="181" t="s">
        <v>337</v>
      </c>
      <c r="B8" s="65"/>
      <c r="C8" s="65"/>
      <c r="D8" s="65"/>
      <c r="E8" s="65"/>
      <c r="F8" s="65"/>
      <c r="G8" s="118"/>
      <c r="H8" s="66"/>
    </row>
    <row r="9" spans="1:8" ht="12.75">
      <c r="A9" s="181" t="s">
        <v>338</v>
      </c>
      <c r="B9" s="220"/>
      <c r="C9" s="220"/>
      <c r="D9" s="220"/>
      <c r="E9" s="220"/>
      <c r="F9" s="220"/>
      <c r="G9" s="221"/>
      <c r="H9" s="222"/>
    </row>
    <row r="10" spans="1:8" ht="12.75">
      <c r="A10" s="181" t="s">
        <v>339</v>
      </c>
      <c r="B10" s="65"/>
      <c r="C10" s="65"/>
      <c r="D10" s="65"/>
      <c r="E10" s="65"/>
      <c r="F10" s="65"/>
      <c r="G10" s="118"/>
      <c r="H10" s="66"/>
    </row>
    <row r="11" spans="1:8" ht="12.75">
      <c r="A11" s="181" t="s">
        <v>340</v>
      </c>
      <c r="B11" s="96"/>
      <c r="C11" s="96"/>
      <c r="D11" s="96"/>
      <c r="E11" s="96"/>
      <c r="F11" s="96"/>
      <c r="G11" s="219"/>
      <c r="H11" s="97"/>
    </row>
    <row r="12" spans="1:8" ht="12.75">
      <c r="A12" s="181"/>
      <c r="B12" s="65"/>
      <c r="C12" s="65"/>
      <c r="D12" s="65"/>
      <c r="E12" s="65"/>
      <c r="F12" s="65"/>
      <c r="G12" s="118"/>
      <c r="H12" s="66"/>
    </row>
    <row r="13" spans="1:8" ht="12.75">
      <c r="A13" s="189" t="s">
        <v>341</v>
      </c>
      <c r="B13" s="65"/>
      <c r="C13" s="65"/>
      <c r="D13" s="65"/>
      <c r="E13" s="65"/>
      <c r="F13" s="65"/>
      <c r="G13" s="118"/>
      <c r="H13" s="66"/>
    </row>
    <row r="14" spans="1:8" ht="12.75">
      <c r="A14" s="181" t="s">
        <v>342</v>
      </c>
      <c r="B14" s="220"/>
      <c r="C14" s="220"/>
      <c r="D14" s="220"/>
      <c r="E14" s="220"/>
      <c r="F14" s="220"/>
      <c r="G14" s="221"/>
      <c r="H14" s="222"/>
    </row>
    <row r="15" spans="1:8" ht="12.75">
      <c r="A15" s="181" t="s">
        <v>266</v>
      </c>
      <c r="B15" s="65"/>
      <c r="C15" s="65"/>
      <c r="D15" s="65"/>
      <c r="E15" s="65"/>
      <c r="F15" s="65"/>
      <c r="G15" s="118"/>
      <c r="H15" s="66"/>
    </row>
    <row r="16" spans="1:8" ht="12.75">
      <c r="A16" s="181" t="s">
        <v>343</v>
      </c>
      <c r="B16" s="65"/>
      <c r="C16" s="65"/>
      <c r="D16" s="65"/>
      <c r="E16" s="65"/>
      <c r="F16" s="65"/>
      <c r="G16" s="118"/>
      <c r="H16" s="66"/>
    </row>
    <row r="17" spans="1:8" ht="12.75">
      <c r="A17" s="181" t="s">
        <v>344</v>
      </c>
      <c r="B17" s="65"/>
      <c r="C17" s="65"/>
      <c r="D17" s="65"/>
      <c r="E17" s="65"/>
      <c r="F17" s="65"/>
      <c r="G17" s="118"/>
      <c r="H17" s="66"/>
    </row>
    <row r="18" spans="1:8" ht="12.75">
      <c r="A18" s="181" t="s">
        <v>345</v>
      </c>
      <c r="B18" s="220"/>
      <c r="C18" s="220"/>
      <c r="D18" s="220"/>
      <c r="E18" s="220"/>
      <c r="F18" s="220"/>
      <c r="G18" s="221"/>
      <c r="H18" s="222"/>
    </row>
    <row r="19" spans="1:8" ht="12.75">
      <c r="A19" s="181" t="s">
        <v>346</v>
      </c>
      <c r="B19" s="65"/>
      <c r="C19" s="65"/>
      <c r="D19" s="65"/>
      <c r="E19" s="65"/>
      <c r="F19" s="65"/>
      <c r="G19" s="118"/>
      <c r="H19" s="66"/>
    </row>
    <row r="20" spans="1:8" ht="12.75">
      <c r="A20" s="181" t="s">
        <v>347</v>
      </c>
      <c r="B20" s="220"/>
      <c r="C20" s="220"/>
      <c r="D20" s="220"/>
      <c r="E20" s="220"/>
      <c r="F20" s="220"/>
      <c r="G20" s="221"/>
      <c r="H20" s="222"/>
    </row>
    <row r="21" spans="1:8" ht="12.75">
      <c r="A21" s="181" t="s">
        <v>348</v>
      </c>
      <c r="B21" s="65"/>
      <c r="C21" s="65"/>
      <c r="D21" s="65"/>
      <c r="E21" s="65"/>
      <c r="F21" s="65"/>
      <c r="G21" s="118"/>
      <c r="H21" s="66"/>
    </row>
    <row r="22" spans="1:8" ht="12.75">
      <c r="A22" s="181" t="s">
        <v>349</v>
      </c>
      <c r="B22" s="96"/>
      <c r="C22" s="96"/>
      <c r="D22" s="96"/>
      <c r="E22" s="96"/>
      <c r="F22" s="96"/>
      <c r="G22" s="219"/>
      <c r="H22" s="97"/>
    </row>
    <row r="23" spans="1:8" ht="12.75">
      <c r="A23" s="181"/>
      <c r="B23" s="89"/>
      <c r="C23" s="89"/>
      <c r="D23" s="89"/>
      <c r="E23" s="89"/>
      <c r="F23" s="89"/>
      <c r="G23" s="119"/>
      <c r="H23" s="90"/>
    </row>
    <row r="24" spans="1:8" ht="12.75">
      <c r="A24" s="189" t="s">
        <v>350</v>
      </c>
      <c r="B24" s="65"/>
      <c r="C24" s="65"/>
      <c r="D24" s="65"/>
      <c r="E24" s="65"/>
      <c r="F24" s="65"/>
      <c r="G24" s="118"/>
      <c r="H24" s="66"/>
    </row>
    <row r="25" spans="1:8" ht="12.75">
      <c r="A25" s="189" t="s">
        <v>351</v>
      </c>
      <c r="B25" s="65"/>
      <c r="C25" s="65"/>
      <c r="D25" s="65"/>
      <c r="E25" s="65"/>
      <c r="F25" s="65"/>
      <c r="G25" s="118"/>
      <c r="H25" s="66"/>
    </row>
    <row r="26" spans="1:8" ht="12.75">
      <c r="A26" s="189"/>
      <c r="B26" s="89"/>
      <c r="C26" s="89"/>
      <c r="D26" s="89"/>
      <c r="E26" s="89"/>
      <c r="F26" s="89"/>
      <c r="G26" s="119"/>
      <c r="H26" s="90"/>
    </row>
    <row r="27" spans="1:8" ht="12.75">
      <c r="A27" s="189" t="s">
        <v>352</v>
      </c>
      <c r="B27" s="98"/>
      <c r="C27" s="98"/>
      <c r="D27" s="98"/>
      <c r="E27" s="98"/>
      <c r="F27" s="98"/>
      <c r="G27" s="223"/>
      <c r="H27" s="99"/>
    </row>
    <row r="28" spans="1:14" ht="12.75">
      <c r="A28" s="197" t="s">
        <v>353</v>
      </c>
      <c r="B28" s="33"/>
      <c r="C28" s="33"/>
      <c r="D28" s="33"/>
      <c r="E28" s="33"/>
      <c r="F28" s="33"/>
      <c r="G28" s="224"/>
      <c r="H28" s="55"/>
      <c r="I28" s="181"/>
      <c r="J28" s="181"/>
      <c r="K28" s="181"/>
      <c r="L28" s="181"/>
      <c r="M28" s="181"/>
      <c r="N28" s="181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90" zoomScaleNormal="90" zoomScalePageLayoutView="0" workbookViewId="0" topLeftCell="A10">
      <selection activeCell="B35" sqref="B35"/>
    </sheetView>
  </sheetViews>
  <sheetFormatPr defaultColWidth="11.28125" defaultRowHeight="12.75"/>
  <cols>
    <col min="1" max="1" width="37.57421875" style="181" customWidth="1"/>
    <col min="2" max="7" width="14.7109375" style="181" customWidth="1"/>
    <col min="8" max="8" width="17.28125" style="181" customWidth="1"/>
    <col min="9" max="16384" width="11.28125" style="181" customWidth="1"/>
  </cols>
  <sheetData>
    <row r="1" spans="1:5" ht="12.75">
      <c r="A1" s="1" t="s">
        <v>0</v>
      </c>
      <c r="B1"/>
      <c r="C1"/>
      <c r="D1"/>
      <c r="E1" s="2">
        <f>InfoInicial!E1</f>
        <v>12</v>
      </c>
    </row>
    <row r="3" spans="1:7" ht="15.75">
      <c r="A3" s="211" t="s">
        <v>354</v>
      </c>
      <c r="B3" s="212"/>
      <c r="C3" s="212"/>
      <c r="D3" s="212"/>
      <c r="E3" s="212"/>
      <c r="F3" s="212"/>
      <c r="G3" s="214"/>
    </row>
    <row r="4" spans="1:7" ht="12.75">
      <c r="A4" s="225"/>
      <c r="B4" s="226" t="s">
        <v>53</v>
      </c>
      <c r="C4" s="226" t="s">
        <v>54</v>
      </c>
      <c r="D4" s="226" t="s">
        <v>95</v>
      </c>
      <c r="E4" s="226" t="s">
        <v>96</v>
      </c>
      <c r="F4" s="226" t="s">
        <v>97</v>
      </c>
      <c r="G4" s="227" t="s">
        <v>98</v>
      </c>
    </row>
    <row r="5" spans="1:7" ht="12.75">
      <c r="A5" s="228" t="s">
        <v>355</v>
      </c>
      <c r="B5" s="229"/>
      <c r="C5" s="229"/>
      <c r="D5" s="229"/>
      <c r="E5" s="229"/>
      <c r="F5" s="229"/>
      <c r="G5" s="230"/>
    </row>
    <row r="6" spans="1:7" ht="12.75">
      <c r="A6" s="195" t="s">
        <v>356</v>
      </c>
      <c r="B6" s="89"/>
      <c r="C6" s="89"/>
      <c r="D6" s="89"/>
      <c r="E6" s="89"/>
      <c r="F6" s="89"/>
      <c r="G6" s="90"/>
    </row>
    <row r="7" spans="1:7" ht="12.75">
      <c r="A7" s="215" t="s">
        <v>357</v>
      </c>
      <c r="B7" s="220"/>
      <c r="C7" s="220"/>
      <c r="D7" s="220"/>
      <c r="E7" s="220"/>
      <c r="F7" s="220"/>
      <c r="G7" s="222"/>
    </row>
    <row r="8" spans="1:7" ht="12.75">
      <c r="A8" s="215" t="s">
        <v>358</v>
      </c>
      <c r="B8" s="65"/>
      <c r="C8" s="65"/>
      <c r="D8" s="65"/>
      <c r="E8" s="65"/>
      <c r="F8" s="65"/>
      <c r="G8" s="66"/>
    </row>
    <row r="9" spans="1:7" ht="12.75">
      <c r="A9" s="195" t="s">
        <v>359</v>
      </c>
      <c r="B9" s="220"/>
      <c r="C9" s="220"/>
      <c r="D9" s="220"/>
      <c r="E9" s="220"/>
      <c r="F9" s="220"/>
      <c r="G9" s="222"/>
    </row>
    <row r="10" spans="1:7" ht="12.75">
      <c r="A10" s="195" t="s">
        <v>360</v>
      </c>
      <c r="B10" s="65"/>
      <c r="C10" s="65"/>
      <c r="D10" s="65"/>
      <c r="E10" s="65"/>
      <c r="F10" s="65"/>
      <c r="G10" s="66"/>
    </row>
    <row r="11" spans="1:7" ht="12.75">
      <c r="A11" s="195" t="s">
        <v>361</v>
      </c>
      <c r="B11" s="96"/>
      <c r="C11" s="96"/>
      <c r="D11" s="96"/>
      <c r="E11" s="96"/>
      <c r="F11" s="96"/>
      <c r="G11" s="97"/>
    </row>
    <row r="12" spans="1:7" ht="12.75">
      <c r="A12" s="195" t="s">
        <v>362</v>
      </c>
      <c r="B12" s="96"/>
      <c r="C12" s="96"/>
      <c r="D12" s="96"/>
      <c r="E12" s="96"/>
      <c r="F12" s="96"/>
      <c r="G12" s="97"/>
    </row>
    <row r="13" spans="1:7" ht="12.75">
      <c r="A13" s="195" t="s">
        <v>363</v>
      </c>
      <c r="B13" s="231"/>
      <c r="C13" s="231"/>
      <c r="D13" s="231"/>
      <c r="E13" s="231"/>
      <c r="F13" s="231"/>
      <c r="G13" s="232"/>
    </row>
    <row r="14" spans="1:7" ht="12.75">
      <c r="A14" s="215" t="s">
        <v>364</v>
      </c>
      <c r="B14" s="65"/>
      <c r="C14" s="65"/>
      <c r="D14" s="65"/>
      <c r="E14" s="65"/>
      <c r="F14" s="65"/>
      <c r="G14" s="66"/>
    </row>
    <row r="15" spans="1:7" ht="12.75">
      <c r="A15" s="215" t="s">
        <v>365</v>
      </c>
      <c r="B15" s="220"/>
      <c r="C15" s="220"/>
      <c r="D15" s="220"/>
      <c r="E15" s="220"/>
      <c r="F15" s="220"/>
      <c r="G15" s="222"/>
    </row>
    <row r="16" spans="1:7" ht="12.75">
      <c r="A16" s="215" t="s">
        <v>366</v>
      </c>
      <c r="B16" s="65"/>
      <c r="C16" s="65"/>
      <c r="D16" s="65"/>
      <c r="E16" s="65"/>
      <c r="F16" s="65"/>
      <c r="G16" s="66"/>
    </row>
    <row r="17" spans="1:7" ht="12.75">
      <c r="A17" s="215" t="s">
        <v>367</v>
      </c>
      <c r="B17" s="65"/>
      <c r="C17" s="65"/>
      <c r="D17" s="65"/>
      <c r="E17" s="65"/>
      <c r="F17" s="65"/>
      <c r="G17" s="66"/>
    </row>
    <row r="18" spans="1:7" ht="12.75">
      <c r="A18" s="195" t="s">
        <v>87</v>
      </c>
      <c r="B18" s="220"/>
      <c r="C18" s="220"/>
      <c r="D18" s="220"/>
      <c r="E18" s="220"/>
      <c r="F18" s="220"/>
      <c r="G18" s="222"/>
    </row>
    <row r="19" spans="1:7" ht="12.75">
      <c r="A19" s="215" t="s">
        <v>364</v>
      </c>
      <c r="B19" s="65"/>
      <c r="C19" s="65"/>
      <c r="D19" s="65"/>
      <c r="E19" s="65"/>
      <c r="F19" s="65"/>
      <c r="G19" s="66"/>
    </row>
    <row r="20" spans="1:7" ht="12.75">
      <c r="A20" s="215" t="s">
        <v>368</v>
      </c>
      <c r="B20" s="65"/>
      <c r="C20" s="65"/>
      <c r="D20" s="65"/>
      <c r="E20" s="65"/>
      <c r="F20" s="65"/>
      <c r="G20" s="66"/>
    </row>
    <row r="21" spans="1:7" ht="12.75">
      <c r="A21" s="215" t="s">
        <v>369</v>
      </c>
      <c r="B21" s="65"/>
      <c r="C21" s="65"/>
      <c r="D21" s="65"/>
      <c r="E21" s="65"/>
      <c r="F21" s="65"/>
      <c r="G21" s="66"/>
    </row>
    <row r="22" spans="1:7" ht="12.75">
      <c r="A22" s="215" t="s">
        <v>367</v>
      </c>
      <c r="B22" s="220"/>
      <c r="C22" s="220"/>
      <c r="D22" s="220"/>
      <c r="E22" s="220"/>
      <c r="F22" s="220"/>
      <c r="G22" s="222"/>
    </row>
    <row r="23" spans="1:7" ht="12.75">
      <c r="A23" s="195" t="s">
        <v>370</v>
      </c>
      <c r="B23" s="220"/>
      <c r="C23" s="220"/>
      <c r="D23" s="220"/>
      <c r="E23" s="220"/>
      <c r="F23" s="220"/>
      <c r="G23" s="222"/>
    </row>
    <row r="24" spans="1:7" ht="12.75">
      <c r="A24" s="195" t="s">
        <v>371</v>
      </c>
      <c r="B24" s="220"/>
      <c r="C24" s="220"/>
      <c r="D24" s="220"/>
      <c r="E24" s="220"/>
      <c r="F24" s="220"/>
      <c r="G24" s="222"/>
    </row>
    <row r="25" spans="1:7" ht="12.75">
      <c r="A25" s="195" t="s">
        <v>372</v>
      </c>
      <c r="B25" s="220"/>
      <c r="C25" s="220"/>
      <c r="D25" s="220"/>
      <c r="E25" s="220"/>
      <c r="F25" s="220"/>
      <c r="G25" s="222"/>
    </row>
    <row r="26" spans="1:7" ht="12.75">
      <c r="A26" s="195" t="s">
        <v>373</v>
      </c>
      <c r="B26" s="220"/>
      <c r="C26" s="220"/>
      <c r="D26" s="220"/>
      <c r="E26" s="220"/>
      <c r="F26" s="220"/>
      <c r="G26" s="222"/>
    </row>
    <row r="27" spans="1:7" ht="12.75">
      <c r="A27" s="195" t="s">
        <v>374</v>
      </c>
      <c r="B27" s="65"/>
      <c r="C27" s="65"/>
      <c r="D27" s="65"/>
      <c r="E27" s="65"/>
      <c r="F27" s="65"/>
      <c r="G27" s="66"/>
    </row>
    <row r="28" spans="1:7" ht="12.75">
      <c r="A28" s="195" t="s">
        <v>375</v>
      </c>
      <c r="B28" s="65"/>
      <c r="C28" s="65"/>
      <c r="D28" s="65"/>
      <c r="E28" s="65"/>
      <c r="F28" s="65"/>
      <c r="G28" s="66"/>
    </row>
    <row r="29" spans="1:7" ht="12.75">
      <c r="A29" s="195" t="s">
        <v>374</v>
      </c>
      <c r="B29" s="220"/>
      <c r="C29" s="220"/>
      <c r="D29" s="220"/>
      <c r="E29" s="220"/>
      <c r="F29" s="220"/>
      <c r="G29" s="222"/>
    </row>
    <row r="30" spans="1:7" ht="12.75">
      <c r="A30" s="195" t="s">
        <v>376</v>
      </c>
      <c r="B30" s="65"/>
      <c r="C30" s="65"/>
      <c r="D30" s="65"/>
      <c r="E30" s="65"/>
      <c r="F30" s="65"/>
      <c r="G30" s="66"/>
    </row>
    <row r="31" spans="1:7" ht="12.75">
      <c r="A31" s="195" t="s">
        <v>377</v>
      </c>
      <c r="B31" s="65"/>
      <c r="C31" s="65"/>
      <c r="D31" s="65"/>
      <c r="E31" s="65"/>
      <c r="F31" s="65"/>
      <c r="G31" s="66"/>
    </row>
    <row r="32" spans="1:7" ht="12.75">
      <c r="A32" s="195" t="s">
        <v>378</v>
      </c>
      <c r="B32" s="65"/>
      <c r="C32" s="65"/>
      <c r="D32" s="65"/>
      <c r="E32" s="65"/>
      <c r="F32" s="65"/>
      <c r="G32" s="66"/>
    </row>
    <row r="33" spans="1:7" ht="12.75">
      <c r="A33" s="195" t="s">
        <v>379</v>
      </c>
      <c r="B33" s="220"/>
      <c r="C33" s="220"/>
      <c r="D33" s="220"/>
      <c r="E33" s="220"/>
      <c r="F33" s="220"/>
      <c r="G33" s="222"/>
    </row>
    <row r="34" spans="1:7" ht="12.75">
      <c r="A34" s="195" t="s">
        <v>380</v>
      </c>
      <c r="B34" s="65"/>
      <c r="C34" s="65"/>
      <c r="D34" s="65"/>
      <c r="E34" s="65"/>
      <c r="F34" s="65"/>
      <c r="G34" s="66"/>
    </row>
    <row r="35" spans="1:7" ht="12.75">
      <c r="A35" s="197" t="s">
        <v>381</v>
      </c>
      <c r="B35" s="33"/>
      <c r="C35" s="33"/>
      <c r="D35" s="33"/>
      <c r="E35" s="33"/>
      <c r="F35" s="33"/>
      <c r="G35" s="55"/>
    </row>
    <row r="38" spans="1:7" ht="12.75">
      <c r="A38" s="233" t="s">
        <v>382</v>
      </c>
      <c r="B38" s="148" t="str">
        <f aca="true" t="shared" si="0" ref="B38:G38">IF(B24=B35,"OK","MAL")</f>
        <v>OK</v>
      </c>
      <c r="C38" s="148" t="str">
        <f t="shared" si="0"/>
        <v>OK</v>
      </c>
      <c r="D38" s="148" t="str">
        <f t="shared" si="0"/>
        <v>OK</v>
      </c>
      <c r="E38" s="148" t="str">
        <f t="shared" si="0"/>
        <v>OK</v>
      </c>
      <c r="F38" s="148" t="str">
        <f t="shared" si="0"/>
        <v>OK</v>
      </c>
      <c r="G38" s="148" t="str">
        <f t="shared" si="0"/>
        <v>OK</v>
      </c>
    </row>
  </sheetData>
  <sheetProtection selectLockedCells="1" selectUnlockedCells="1"/>
  <conditionalFormatting sqref="B38">
    <cfRule type="cellIs" priority="1" dxfId="1" operator="equal" stopIfTrue="1">
      <formula>"OK"</formula>
    </cfRule>
    <cfRule type="cellIs" priority="2" dxfId="0" operator="equal" stopIfTrue="1">
      <formula>"MAL"</formula>
    </cfRule>
  </conditionalFormatting>
  <conditionalFormatting sqref="C38">
    <cfRule type="cellIs" priority="3" dxfId="1" operator="equal" stopIfTrue="1">
      <formula>"OK"</formula>
    </cfRule>
    <cfRule type="cellIs" priority="4" dxfId="0" operator="equal" stopIfTrue="1">
      <formula>"MAL"</formula>
    </cfRule>
  </conditionalFormatting>
  <conditionalFormatting sqref="D38">
    <cfRule type="cellIs" priority="5" dxfId="1" operator="equal" stopIfTrue="1">
      <formula>"OK"</formula>
    </cfRule>
    <cfRule type="cellIs" priority="6" dxfId="0" operator="equal" stopIfTrue="1">
      <formula>"MAL"</formula>
    </cfRule>
  </conditionalFormatting>
  <conditionalFormatting sqref="E38">
    <cfRule type="cellIs" priority="7" dxfId="1" operator="equal" stopIfTrue="1">
      <formula>"OK"</formula>
    </cfRule>
    <cfRule type="cellIs" priority="8" dxfId="0" operator="equal" stopIfTrue="1">
      <formula>"MAL"</formula>
    </cfRule>
  </conditionalFormatting>
  <conditionalFormatting sqref="F38">
    <cfRule type="cellIs" priority="9" dxfId="1" operator="equal" stopIfTrue="1">
      <formula>"OK"</formula>
    </cfRule>
    <cfRule type="cellIs" priority="10" dxfId="0" operator="equal" stopIfTrue="1">
      <formula>"MAL"</formula>
    </cfRule>
  </conditionalFormatting>
  <conditionalFormatting sqref="G38">
    <cfRule type="cellIs" priority="11" dxfId="1" operator="equal" stopIfTrue="1">
      <formula>"OK"</formula>
    </cfRule>
    <cfRule type="cellIs" priority="12" dxfId="0" operator="equal" stopIfTrue="1">
      <formula>"MAL"</formula>
    </cfRule>
  </conditionalFormatting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zoomScalePageLayoutView="0" workbookViewId="0" topLeftCell="A10">
      <selection activeCell="I35" sqref="I35"/>
    </sheetView>
  </sheetViews>
  <sheetFormatPr defaultColWidth="11.28125" defaultRowHeight="12.75"/>
  <cols>
    <col min="1" max="1" width="7.8515625" style="181" customWidth="1"/>
    <col min="2" max="6" width="14.7109375" style="181" customWidth="1"/>
    <col min="7" max="7" width="16.00390625" style="181" customWidth="1"/>
    <col min="8" max="9" width="14.7109375" style="181" customWidth="1"/>
    <col min="10" max="10" width="17.421875" style="181" customWidth="1"/>
    <col min="11" max="11" width="14.7109375" style="181" customWidth="1"/>
    <col min="12" max="12" width="16.57421875" style="181" customWidth="1"/>
    <col min="13" max="13" width="18.421875" style="181" customWidth="1"/>
    <col min="14" max="14" width="17.421875" style="181" customWidth="1"/>
    <col min="15" max="15" width="17.28125" style="181" customWidth="1"/>
    <col min="16" max="16384" width="11.28125" style="181" customWidth="1"/>
  </cols>
  <sheetData>
    <row r="1" spans="1:7" ht="12.75">
      <c r="A1" s="1" t="s">
        <v>0</v>
      </c>
      <c r="B1"/>
      <c r="C1"/>
      <c r="D1"/>
      <c r="G1" s="2">
        <f>InfoInicial!E1</f>
        <v>12</v>
      </c>
    </row>
    <row r="3" spans="1:14" ht="15.75">
      <c r="A3" s="182" t="s">
        <v>383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14" ht="25.5">
      <c r="A4" s="202" t="s">
        <v>238</v>
      </c>
      <c r="B4" s="203" t="s">
        <v>342</v>
      </c>
      <c r="C4" s="203" t="s">
        <v>384</v>
      </c>
      <c r="D4" s="203" t="s">
        <v>241</v>
      </c>
      <c r="E4" s="203" t="s">
        <v>5</v>
      </c>
      <c r="F4" s="203" t="s">
        <v>242</v>
      </c>
      <c r="G4" s="203" t="s">
        <v>243</v>
      </c>
      <c r="H4" s="203" t="s">
        <v>385</v>
      </c>
      <c r="I4" s="203" t="s">
        <v>386</v>
      </c>
      <c r="J4" s="203" t="s">
        <v>102</v>
      </c>
      <c r="K4" s="203" t="s">
        <v>245</v>
      </c>
      <c r="L4" s="203" t="s">
        <v>246</v>
      </c>
      <c r="M4" s="234" t="s">
        <v>247</v>
      </c>
      <c r="N4" s="235" t="s">
        <v>248</v>
      </c>
    </row>
    <row r="5" spans="1:14" ht="12.75">
      <c r="A5" s="236">
        <v>0</v>
      </c>
      <c r="B5" s="138"/>
      <c r="C5" s="63"/>
      <c r="D5" s="63"/>
      <c r="E5" s="63"/>
      <c r="F5" s="63"/>
      <c r="G5" s="63"/>
      <c r="H5" s="63"/>
      <c r="I5" s="63"/>
      <c r="J5" s="63"/>
      <c r="K5" s="63"/>
      <c r="L5" s="63"/>
      <c r="M5" s="139"/>
      <c r="N5" s="64"/>
    </row>
    <row r="6" spans="1:14" ht="12.75">
      <c r="A6" s="237">
        <v>1</v>
      </c>
      <c r="B6" s="129"/>
      <c r="C6" s="65"/>
      <c r="D6" s="65"/>
      <c r="E6" s="65"/>
      <c r="F6" s="65"/>
      <c r="G6" s="65"/>
      <c r="H6" s="65"/>
      <c r="I6" s="65"/>
      <c r="J6" s="65"/>
      <c r="K6" s="65"/>
      <c r="L6" s="65"/>
      <c r="M6" s="118"/>
      <c r="N6" s="66"/>
    </row>
    <row r="7" spans="1:14" ht="12.75">
      <c r="A7" s="237">
        <v>2</v>
      </c>
      <c r="B7" s="129"/>
      <c r="C7" s="65"/>
      <c r="D7" s="65"/>
      <c r="E7" s="65"/>
      <c r="F7" s="65"/>
      <c r="G7" s="65"/>
      <c r="H7" s="65"/>
      <c r="I7" s="65"/>
      <c r="J7" s="65"/>
      <c r="K7" s="65"/>
      <c r="L7" s="65"/>
      <c r="M7" s="118"/>
      <c r="N7" s="66"/>
    </row>
    <row r="8" spans="1:14" ht="12.75">
      <c r="A8" s="237">
        <v>3</v>
      </c>
      <c r="B8" s="129"/>
      <c r="C8" s="65"/>
      <c r="D8" s="65"/>
      <c r="E8" s="65"/>
      <c r="F8" s="65"/>
      <c r="G8" s="65"/>
      <c r="H8" s="65"/>
      <c r="I8" s="65"/>
      <c r="J8" s="65"/>
      <c r="K8" s="65"/>
      <c r="L8" s="65"/>
      <c r="M8" s="118"/>
      <c r="N8" s="66"/>
    </row>
    <row r="9" spans="1:14" ht="12.75">
      <c r="A9" s="237">
        <v>4</v>
      </c>
      <c r="B9" s="129"/>
      <c r="C9" s="65"/>
      <c r="D9" s="65"/>
      <c r="E9" s="65"/>
      <c r="F9" s="65"/>
      <c r="G9" s="65"/>
      <c r="H9" s="65"/>
      <c r="I9" s="65"/>
      <c r="J9" s="65"/>
      <c r="K9" s="65"/>
      <c r="L9" s="65"/>
      <c r="M9" s="118"/>
      <c r="N9" s="66"/>
    </row>
    <row r="10" spans="1:14" ht="12.75">
      <c r="A10" s="237">
        <v>5</v>
      </c>
      <c r="B10" s="129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18"/>
      <c r="N10" s="66"/>
    </row>
    <row r="11" spans="1:14" ht="12.75">
      <c r="A11" s="237"/>
      <c r="B11" s="131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119"/>
      <c r="N11" s="90"/>
    </row>
    <row r="12" spans="1:14" ht="12.75">
      <c r="A12" s="238" t="s">
        <v>249</v>
      </c>
      <c r="B12" s="13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20"/>
      <c r="N12" s="72"/>
    </row>
    <row r="14" spans="3:4" ht="12.75">
      <c r="C14" s="239" t="s">
        <v>250</v>
      </c>
      <c r="D14" s="143"/>
    </row>
    <row r="15" spans="1:11" ht="12.75">
      <c r="A15" s="189"/>
      <c r="C15" s="239" t="s">
        <v>251</v>
      </c>
      <c r="D15" s="144"/>
      <c r="E15" s="181" t="s">
        <v>252</v>
      </c>
      <c r="J15"/>
      <c r="K15"/>
    </row>
    <row r="16" spans="3:11" ht="12.75">
      <c r="C16" s="239" t="s">
        <v>387</v>
      </c>
      <c r="D16" s="145"/>
      <c r="J16" s="240"/>
      <c r="K16" s="240"/>
    </row>
    <row r="17" spans="3:11" ht="12.75">
      <c r="C17" s="239"/>
      <c r="D17" s="145"/>
      <c r="J17" s="241"/>
      <c r="K17" s="242"/>
    </row>
    <row r="18" spans="1:15" ht="12.75">
      <c r="A18" s="243"/>
      <c r="B18" s="244"/>
      <c r="C18" s="244"/>
      <c r="D18" s="244"/>
      <c r="E18" s="245"/>
      <c r="F18" s="246"/>
      <c r="G18" s="246"/>
      <c r="H18" s="246"/>
      <c r="I18" s="246"/>
      <c r="J18" s="241"/>
      <c r="K18" s="247"/>
      <c r="L18" s="246"/>
      <c r="M18" s="246"/>
      <c r="N18" s="246"/>
      <c r="O18" s="244"/>
    </row>
    <row r="19" spans="1:14" ht="15.75">
      <c r="A19" s="248"/>
      <c r="B19" s="246"/>
      <c r="C19" s="249"/>
      <c r="D19" s="246"/>
      <c r="E19" s="250"/>
      <c r="F19" s="246"/>
      <c r="G19" s="246"/>
      <c r="H19" s="246"/>
      <c r="I19" s="246"/>
      <c r="J19" s="241"/>
      <c r="K19" s="242"/>
      <c r="L19" s="246"/>
      <c r="M19" s="246"/>
      <c r="N19" s="246"/>
    </row>
    <row r="20" spans="10:11" ht="12.75">
      <c r="J20" s="241"/>
      <c r="K20" s="242"/>
    </row>
    <row r="21" spans="1:11" ht="12.75">
      <c r="A21" s="251"/>
      <c r="J21" s="252"/>
      <c r="K21" s="242"/>
    </row>
    <row r="22" spans="1:11" ht="15.75">
      <c r="A22" s="182" t="s">
        <v>388</v>
      </c>
      <c r="B22" s="183"/>
      <c r="C22" s="183"/>
      <c r="D22" s="183"/>
      <c r="E22" s="183"/>
      <c r="F22" s="183"/>
      <c r="G22" s="183"/>
      <c r="H22" s="184"/>
      <c r="J22"/>
      <c r="K22"/>
    </row>
    <row r="23" spans="1:12" ht="38.25">
      <c r="A23" s="202" t="s">
        <v>238</v>
      </c>
      <c r="B23" s="203" t="s">
        <v>389</v>
      </c>
      <c r="C23" s="203" t="s">
        <v>243</v>
      </c>
      <c r="D23" s="203" t="s">
        <v>347</v>
      </c>
      <c r="E23" s="203" t="s">
        <v>390</v>
      </c>
      <c r="F23" s="203" t="s">
        <v>246</v>
      </c>
      <c r="G23" s="234" t="s">
        <v>247</v>
      </c>
      <c r="H23" s="235" t="s">
        <v>248</v>
      </c>
      <c r="K23" s="353" t="s">
        <v>254</v>
      </c>
      <c r="L23" s="353"/>
    </row>
    <row r="24" spans="1:12" ht="12.75">
      <c r="A24" s="236">
        <v>0</v>
      </c>
      <c r="B24" s="138"/>
      <c r="C24" s="63"/>
      <c r="D24" s="63"/>
      <c r="E24" s="63"/>
      <c r="F24" s="63"/>
      <c r="G24" s="139"/>
      <c r="H24" s="64"/>
      <c r="K24" s="356" t="s">
        <v>255</v>
      </c>
      <c r="L24" s="356"/>
    </row>
    <row r="25" spans="1:12" ht="12.75">
      <c r="A25" s="237">
        <v>1</v>
      </c>
      <c r="B25" s="129"/>
      <c r="C25" s="65"/>
      <c r="D25" s="65"/>
      <c r="E25" s="65"/>
      <c r="F25" s="65"/>
      <c r="G25" s="118"/>
      <c r="H25" s="66"/>
      <c r="K25" s="147" t="s">
        <v>102</v>
      </c>
      <c r="L25" s="148" t="str">
        <f>IF(B12=J12,"OK","MAL")</f>
        <v>OK</v>
      </c>
    </row>
    <row r="26" spans="1:12" ht="12.75">
      <c r="A26" s="237">
        <v>2</v>
      </c>
      <c r="B26" s="129"/>
      <c r="C26" s="65"/>
      <c r="D26" s="65"/>
      <c r="E26" s="65"/>
      <c r="F26" s="65"/>
      <c r="G26" s="118"/>
      <c r="H26" s="66"/>
      <c r="J26"/>
      <c r="K26" s="147" t="s">
        <v>256</v>
      </c>
      <c r="L26" s="148" t="str">
        <f>IF(D12=K12,"OK","MAL")</f>
        <v>OK</v>
      </c>
    </row>
    <row r="27" spans="1:12" ht="12.75">
      <c r="A27" s="237">
        <v>3</v>
      </c>
      <c r="B27" s="129"/>
      <c r="C27" s="65"/>
      <c r="D27" s="65"/>
      <c r="E27" s="65"/>
      <c r="F27" s="65"/>
      <c r="G27" s="118"/>
      <c r="H27" s="66"/>
      <c r="J27"/>
      <c r="K27" s="147" t="s">
        <v>257</v>
      </c>
      <c r="L27" s="148" t="str">
        <f>IF(C12=0,"OK","MAL")</f>
        <v>OK</v>
      </c>
    </row>
    <row r="28" spans="1:12" ht="12.75">
      <c r="A28" s="237">
        <v>4</v>
      </c>
      <c r="B28" s="129"/>
      <c r="C28" s="65"/>
      <c r="D28" s="65"/>
      <c r="E28" s="65"/>
      <c r="F28" s="65"/>
      <c r="G28" s="118"/>
      <c r="H28" s="66"/>
      <c r="J28"/>
      <c r="K28" s="147" t="s">
        <v>258</v>
      </c>
      <c r="L28" s="148" t="str">
        <f>IF((H12-F12-E12+I12)=M12,IF(M12=N10,"OK","MAL"),"MAL")</f>
        <v>OK</v>
      </c>
    </row>
    <row r="29" spans="1:12" ht="12.75">
      <c r="A29" s="237">
        <v>5</v>
      </c>
      <c r="B29" s="129"/>
      <c r="C29" s="65"/>
      <c r="D29" s="65"/>
      <c r="E29" s="65"/>
      <c r="F29" s="65"/>
      <c r="G29" s="118"/>
      <c r="H29" s="66"/>
      <c r="J29"/>
      <c r="K29" s="356" t="s">
        <v>391</v>
      </c>
      <c r="L29" s="356"/>
    </row>
    <row r="30" spans="1:12" ht="12.75">
      <c r="A30" s="237"/>
      <c r="B30" s="131"/>
      <c r="C30" s="89"/>
      <c r="D30" s="89"/>
      <c r="E30" s="89"/>
      <c r="F30" s="89"/>
      <c r="G30" s="119"/>
      <c r="H30" s="90"/>
      <c r="J30"/>
      <c r="K30" s="147" t="s">
        <v>392</v>
      </c>
      <c r="L30" s="148" t="str">
        <f>IF((H12-E12-F12)=G31,"OK","MAL")</f>
        <v>OK</v>
      </c>
    </row>
    <row r="31" spans="1:12" ht="12.75">
      <c r="A31" s="238" t="s">
        <v>249</v>
      </c>
      <c r="B31" s="134"/>
      <c r="C31" s="71"/>
      <c r="D31" s="71"/>
      <c r="E31" s="71"/>
      <c r="F31" s="71"/>
      <c r="G31" s="120"/>
      <c r="H31" s="72"/>
      <c r="K31" s="147" t="s">
        <v>393</v>
      </c>
      <c r="L31" s="148" t="str">
        <f>IF(('F- CFyU'!H28-'F- CFyU'!H7-'F- CFyU'!H8+'F- CFyU'!H14-'F- CFyU'!H25+'F- CFyU'!H15)='F- Form'!G31,"OK","MAL")</f>
        <v>OK</v>
      </c>
    </row>
    <row r="32" spans="11:12" ht="12.75">
      <c r="K32" s="147" t="s">
        <v>394</v>
      </c>
      <c r="L32" s="148" t="str">
        <f>IF('F-CRes'!G14=G31,"OK","MAL")</f>
        <v>OK</v>
      </c>
    </row>
    <row r="33" spans="11:12" ht="12.75">
      <c r="K33" s="147" t="s">
        <v>395</v>
      </c>
      <c r="L33" s="148" t="str">
        <f>IF(('F-Balance'!G33+'F-Balance'!G34)='F- Form'!G31,"OK","MAL")</f>
        <v>OK</v>
      </c>
    </row>
    <row r="34" spans="3:12" ht="12.75">
      <c r="C34" s="239" t="s">
        <v>250</v>
      </c>
      <c r="D34" s="143"/>
      <c r="E34" s="181" t="s">
        <v>396</v>
      </c>
      <c r="K34" s="147" t="s">
        <v>397</v>
      </c>
      <c r="L34" s="148" t="str">
        <f>IF(('F- CFyU'!H10-'F- CFyU'!H16-'F- CFyU'!H19-'F- CFyU'!H17)=G31,"OK","MAL")</f>
        <v>OK</v>
      </c>
    </row>
    <row r="35" spans="3:12" ht="12.75">
      <c r="C35" s="239" t="s">
        <v>251</v>
      </c>
      <c r="D35" s="144"/>
      <c r="E35" s="181" t="s">
        <v>398</v>
      </c>
      <c r="K35" s="356" t="s">
        <v>399</v>
      </c>
      <c r="L35" s="356"/>
    </row>
    <row r="36" spans="3:12" ht="12.75">
      <c r="C36" s="239" t="s">
        <v>400</v>
      </c>
      <c r="D36" s="145"/>
      <c r="K36" s="147" t="s">
        <v>401</v>
      </c>
      <c r="L36" s="148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priority="1" dxfId="1" operator="equal" stopIfTrue="1">
      <formula>"OK"</formula>
    </cfRule>
    <cfRule type="cellIs" priority="2" dxfId="0" operator="equal" stopIfTrue="1">
      <formula>"MAL"</formula>
    </cfRule>
  </conditionalFormatting>
  <conditionalFormatting sqref="L26">
    <cfRule type="cellIs" priority="3" dxfId="1" operator="equal" stopIfTrue="1">
      <formula>"OK"</formula>
    </cfRule>
    <cfRule type="cellIs" priority="4" dxfId="0" operator="equal" stopIfTrue="1">
      <formula>"MAL"</formula>
    </cfRule>
  </conditionalFormatting>
  <conditionalFormatting sqref="L27">
    <cfRule type="cellIs" priority="5" dxfId="1" operator="equal" stopIfTrue="1">
      <formula>"OK"</formula>
    </cfRule>
    <cfRule type="cellIs" priority="6" dxfId="0" operator="equal" stopIfTrue="1">
      <formula>"MAL"</formula>
    </cfRule>
  </conditionalFormatting>
  <conditionalFormatting sqref="L28">
    <cfRule type="cellIs" priority="7" dxfId="1" operator="equal" stopIfTrue="1">
      <formula>"OK"</formula>
    </cfRule>
    <cfRule type="cellIs" priority="8" dxfId="0" operator="equal" stopIfTrue="1">
      <formula>"MAL"</formula>
    </cfRule>
  </conditionalFormatting>
  <conditionalFormatting sqref="L30">
    <cfRule type="cellIs" priority="9" dxfId="1" operator="equal" stopIfTrue="1">
      <formula>"OK"</formula>
    </cfRule>
    <cfRule type="cellIs" priority="10" dxfId="0" operator="equal" stopIfTrue="1">
      <formula>"MAL"</formula>
    </cfRule>
  </conditionalFormatting>
  <conditionalFormatting sqref="L31">
    <cfRule type="cellIs" priority="11" dxfId="1" operator="equal" stopIfTrue="1">
      <formula>"OK"</formula>
    </cfRule>
    <cfRule type="cellIs" priority="12" dxfId="0" operator="equal" stopIfTrue="1">
      <formula>"MAL"</formula>
    </cfRule>
  </conditionalFormatting>
  <conditionalFormatting sqref="L32">
    <cfRule type="cellIs" priority="13" dxfId="1" operator="equal" stopIfTrue="1">
      <formula>"OK"</formula>
    </cfRule>
    <cfRule type="cellIs" priority="14" dxfId="0" operator="equal" stopIfTrue="1">
      <formula>"MAL"</formula>
    </cfRule>
  </conditionalFormatting>
  <conditionalFormatting sqref="L33">
    <cfRule type="cellIs" priority="15" dxfId="1" operator="equal" stopIfTrue="1">
      <formula>"OK"</formula>
    </cfRule>
    <cfRule type="cellIs" priority="16" dxfId="0" operator="equal" stopIfTrue="1">
      <formula>"MAL"</formula>
    </cfRule>
  </conditionalFormatting>
  <conditionalFormatting sqref="L34">
    <cfRule type="cellIs" priority="17" dxfId="1" operator="equal" stopIfTrue="1">
      <formula>"OK"</formula>
    </cfRule>
    <cfRule type="cellIs" priority="18" dxfId="0" operator="equal" stopIfTrue="1">
      <formula>"MAL"</formula>
    </cfRule>
  </conditionalFormatting>
  <conditionalFormatting sqref="L36">
    <cfRule type="cellIs" priority="19" dxfId="1" operator="equal" stopIfTrue="1">
      <formula>"OK"</formula>
    </cfRule>
    <cfRule type="cellIs" priority="20" dxfId="0" operator="equal" stopIfTrue="1">
      <formula>"MAL"</formula>
    </cfRule>
  </conditionalFormatting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zoomScalePageLayoutView="0" workbookViewId="0" topLeftCell="A35">
      <selection activeCell="B45" sqref="B45"/>
    </sheetView>
  </sheetViews>
  <sheetFormatPr defaultColWidth="11.28125" defaultRowHeight="12.75"/>
  <cols>
    <col min="1" max="1" width="45.28125" style="17" customWidth="1"/>
    <col min="2" max="2" width="16.00390625" style="17" bestFit="1" customWidth="1"/>
    <col min="3" max="6" width="14.7109375" style="17" customWidth="1"/>
    <col min="7" max="7" width="16.00390625" style="17" bestFit="1" customWidth="1"/>
    <col min="8" max="16384" width="11.28125" style="17" customWidth="1"/>
  </cols>
  <sheetData>
    <row r="1" spans="1:5" ht="12.75">
      <c r="A1" s="1" t="s">
        <v>49</v>
      </c>
      <c r="B1"/>
      <c r="C1"/>
      <c r="D1"/>
      <c r="E1" s="2">
        <f>InfoInicial!E1</f>
        <v>12</v>
      </c>
    </row>
    <row r="3" spans="1:5" ht="15.75">
      <c r="A3" s="18" t="s">
        <v>50</v>
      </c>
      <c r="B3" s="350" t="s">
        <v>51</v>
      </c>
      <c r="C3" s="350"/>
      <c r="D3" s="351" t="s">
        <v>52</v>
      </c>
      <c r="E3" s="351"/>
    </row>
    <row r="4" spans="1:5" ht="15.75">
      <c r="A4" s="21"/>
      <c r="B4" s="22" t="s">
        <v>53</v>
      </c>
      <c r="C4" s="22" t="s">
        <v>54</v>
      </c>
      <c r="D4" s="22" t="s">
        <v>53</v>
      </c>
      <c r="E4" s="23" t="s">
        <v>54</v>
      </c>
    </row>
    <row r="5" spans="1:5" ht="12.75">
      <c r="A5" s="24"/>
      <c r="B5" s="25"/>
      <c r="C5" s="25"/>
      <c r="D5" s="25"/>
      <c r="E5" s="25"/>
    </row>
    <row r="6" spans="1:5" ht="12.75">
      <c r="A6" s="26" t="s">
        <v>55</v>
      </c>
      <c r="B6" s="27"/>
      <c r="C6" s="27"/>
      <c r="D6" s="27"/>
      <c r="E6" s="27"/>
    </row>
    <row r="7" spans="1:5" ht="12.75">
      <c r="A7" s="28" t="s">
        <v>56</v>
      </c>
      <c r="B7" s="29">
        <f>'Detalle Inv AF'!B6</f>
        <v>5614400</v>
      </c>
      <c r="C7" s="29"/>
      <c r="D7" s="29"/>
      <c r="E7" s="29"/>
    </row>
    <row r="8" spans="1:5" ht="12.75">
      <c r="A8" s="28" t="s">
        <v>57</v>
      </c>
      <c r="B8" s="29">
        <f>'Detalle Inv AF'!B12</f>
        <v>3521760</v>
      </c>
      <c r="C8" s="29"/>
      <c r="D8" s="29"/>
      <c r="E8" s="29"/>
    </row>
    <row r="9" spans="1:5" ht="12.75">
      <c r="A9" s="28" t="s">
        <v>58</v>
      </c>
      <c r="B9" s="29">
        <f>'Detalle Inv AF'!B18</f>
        <v>3572800</v>
      </c>
      <c r="C9" s="29"/>
      <c r="D9" s="29"/>
      <c r="E9" s="29"/>
    </row>
    <row r="10" spans="1:5" ht="12.75">
      <c r="A10" s="28" t="s">
        <v>59</v>
      </c>
      <c r="B10" s="29"/>
      <c r="C10" s="29"/>
      <c r="D10" s="29"/>
      <c r="E10" s="29"/>
    </row>
    <row r="11" spans="1:5" ht="12.75">
      <c r="A11" s="28" t="s">
        <v>60</v>
      </c>
      <c r="C11" s="29"/>
      <c r="D11" s="29">
        <f>'Detalle Inv AF'!B26</f>
        <v>10000</v>
      </c>
      <c r="E11" s="29"/>
    </row>
    <row r="12" spans="1:5" ht="12.75">
      <c r="A12" s="28" t="s">
        <v>61</v>
      </c>
      <c r="B12" s="29">
        <f>SUM('Detalle Inv AF'!B22:B25)</f>
        <v>5685000</v>
      </c>
      <c r="C12" s="29"/>
      <c r="D12" s="29"/>
      <c r="E12" s="29"/>
    </row>
    <row r="13" spans="1:5" ht="12.75">
      <c r="A13" s="30" t="s">
        <v>62</v>
      </c>
      <c r="B13" s="29">
        <f>100000</f>
        <v>100000</v>
      </c>
      <c r="C13" s="29"/>
      <c r="E13" s="29"/>
    </row>
    <row r="14" spans="1:5" ht="12.75">
      <c r="A14" s="28" t="s">
        <v>63</v>
      </c>
      <c r="B14" s="29">
        <f>'Detalle Inv AF'!B27</f>
        <v>290000</v>
      </c>
      <c r="C14" s="29"/>
      <c r="D14" s="29"/>
      <c r="E14" s="29"/>
    </row>
    <row r="15" spans="1:5" ht="12.75">
      <c r="A15" s="28" t="s">
        <v>64</v>
      </c>
      <c r="B15" s="29">
        <f>'Detalle Inv AF'!B29</f>
        <v>400000</v>
      </c>
      <c r="C15" s="29"/>
      <c r="D15" s="29"/>
      <c r="E15" s="29"/>
    </row>
    <row r="16" spans="1:5" ht="12.75">
      <c r="A16" s="28" t="s">
        <v>65</v>
      </c>
      <c r="B16" s="29">
        <f>'Detalle Inv AF'!B31</f>
        <v>117880</v>
      </c>
      <c r="C16" s="29"/>
      <c r="D16" s="29"/>
      <c r="E16" s="29"/>
    </row>
    <row r="17" spans="1:5" ht="12.75">
      <c r="A17" s="28" t="s">
        <v>66</v>
      </c>
      <c r="B17" s="29">
        <v>0</v>
      </c>
      <c r="C17" s="29"/>
      <c r="D17" s="29"/>
      <c r="E17" s="29"/>
    </row>
    <row r="18" spans="1:5" ht="12.75">
      <c r="A18" s="28" t="s">
        <v>21</v>
      </c>
      <c r="B18" s="29">
        <f>InfoInicial!B15*(SUM(B7:B17)+D11)</f>
        <v>675914.4</v>
      </c>
      <c r="C18" s="29"/>
      <c r="D18" s="29"/>
      <c r="E18" s="29"/>
    </row>
    <row r="19" spans="1:5" ht="12.75">
      <c r="A19" s="28"/>
      <c r="B19" s="29"/>
      <c r="C19" s="29"/>
      <c r="D19" s="29"/>
      <c r="E19" s="29"/>
    </row>
    <row r="20" spans="1:5" ht="12.75">
      <c r="A20" s="26" t="s">
        <v>67</v>
      </c>
      <c r="B20" s="29">
        <f>SUM(B7:B18)+D11</f>
        <v>19987754.4</v>
      </c>
      <c r="C20" s="29"/>
      <c r="D20" s="29"/>
      <c r="E20" s="29"/>
    </row>
    <row r="21" spans="1:5" ht="12.75">
      <c r="A21" s="28"/>
      <c r="B21" s="31"/>
      <c r="C21" s="31"/>
      <c r="D21" s="31"/>
      <c r="E21" s="31"/>
    </row>
    <row r="22" spans="1:5" ht="12.75">
      <c r="A22" s="26" t="s">
        <v>68</v>
      </c>
      <c r="B22" s="31"/>
      <c r="C22" s="31"/>
      <c r="D22" s="31"/>
      <c r="E22" s="31"/>
    </row>
    <row r="23" spans="1:5" ht="12.75">
      <c r="A23" s="28" t="s">
        <v>69</v>
      </c>
      <c r="B23" s="29">
        <f>'Detalle Inv AF'!B41</f>
        <v>198086.4</v>
      </c>
      <c r="C23" s="29"/>
      <c r="D23" s="29"/>
      <c r="E23" s="29"/>
    </row>
    <row r="24" spans="1:5" ht="12.75">
      <c r="A24" s="28" t="s">
        <v>70</v>
      </c>
      <c r="B24" s="29">
        <v>100000</v>
      </c>
      <c r="C24" s="29"/>
      <c r="D24" s="29"/>
      <c r="E24" s="29"/>
    </row>
    <row r="25" spans="1:5" ht="12.75">
      <c r="A25" s="28" t="s">
        <v>71</v>
      </c>
      <c r="B25" s="29">
        <f>'Detalle Inv AF'!F4</f>
        <v>815874.4</v>
      </c>
      <c r="C25" s="29"/>
      <c r="D25" s="29"/>
      <c r="E25" s="29"/>
    </row>
    <row r="26" spans="1:5" ht="12.75">
      <c r="A26" s="30" t="s">
        <v>72</v>
      </c>
      <c r="B26" s="29"/>
      <c r="C26" s="29">
        <f>'Detalle Inv AF'!F12</f>
        <v>460556.25</v>
      </c>
      <c r="D26" s="29"/>
      <c r="E26" s="29"/>
    </row>
    <row r="27" spans="1:5" ht="12.75">
      <c r="A27" s="30" t="s">
        <v>73</v>
      </c>
      <c r="B27" s="29">
        <v>0</v>
      </c>
      <c r="C27" s="29"/>
      <c r="D27" s="29"/>
      <c r="E27" s="29"/>
    </row>
    <row r="28" spans="1:5" ht="12.75">
      <c r="A28" s="30" t="s">
        <v>74</v>
      </c>
      <c r="B28" s="29">
        <v>0</v>
      </c>
      <c r="C28" s="29"/>
      <c r="D28" s="29"/>
      <c r="E28" s="29"/>
    </row>
    <row r="29" spans="1:5" ht="12.75">
      <c r="A29" s="28" t="s">
        <v>21</v>
      </c>
      <c r="B29" s="29">
        <f>SUM('E-Inv AF y Am'!B23:B25,'E-Inv AF y Am'!C26)*InfoInicial!B15</f>
        <v>55108.096750000004</v>
      </c>
      <c r="C29" s="29"/>
      <c r="D29" s="29"/>
      <c r="E29" s="29"/>
    </row>
    <row r="30" spans="1:5" ht="12.75">
      <c r="A30" s="28"/>
      <c r="B30" s="29"/>
      <c r="C30" s="29"/>
      <c r="D30" s="29"/>
      <c r="E30" s="29"/>
    </row>
    <row r="31" spans="1:6" ht="12.75">
      <c r="A31" s="26" t="s">
        <v>75</v>
      </c>
      <c r="B31" s="29">
        <f>SUM(B23:B29)</f>
        <v>1169068.89675</v>
      </c>
      <c r="C31" s="29">
        <f>C26</f>
        <v>460556.25</v>
      </c>
      <c r="D31" s="29"/>
      <c r="E31" s="29"/>
      <c r="F31" s="256">
        <f>B31+C31</f>
        <v>1629625.14675</v>
      </c>
    </row>
    <row r="32" spans="1:6" ht="12.75">
      <c r="A32" s="28"/>
      <c r="B32" s="31"/>
      <c r="C32" s="31"/>
      <c r="D32" s="31"/>
      <c r="E32" s="31"/>
      <c r="F32" s="256">
        <f>F31/5</f>
        <v>325925.02935</v>
      </c>
    </row>
    <row r="33" spans="1:5" ht="12.75">
      <c r="A33" s="26" t="s">
        <v>76</v>
      </c>
      <c r="B33" s="29">
        <f>B31+B20</f>
        <v>21156823.296749998</v>
      </c>
      <c r="C33" s="29">
        <f>C26</f>
        <v>460556.25</v>
      </c>
      <c r="D33" s="29"/>
      <c r="E33" s="29"/>
    </row>
    <row r="34" spans="1:5" ht="12.75">
      <c r="A34" s="26" t="s">
        <v>77</v>
      </c>
      <c r="B34" s="29">
        <f>B33*InfoInicial!B3</f>
        <v>4442932.892317499</v>
      </c>
      <c r="C34" s="29">
        <f>C33*InfoInicial!B3</f>
        <v>96716.8125</v>
      </c>
      <c r="D34" s="29"/>
      <c r="E34" s="29"/>
    </row>
    <row r="35" spans="1:5" ht="12.75">
      <c r="A35" s="28"/>
      <c r="B35" s="31"/>
      <c r="C35" s="31"/>
      <c r="D35" s="31"/>
      <c r="E35" s="31"/>
    </row>
    <row r="36" spans="1:5" ht="12.75">
      <c r="A36" s="32" t="s">
        <v>78</v>
      </c>
      <c r="B36" s="33">
        <f>B33+B34</f>
        <v>25599756.189067498</v>
      </c>
      <c r="C36" s="33">
        <f>C33+C34</f>
        <v>557273.0625</v>
      </c>
      <c r="D36" s="33"/>
      <c r="E36" s="33"/>
    </row>
    <row r="39" spans="1:7" ht="12.75">
      <c r="A39" s="34" t="s">
        <v>79</v>
      </c>
      <c r="B39" s="19" t="s">
        <v>80</v>
      </c>
      <c r="C39" s="19" t="s">
        <v>81</v>
      </c>
      <c r="D39" s="350" t="s">
        <v>82</v>
      </c>
      <c r="E39" s="350"/>
      <c r="F39" s="350"/>
      <c r="G39" s="35" t="s">
        <v>83</v>
      </c>
    </row>
    <row r="40" spans="1:7" ht="12.75">
      <c r="A40" s="36"/>
      <c r="B40" s="22" t="s">
        <v>84</v>
      </c>
      <c r="C40" s="22"/>
      <c r="D40" s="22" t="s">
        <v>85</v>
      </c>
      <c r="E40" s="22" t="s">
        <v>86</v>
      </c>
      <c r="F40" s="22"/>
      <c r="G40" s="37"/>
    </row>
    <row r="41" spans="1:7" ht="12.75">
      <c r="A41" s="38" t="s">
        <v>87</v>
      </c>
      <c r="B41" s="39"/>
      <c r="C41" s="39"/>
      <c r="D41" s="39"/>
      <c r="E41" s="39"/>
      <c r="F41" s="40"/>
      <c r="G41" s="41"/>
    </row>
    <row r="42" spans="1:7" ht="12.75">
      <c r="A42" s="42"/>
      <c r="B42" s="43"/>
      <c r="C42" s="43"/>
      <c r="D42" s="43"/>
      <c r="E42" s="43"/>
      <c r="F42" s="44"/>
      <c r="G42" s="45"/>
    </row>
    <row r="43" spans="1:7" ht="12.75">
      <c r="A43" s="28" t="s">
        <v>56</v>
      </c>
      <c r="B43" s="29">
        <f>B7</f>
        <v>5614400</v>
      </c>
      <c r="C43" s="29"/>
      <c r="D43" s="29"/>
      <c r="E43" s="29"/>
      <c r="F43" s="29"/>
      <c r="G43" s="46">
        <f>B43</f>
        <v>5614400</v>
      </c>
    </row>
    <row r="44" spans="1:7" ht="12.75">
      <c r="A44" s="28" t="s">
        <v>57</v>
      </c>
      <c r="B44" s="29">
        <f>B8</f>
        <v>3521760</v>
      </c>
      <c r="C44" s="257">
        <f>1/InfoInicial!B8</f>
        <v>0.03333333333333333</v>
      </c>
      <c r="D44" s="29">
        <f>B44*C44</f>
        <v>117392</v>
      </c>
      <c r="E44" s="29">
        <f aca="true" t="shared" si="0" ref="E44:E49">C44*B44</f>
        <v>117392</v>
      </c>
      <c r="F44" s="29"/>
      <c r="G44" s="46">
        <f>B44-(3*D44+2*E44)</f>
        <v>2934800</v>
      </c>
    </row>
    <row r="45" spans="1:7" ht="12.75">
      <c r="A45" s="28" t="s">
        <v>58</v>
      </c>
      <c r="B45" s="29">
        <f>B9</f>
        <v>3572800</v>
      </c>
      <c r="C45" s="257">
        <f>1/InfoInicial!B9</f>
        <v>0.1</v>
      </c>
      <c r="D45" s="29">
        <f aca="true" t="shared" si="1" ref="D45:D50">B45*C45</f>
        <v>357280</v>
      </c>
      <c r="E45" s="29">
        <f t="shared" si="0"/>
        <v>357280</v>
      </c>
      <c r="F45" s="29"/>
      <c r="G45" s="46">
        <f>B45-3*D45-2*E45</f>
        <v>1786400</v>
      </c>
    </row>
    <row r="46" spans="1:7" ht="12.75">
      <c r="A46" s="30" t="s">
        <v>59</v>
      </c>
      <c r="B46" s="29">
        <f>SUM(B12,D11,B13,B14)-'Detalle Inv AF'!F13</f>
        <v>5650000</v>
      </c>
      <c r="C46" s="257">
        <f>1/InfoInicial!B10</f>
        <v>0.1</v>
      </c>
      <c r="D46" s="29">
        <f t="shared" si="1"/>
        <v>565000</v>
      </c>
      <c r="E46" s="29">
        <f t="shared" si="0"/>
        <v>565000</v>
      </c>
      <c r="F46" s="29"/>
      <c r="G46" s="46">
        <f>B46-3*D46-2*E46</f>
        <v>2825000</v>
      </c>
    </row>
    <row r="47" spans="1:7" ht="12.75">
      <c r="A47" s="30" t="s">
        <v>64</v>
      </c>
      <c r="B47" s="29">
        <f>B15</f>
        <v>400000</v>
      </c>
      <c r="C47" s="257">
        <f>1/InfoInicial!B11</f>
        <v>0.2</v>
      </c>
      <c r="D47" s="29">
        <f t="shared" si="1"/>
        <v>80000</v>
      </c>
      <c r="E47" s="29">
        <f t="shared" si="0"/>
        <v>80000</v>
      </c>
      <c r="F47" s="29"/>
      <c r="G47" s="46">
        <f>B47-3*D47-2*E47</f>
        <v>0</v>
      </c>
    </row>
    <row r="48" spans="1:7" ht="12.75">
      <c r="A48" s="30" t="s">
        <v>65</v>
      </c>
      <c r="B48" s="29">
        <f>B16</f>
        <v>117880</v>
      </c>
      <c r="C48" s="257">
        <f>1/InfoInicial!B12</f>
        <v>0.2</v>
      </c>
      <c r="D48" s="29">
        <f t="shared" si="1"/>
        <v>23576</v>
      </c>
      <c r="E48" s="29">
        <f t="shared" si="0"/>
        <v>23576</v>
      </c>
      <c r="F48" s="29"/>
      <c r="G48" s="46">
        <f>B48-3*D48-2*E48</f>
        <v>0</v>
      </c>
    </row>
    <row r="49" spans="1:7" ht="12.75">
      <c r="A49" s="30" t="s">
        <v>21</v>
      </c>
      <c r="B49" s="29">
        <f>B18</f>
        <v>675914.4</v>
      </c>
      <c r="C49" s="257">
        <f>1/InfoInicial!B14</f>
        <v>0.2</v>
      </c>
      <c r="D49" s="29">
        <f t="shared" si="1"/>
        <v>135182.88</v>
      </c>
      <c r="E49" s="29">
        <f t="shared" si="0"/>
        <v>135182.88</v>
      </c>
      <c r="F49" s="29"/>
      <c r="G49" s="46">
        <f>B49-3*D49-2*E49</f>
        <v>0</v>
      </c>
    </row>
    <row r="50" spans="1:7" ht="12.75">
      <c r="A50" s="30" t="s">
        <v>88</v>
      </c>
      <c r="B50" s="29">
        <f>'Detalle Inv AF'!F13</f>
        <v>435000</v>
      </c>
      <c r="C50" s="257">
        <f>1/InfoInicial!B13</f>
        <v>0.3333333333333333</v>
      </c>
      <c r="D50" s="29">
        <f t="shared" si="1"/>
        <v>145000</v>
      </c>
      <c r="E50" s="29"/>
      <c r="F50" s="29"/>
      <c r="G50" s="46">
        <f>B50-3*D50</f>
        <v>0</v>
      </c>
    </row>
    <row r="51" spans="1:7" ht="12.75">
      <c r="A51" s="47" t="s">
        <v>89</v>
      </c>
      <c r="B51" s="29">
        <f>SUM(B43:B50)</f>
        <v>19987754.4</v>
      </c>
      <c r="C51" s="257"/>
      <c r="D51" s="29">
        <f>SUM(D44:D50)</f>
        <v>1423430.88</v>
      </c>
      <c r="E51" s="29">
        <f>SUM(E44:E50)</f>
        <v>1278430.88</v>
      </c>
      <c r="F51" s="29"/>
      <c r="G51" s="46">
        <f>SUM(G43:G50)</f>
        <v>13160600</v>
      </c>
    </row>
    <row r="52" spans="1:7" ht="12.75">
      <c r="A52" s="26"/>
      <c r="B52" s="48"/>
      <c r="C52" s="258"/>
      <c r="D52" s="49"/>
      <c r="E52" s="49"/>
      <c r="F52" s="49"/>
      <c r="G52" s="50"/>
    </row>
    <row r="53" spans="1:7" ht="12.75">
      <c r="A53" s="47" t="s">
        <v>90</v>
      </c>
      <c r="B53" s="29">
        <f>B31+C31</f>
        <v>1629625.14675</v>
      </c>
      <c r="C53" s="257">
        <f>1/InfoInicial!B14</f>
        <v>0.2</v>
      </c>
      <c r="D53" s="29">
        <f>B53*C53</f>
        <v>325925.02935</v>
      </c>
      <c r="E53" s="29">
        <f>B53*C53</f>
        <v>325925.02935</v>
      </c>
      <c r="F53" s="29"/>
      <c r="G53" s="46">
        <f>B53-(5*D53)</f>
        <v>0</v>
      </c>
    </row>
    <row r="54" spans="1:7" ht="12.75">
      <c r="A54" s="47"/>
      <c r="B54" s="29"/>
      <c r="C54" s="29"/>
      <c r="D54" s="29"/>
      <c r="E54" s="29"/>
      <c r="F54" s="29"/>
      <c r="G54" s="46"/>
    </row>
    <row r="55" spans="1:9" ht="12.75">
      <c r="A55" s="26"/>
      <c r="B55" s="27"/>
      <c r="C55" s="27"/>
      <c r="D55" s="51"/>
      <c r="E55" s="52"/>
      <c r="F55" s="52"/>
      <c r="G55" s="53"/>
      <c r="H55" s="54"/>
      <c r="I55" s="54"/>
    </row>
    <row r="56" spans="1:9" ht="12.75">
      <c r="A56" s="32" t="s">
        <v>91</v>
      </c>
      <c r="B56" s="33">
        <f>B53+B51</f>
        <v>21617379.546749998</v>
      </c>
      <c r="C56" s="33"/>
      <c r="D56" s="33">
        <f>D53+D51</f>
        <v>1749355.9093499999</v>
      </c>
      <c r="E56" s="33">
        <f>E53+E51</f>
        <v>1604355.9093499999</v>
      </c>
      <c r="F56" s="33"/>
      <c r="G56" s="55">
        <f>G51+G53</f>
        <v>13160600</v>
      </c>
      <c r="H56" s="56"/>
      <c r="I56" s="56"/>
    </row>
  </sheetData>
  <sheetProtection selectLockedCells="1" selectUnlockedCells="1"/>
  <mergeCells count="3">
    <mergeCell ref="B3:C3"/>
    <mergeCell ref="D3:E3"/>
    <mergeCell ref="D39:F39"/>
  </mergeCells>
  <printOptions/>
  <pageMargins left="0.42986111111111114" right="0.75" top="0.5597222222222222" bottom="1.429861111111111" header="0.5118055555555555" footer="0.5118055555555555"/>
  <pageSetup fitToHeight="3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24.140625" style="0" bestFit="1" customWidth="1"/>
    <col min="2" max="2" width="13.28125" style="253" bestFit="1" customWidth="1"/>
    <col min="3" max="3" width="39.00390625" style="0" bestFit="1" customWidth="1"/>
    <col min="5" max="5" width="50.140625" style="0" bestFit="1" customWidth="1"/>
    <col min="6" max="6" width="11.7109375" style="0" bestFit="1" customWidth="1"/>
  </cols>
  <sheetData>
    <row r="1" spans="1:6" ht="12.75">
      <c r="A1" s="338"/>
      <c r="B1" s="288"/>
      <c r="C1" s="287" t="s">
        <v>403</v>
      </c>
      <c r="E1" s="342"/>
      <c r="F1" s="287"/>
    </row>
    <row r="2" spans="1:6" ht="12.75">
      <c r="A2" s="339" t="s">
        <v>404</v>
      </c>
      <c r="B2" s="288"/>
      <c r="C2" s="287"/>
      <c r="E2" s="343" t="str">
        <f>'E-Inv AF y Am'!A25</f>
        <v>Gastos de Admin. e Ing. En en período de Instalación</v>
      </c>
      <c r="F2" s="287"/>
    </row>
    <row r="3" spans="1:6" ht="12.75">
      <c r="A3" s="338" t="s">
        <v>405</v>
      </c>
      <c r="B3" s="288">
        <v>220</v>
      </c>
      <c r="C3" s="287" t="s">
        <v>406</v>
      </c>
      <c r="E3" s="342" t="s">
        <v>407</v>
      </c>
      <c r="F3" s="291">
        <v>0.115</v>
      </c>
    </row>
    <row r="4" spans="1:6" ht="12.75">
      <c r="A4" s="338" t="s">
        <v>33</v>
      </c>
      <c r="B4" s="288">
        <v>880</v>
      </c>
      <c r="C4" s="287"/>
      <c r="E4" s="342" t="s">
        <v>89</v>
      </c>
      <c r="F4" s="288">
        <f>F3*(B18+B12)</f>
        <v>815874.4</v>
      </c>
    </row>
    <row r="5" spans="1:6" ht="12.75">
      <c r="A5" s="338"/>
      <c r="B5" s="288">
        <f>B3*B4</f>
        <v>193600</v>
      </c>
      <c r="C5" s="287"/>
      <c r="E5" s="342"/>
      <c r="F5" s="287"/>
    </row>
    <row r="6" spans="1:6" ht="12.75">
      <c r="A6" s="338"/>
      <c r="B6" s="288">
        <f>B5*InfoInicial!B32</f>
        <v>5614400</v>
      </c>
      <c r="C6" s="287"/>
      <c r="E6" s="343" t="str">
        <f>'E-Inv AF y Am'!A26</f>
        <v>Gastos de puesta en marcha (AL AÑO 1)</v>
      </c>
      <c r="F6" s="287"/>
    </row>
    <row r="7" spans="1:6" ht="12.75">
      <c r="A7" s="338"/>
      <c r="B7" s="288"/>
      <c r="C7" s="287"/>
      <c r="E7" s="342" t="s">
        <v>408</v>
      </c>
      <c r="F7" s="288">
        <f>165*InfoInicial!B32</f>
        <v>4785</v>
      </c>
    </row>
    <row r="8" spans="1:6" ht="12.75">
      <c r="A8" s="339" t="s">
        <v>409</v>
      </c>
      <c r="B8" s="288"/>
      <c r="C8" s="287"/>
      <c r="E8" s="342" t="s">
        <v>410</v>
      </c>
      <c r="F8" s="290">
        <v>385</v>
      </c>
    </row>
    <row r="9" spans="1:6" ht="12.75">
      <c r="A9" s="338" t="s">
        <v>411</v>
      </c>
      <c r="B9" s="288">
        <v>138</v>
      </c>
      <c r="C9" s="287" t="s">
        <v>406</v>
      </c>
      <c r="E9" s="342" t="s">
        <v>412</v>
      </c>
      <c r="F9" s="289">
        <f>+F8/12</f>
        <v>32.083333333333336</v>
      </c>
    </row>
    <row r="10" spans="1:6" ht="12.75">
      <c r="A10" s="338" t="s">
        <v>33</v>
      </c>
      <c r="B10" s="288">
        <v>880</v>
      </c>
      <c r="C10" s="287"/>
      <c r="E10" s="342" t="s">
        <v>413</v>
      </c>
      <c r="F10" s="289">
        <f>+F9*3</f>
        <v>96.25</v>
      </c>
    </row>
    <row r="11" spans="1:6" ht="12.75">
      <c r="A11" s="338" t="s">
        <v>414</v>
      </c>
      <c r="B11" s="288">
        <f>B9*B10</f>
        <v>121440</v>
      </c>
      <c r="C11" s="287"/>
      <c r="E11" s="342" t="s">
        <v>415</v>
      </c>
      <c r="F11" s="288">
        <f>F10*F7</f>
        <v>460556.25</v>
      </c>
    </row>
    <row r="12" spans="1:6" ht="12.75">
      <c r="A12" s="338" t="s">
        <v>416</v>
      </c>
      <c r="B12" s="288">
        <f>B11*InfoInicial!B32</f>
        <v>3521760</v>
      </c>
      <c r="C12" s="287"/>
      <c r="E12" s="342" t="s">
        <v>417</v>
      </c>
      <c r="F12" s="289">
        <f>F19+F11</f>
        <v>460556.25</v>
      </c>
    </row>
    <row r="13" spans="1:6" ht="12.75">
      <c r="A13" s="338"/>
      <c r="B13" s="288"/>
      <c r="C13" s="287"/>
      <c r="E13" s="343" t="s">
        <v>88</v>
      </c>
      <c r="F13" s="288">
        <f>B21*0.05</f>
        <v>435000</v>
      </c>
    </row>
    <row r="14" spans="1:6" ht="12.75">
      <c r="A14" s="339" t="s">
        <v>418</v>
      </c>
      <c r="B14" s="288"/>
      <c r="C14" s="287"/>
      <c r="F14" s="255"/>
    </row>
    <row r="15" spans="1:6" ht="12.75">
      <c r="A15" s="338" t="s">
        <v>411</v>
      </c>
      <c r="B15" s="292">
        <v>140</v>
      </c>
      <c r="C15" s="287" t="s">
        <v>406</v>
      </c>
      <c r="F15" s="255"/>
    </row>
    <row r="16" spans="1:3" ht="12.75">
      <c r="A16" s="338" t="s">
        <v>33</v>
      </c>
      <c r="B16" s="288">
        <v>880</v>
      </c>
      <c r="C16" s="287"/>
    </row>
    <row r="17" spans="1:3" ht="12.75">
      <c r="A17" s="338" t="s">
        <v>414</v>
      </c>
      <c r="B17" s="288">
        <f>B15*B16</f>
        <v>123200</v>
      </c>
      <c r="C17" s="287"/>
    </row>
    <row r="18" spans="1:6" ht="12.75">
      <c r="A18" s="338" t="s">
        <v>416</v>
      </c>
      <c r="B18" s="288">
        <f>B17*InfoInicial!B32</f>
        <v>3572800</v>
      </c>
      <c r="C18" s="287"/>
      <c r="F18" s="254"/>
    </row>
    <row r="19" spans="1:6" ht="12.75">
      <c r="A19" s="338"/>
      <c r="B19" s="288"/>
      <c r="C19" s="287"/>
      <c r="F19" s="254"/>
    </row>
    <row r="20" spans="1:3" ht="12.75">
      <c r="A20" s="339" t="s">
        <v>419</v>
      </c>
      <c r="B20" s="288"/>
      <c r="C20" s="287"/>
    </row>
    <row r="21" spans="1:3" ht="12.75">
      <c r="A21" s="338" t="s">
        <v>420</v>
      </c>
      <c r="B21" s="288">
        <f>300000*InfoInicial!B32</f>
        <v>8700000</v>
      </c>
      <c r="C21" s="287" t="s">
        <v>421</v>
      </c>
    </row>
    <row r="22" spans="1:3" ht="12.75">
      <c r="A22" s="338" t="s">
        <v>422</v>
      </c>
      <c r="B22" s="288">
        <f>90000*InfoInicial!B32</f>
        <v>2610000</v>
      </c>
      <c r="C22" s="287" t="s">
        <v>421</v>
      </c>
    </row>
    <row r="23" spans="1:3" ht="12.75">
      <c r="A23" s="338" t="s">
        <v>423</v>
      </c>
      <c r="B23" s="288">
        <f>95000*InfoInicial!B32</f>
        <v>2755000</v>
      </c>
      <c r="C23" s="287" t="s">
        <v>421</v>
      </c>
    </row>
    <row r="24" spans="1:3" ht="12.75">
      <c r="A24" s="338" t="s">
        <v>424</v>
      </c>
      <c r="B24" s="288">
        <f>11000*InfoInicial!B32</f>
        <v>319000</v>
      </c>
      <c r="C24" s="287" t="s">
        <v>421</v>
      </c>
    </row>
    <row r="25" spans="1:3" ht="12.75">
      <c r="A25" s="338" t="s">
        <v>425</v>
      </c>
      <c r="B25" s="288">
        <v>1000</v>
      </c>
      <c r="C25" s="287" t="s">
        <v>421</v>
      </c>
    </row>
    <row r="26" spans="1:3" ht="12.75">
      <c r="A26" s="338" t="s">
        <v>426</v>
      </c>
      <c r="B26" s="288">
        <f>5000*2</f>
        <v>10000</v>
      </c>
      <c r="C26" s="287" t="s">
        <v>427</v>
      </c>
    </row>
    <row r="27" spans="1:3" ht="25.5">
      <c r="A27" s="340" t="s">
        <v>428</v>
      </c>
      <c r="B27" s="288">
        <f>10000*InfoInicial!B32</f>
        <v>290000</v>
      </c>
      <c r="C27" s="287"/>
    </row>
    <row r="28" spans="1:3" ht="12.75">
      <c r="A28" s="338"/>
      <c r="B28" s="288"/>
      <c r="C28" s="287"/>
    </row>
    <row r="29" spans="1:3" ht="12.75">
      <c r="A29" s="339" t="s">
        <v>429</v>
      </c>
      <c r="B29" s="288">
        <v>400000</v>
      </c>
      <c r="C29" s="287"/>
    </row>
    <row r="30" spans="1:3" ht="12.75">
      <c r="A30" s="338"/>
      <c r="B30" s="288"/>
      <c r="C30" s="287"/>
    </row>
    <row r="31" spans="1:3" ht="12.75">
      <c r="A31" s="339" t="s">
        <v>430</v>
      </c>
      <c r="B31" s="288">
        <v>117880</v>
      </c>
      <c r="C31" s="287"/>
    </row>
    <row r="32" spans="1:3" ht="12.75">
      <c r="A32" s="338"/>
      <c r="B32" s="288"/>
      <c r="C32" s="287"/>
    </row>
    <row r="33" spans="1:3" ht="12.75">
      <c r="A33" s="338"/>
      <c r="B33" s="288"/>
      <c r="C33" s="287"/>
    </row>
    <row r="34" spans="1:3" ht="12.75">
      <c r="A34" s="339" t="s">
        <v>21</v>
      </c>
      <c r="B34" s="288">
        <f>B36*A35</f>
        <v>660288</v>
      </c>
      <c r="C34" s="287"/>
    </row>
    <row r="35" spans="1:3" ht="12.75">
      <c r="A35" s="341">
        <v>0.1</v>
      </c>
      <c r="B35" s="288"/>
      <c r="C35" s="287"/>
    </row>
    <row r="36" spans="1:3" ht="12.75">
      <c r="A36" s="338" t="s">
        <v>94</v>
      </c>
      <c r="B36" s="288">
        <f>SUM('E-Inv AF y Am'!B11:B16)+'E-Inv AF y Am'!D11</f>
        <v>6602880</v>
      </c>
      <c r="C36" s="287"/>
    </row>
    <row r="37" spans="1:3" ht="12.75">
      <c r="A37" s="338"/>
      <c r="B37" s="288"/>
      <c r="C37" s="287"/>
    </row>
    <row r="38" spans="1:3" ht="12.75">
      <c r="A38" s="339" t="s">
        <v>431</v>
      </c>
      <c r="B38" s="288"/>
      <c r="C38" s="287"/>
    </row>
    <row r="39" spans="1:3" ht="12.75">
      <c r="A39" s="338">
        <v>0.03</v>
      </c>
      <c r="B39" s="288"/>
      <c r="C39" s="287"/>
    </row>
    <row r="40" spans="1:3" ht="12.75">
      <c r="A40" s="338" t="s">
        <v>432</v>
      </c>
      <c r="B40" s="288">
        <f>SUM('E-Inv AF y Am'!B12:B16,'E-Inv AF y Am'!D11)</f>
        <v>6602880</v>
      </c>
      <c r="C40" s="287"/>
    </row>
    <row r="41" spans="1:3" ht="12.75">
      <c r="A41" s="338" t="s">
        <v>158</v>
      </c>
      <c r="B41" s="288">
        <f>A39*B40</f>
        <v>198086.4</v>
      </c>
      <c r="C41" s="28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6"/>
  <sheetViews>
    <sheetView zoomScale="90" zoomScaleNormal="90" zoomScalePageLayoutView="0" workbookViewId="0" topLeftCell="A1">
      <selection activeCell="C28" sqref="C28"/>
    </sheetView>
  </sheetViews>
  <sheetFormatPr defaultColWidth="11.28125" defaultRowHeight="12.75"/>
  <cols>
    <col min="1" max="1" width="40.8515625" style="17" customWidth="1"/>
    <col min="2" max="2" width="37.00390625" style="17" bestFit="1" customWidth="1"/>
    <col min="3" max="6" width="17.140625" style="17" bestFit="1" customWidth="1"/>
    <col min="7" max="7" width="17.28125" style="17" customWidth="1"/>
    <col min="8" max="16384" width="11.28125" style="17" customWidth="1"/>
  </cols>
  <sheetData>
    <row r="3" spans="1:5" ht="12.75">
      <c r="A3" s="1" t="s">
        <v>0</v>
      </c>
      <c r="B3"/>
      <c r="C3"/>
      <c r="D3"/>
      <c r="E3" s="2">
        <f>InfoInicial!E1</f>
        <v>12</v>
      </c>
    </row>
    <row r="4" spans="1:6" ht="15.75">
      <c r="A4" s="57" t="s">
        <v>92</v>
      </c>
      <c r="B4" s="58"/>
      <c r="C4" s="58"/>
      <c r="D4" s="58"/>
      <c r="E4" s="58"/>
      <c r="F4" s="59"/>
    </row>
    <row r="5" spans="1:6" ht="12.75">
      <c r="A5" s="60"/>
      <c r="B5" s="61" t="s">
        <v>93</v>
      </c>
      <c r="C5" s="61"/>
      <c r="D5" s="61"/>
      <c r="E5" s="61"/>
      <c r="F5" s="62"/>
    </row>
    <row r="6" spans="1:6" ht="12.75">
      <c r="A6" s="60" t="s">
        <v>94</v>
      </c>
      <c r="B6" s="22" t="s">
        <v>54</v>
      </c>
      <c r="C6" s="22" t="s">
        <v>95</v>
      </c>
      <c r="D6" s="22" t="s">
        <v>96</v>
      </c>
      <c r="E6" s="22" t="s">
        <v>97</v>
      </c>
      <c r="F6" s="23" t="s">
        <v>98</v>
      </c>
    </row>
    <row r="7" spans="1:6" ht="12.75">
      <c r="A7" s="24" t="s">
        <v>99</v>
      </c>
      <c r="B7" s="63">
        <f>'Detalle costo'!D8</f>
        <v>127443690</v>
      </c>
      <c r="C7" s="63">
        <f>'Detalle costo'!$D$9</f>
        <v>126252225</v>
      </c>
      <c r="D7" s="63">
        <f>'Detalle costo'!$D$9</f>
        <v>126252225</v>
      </c>
      <c r="E7" s="63">
        <f>'Detalle costo'!$D$9</f>
        <v>126252225</v>
      </c>
      <c r="F7" s="63">
        <f>'Detalle costo'!$D$9</f>
        <v>126252225</v>
      </c>
    </row>
    <row r="8" spans="1:6" ht="12.75">
      <c r="A8" s="28" t="s">
        <v>100</v>
      </c>
      <c r="B8" s="65">
        <f>'Detalle costo'!B43</f>
        <v>4317788.16</v>
      </c>
      <c r="C8" s="65">
        <f>'Detalle costo'!$B$41</f>
        <v>4451328</v>
      </c>
      <c r="D8" s="65">
        <f>'Detalle costo'!$B$41</f>
        <v>4451328</v>
      </c>
      <c r="E8" s="65">
        <f>'Detalle costo'!$B$41</f>
        <v>4451328</v>
      </c>
      <c r="F8" s="65">
        <f>'Detalle costo'!$B$41</f>
        <v>4451328</v>
      </c>
    </row>
    <row r="9" spans="1:6" ht="12.75">
      <c r="A9" s="28" t="s">
        <v>101</v>
      </c>
      <c r="B9" s="65"/>
      <c r="C9" s="65"/>
      <c r="D9" s="65"/>
      <c r="E9" s="65"/>
      <c r="F9" s="46"/>
    </row>
    <row r="10" spans="1:6" ht="12.75">
      <c r="A10" s="28" t="s">
        <v>102</v>
      </c>
      <c r="B10" s="65">
        <f>'Detalle costo'!$B$56</f>
        <v>1588920.3184149999</v>
      </c>
      <c r="C10" s="65">
        <f>'Detalle costo'!$B$56</f>
        <v>1588920.3184149999</v>
      </c>
      <c r="D10" s="65">
        <f>'Detalle costo'!$B$56</f>
        <v>1588920.3184149999</v>
      </c>
      <c r="E10" s="65">
        <f>'Detalle costo'!$B$51</f>
        <v>1443920.3184149999</v>
      </c>
      <c r="F10" s="65">
        <f>'Detalle costo'!$B$51</f>
        <v>1443920.3184149999</v>
      </c>
    </row>
    <row r="11" spans="1:6" ht="12.75">
      <c r="A11" s="28" t="s">
        <v>103</v>
      </c>
      <c r="B11" s="65">
        <f>'Detalle costo'!B69</f>
        <v>965124</v>
      </c>
      <c r="C11" s="65">
        <f>'Detalle costo'!$B$66</f>
        <v>1015920</v>
      </c>
      <c r="D11" s="65">
        <f>'Detalle costo'!$B$66</f>
        <v>1015920</v>
      </c>
      <c r="E11" s="65">
        <f>'Detalle costo'!$B$66</f>
        <v>1015920</v>
      </c>
      <c r="F11" s="65">
        <f>'Detalle costo'!$B$66</f>
        <v>1015920</v>
      </c>
    </row>
    <row r="12" spans="1:6" ht="12.75">
      <c r="A12" s="28" t="s">
        <v>104</v>
      </c>
      <c r="B12" s="65">
        <f>'Detalle costo'!I57</f>
        <v>2101782.094662</v>
      </c>
      <c r="C12" s="65">
        <f>'Detalle costo'!$I$53</f>
        <v>2166785.6646</v>
      </c>
      <c r="D12" s="65">
        <f>'Detalle costo'!$I$53</f>
        <v>2166785.6646</v>
      </c>
      <c r="E12" s="65">
        <f>'Detalle costo'!$I$49</f>
        <v>2194085.8935599998</v>
      </c>
      <c r="F12" s="65">
        <f>'Detalle costo'!$I$49</f>
        <v>2194085.8935599998</v>
      </c>
    </row>
    <row r="13" spans="1:6" ht="12.75">
      <c r="A13" s="28" t="s">
        <v>105</v>
      </c>
      <c r="B13" s="65">
        <f>'Detalle costo'!I67</f>
        <v>41952.5</v>
      </c>
      <c r="C13" s="65">
        <f>'Detalle costo'!$I$66</f>
        <v>43250</v>
      </c>
      <c r="D13" s="65">
        <f>'Detalle costo'!$I$66</f>
        <v>43250</v>
      </c>
      <c r="E13" s="65">
        <f>'Detalle costo'!$I$66</f>
        <v>43250</v>
      </c>
      <c r="F13" s="65">
        <f>'Detalle costo'!$I$66</f>
        <v>43250</v>
      </c>
    </row>
    <row r="14" spans="1:6" ht="12.75">
      <c r="A14" s="28" t="s">
        <v>106</v>
      </c>
      <c r="B14" s="65">
        <f>'Detalle costo'!$P$48</f>
        <v>160082.72</v>
      </c>
      <c r="C14" s="65">
        <f>'Detalle costo'!$P$48</f>
        <v>160082.72</v>
      </c>
      <c r="D14" s="65">
        <f>'Detalle costo'!$P$48</f>
        <v>160082.72</v>
      </c>
      <c r="E14" s="65">
        <f>'Detalle costo'!$P$48</f>
        <v>160082.72</v>
      </c>
      <c r="F14" s="65">
        <f>'Detalle costo'!$P$48</f>
        <v>160082.72</v>
      </c>
    </row>
    <row r="15" spans="1:6" ht="12.75">
      <c r="A15" s="28" t="s">
        <v>21</v>
      </c>
      <c r="B15" s="65">
        <f>SUM(B7:B14)*'Detalle costo'!$P$52</f>
        <v>2732386.7958615404</v>
      </c>
      <c r="C15" s="65">
        <f>SUM(C7:C14)*'Detalle costo'!$P$52</f>
        <v>2713570.2340603</v>
      </c>
      <c r="D15" s="65">
        <f>SUM(D7:D14)*'Detalle costo'!$P$52</f>
        <v>2713570.2340603</v>
      </c>
      <c r="E15" s="65">
        <f>SUM(E7:E14)*'Detalle costo'!$P$52</f>
        <v>2711216.2386395</v>
      </c>
      <c r="F15" s="65">
        <f>SUM(F7:F14)*'Detalle costo'!$P$52</f>
        <v>2711216.2386395</v>
      </c>
    </row>
    <row r="16" spans="1:6" ht="12.75">
      <c r="A16" s="26" t="s">
        <v>107</v>
      </c>
      <c r="B16" s="259">
        <f>SUM(B7:B15)</f>
        <v>139351726.58893856</v>
      </c>
      <c r="C16" s="259">
        <f>SUM(C7:C15)</f>
        <v>138392081.9370753</v>
      </c>
      <c r="D16" s="259">
        <f>SUM(D7:D15)</f>
        <v>138392081.9370753</v>
      </c>
      <c r="E16" s="259">
        <f>SUM(E7:E15)</f>
        <v>138272028.1706145</v>
      </c>
      <c r="F16" s="259">
        <f>SUM(F7:F15)</f>
        <v>138272028.1706145</v>
      </c>
    </row>
    <row r="17" spans="1:6" ht="12.75">
      <c r="A17" s="67"/>
      <c r="B17" s="68"/>
      <c r="C17" s="68"/>
      <c r="D17" s="68"/>
      <c r="E17" s="68"/>
      <c r="F17" s="69"/>
    </row>
    <row r="18" spans="1:6" ht="12.75">
      <c r="A18" s="70" t="s">
        <v>108</v>
      </c>
      <c r="B18" s="260">
        <f>SUM(B10:B11,B15,B14)/B16</f>
        <v>0.039084652681360264</v>
      </c>
      <c r="C18" s="260">
        <f>SUM(C10:C11,C15,C14)/C16</f>
        <v>0.039586753778054186</v>
      </c>
      <c r="D18" s="260">
        <f>SUM(D10:D11,D15,D14)/D16</f>
        <v>0.039586753778054186</v>
      </c>
      <c r="E18" s="260">
        <f>SUM(E10:E11,E15,E14)/E16</f>
        <v>0.03855544282952429</v>
      </c>
      <c r="F18" s="260">
        <f>SUM(F10:F11,F15,F14)/F16</f>
        <v>0.03855544282952429</v>
      </c>
    </row>
    <row r="19" spans="1:6" ht="12.75">
      <c r="A19" s="36" t="s">
        <v>109</v>
      </c>
      <c r="B19" s="261">
        <f>SUM(B13,B12,B7,B8)/B16</f>
        <v>0.9609153473186395</v>
      </c>
      <c r="C19" s="261">
        <f>SUM(C13,C12,C7,C8)/C16</f>
        <v>0.9604132462219459</v>
      </c>
      <c r="D19" s="261">
        <f>SUM(D13,D12,D7,D8)/D16</f>
        <v>0.9604132462219459</v>
      </c>
      <c r="E19" s="261">
        <f>SUM(E13,E12,E7,E8)/E16</f>
        <v>0.9614445571704756</v>
      </c>
      <c r="F19" s="261">
        <f>SUM(F13,F12,F7,F8)/F16</f>
        <v>0.9614445571704756</v>
      </c>
    </row>
    <row r="21" spans="1:7" ht="12.75">
      <c r="A21" s="73"/>
      <c r="B21" s="19" t="s">
        <v>110</v>
      </c>
      <c r="C21" s="19"/>
      <c r="D21" s="19"/>
      <c r="E21" s="19"/>
      <c r="F21" s="19"/>
      <c r="G21" s="20"/>
    </row>
    <row r="22" spans="1:7" ht="12.75">
      <c r="A22" s="60"/>
      <c r="B22" s="61" t="s">
        <v>111</v>
      </c>
      <c r="C22" s="61"/>
      <c r="D22" s="61"/>
      <c r="E22" s="61"/>
      <c r="F22" s="61"/>
      <c r="G22" s="62" t="s">
        <v>112</v>
      </c>
    </row>
    <row r="23" spans="1:7" ht="12.75">
      <c r="A23" s="60" t="s">
        <v>94</v>
      </c>
      <c r="B23" s="74" t="s">
        <v>54</v>
      </c>
      <c r="C23" s="74" t="s">
        <v>95</v>
      </c>
      <c r="D23" s="74" t="s">
        <v>96</v>
      </c>
      <c r="E23" s="74" t="s">
        <v>97</v>
      </c>
      <c r="F23" s="74" t="s">
        <v>98</v>
      </c>
      <c r="G23" s="75" t="s">
        <v>54</v>
      </c>
    </row>
    <row r="24" spans="1:7" ht="12.75">
      <c r="A24" s="24" t="s">
        <v>99</v>
      </c>
      <c r="B24" s="63">
        <f>'Detalle costo'!B13</f>
        <v>2814</v>
      </c>
      <c r="C24" s="63">
        <f>'Detalle costo'!$C$13</f>
        <v>0</v>
      </c>
      <c r="D24" s="63">
        <f>'Detalle costo'!$C$13</f>
        <v>0</v>
      </c>
      <c r="E24" s="63">
        <f>'Detalle costo'!$C$13</f>
        <v>0</v>
      </c>
      <c r="F24" s="63">
        <f>'Detalle costo'!$C$13</f>
        <v>0</v>
      </c>
      <c r="G24" s="64">
        <f>'Detalle costo'!B14</f>
        <v>460556.25</v>
      </c>
    </row>
    <row r="25" spans="1:7" ht="12.75">
      <c r="A25" s="28" t="s">
        <v>100</v>
      </c>
      <c r="B25" s="65">
        <f>'Detalle costo'!$B$45</f>
        <v>237409.78249336872</v>
      </c>
      <c r="C25" s="65">
        <f>'Detalle costo'!$B$45</f>
        <v>237409.78249336872</v>
      </c>
      <c r="D25" s="65">
        <f>'Detalle costo'!$B$45</f>
        <v>237409.78249336872</v>
      </c>
      <c r="E25" s="65">
        <f>'Detalle costo'!$B$45</f>
        <v>237409.78249336872</v>
      </c>
      <c r="F25" s="65">
        <f>'Detalle costo'!$B$45</f>
        <v>237409.78249336872</v>
      </c>
      <c r="G25" s="65">
        <f>'Detalle costo'!B46</f>
        <v>60829.193506631535</v>
      </c>
    </row>
    <row r="26" spans="1:7" ht="12.75">
      <c r="A26" s="28" t="s">
        <v>101</v>
      </c>
      <c r="B26" s="29"/>
      <c r="C26" s="29"/>
      <c r="D26" s="29"/>
      <c r="E26" s="29"/>
      <c r="F26" s="29"/>
      <c r="G26" s="46"/>
    </row>
    <row r="27" spans="1:7" ht="12.75">
      <c r="A27" s="28" t="s">
        <v>102</v>
      </c>
      <c r="B27" s="262">
        <f>'Detalle costo'!E52</f>
        <v>93847.6455757182</v>
      </c>
      <c r="C27" s="65">
        <f>'Detalle costo'!$E$53</f>
        <v>84744.42395487352</v>
      </c>
      <c r="D27" s="65">
        <f>'Detalle costo'!$E$53</f>
        <v>84744.42395487352</v>
      </c>
      <c r="E27" s="65">
        <f>'Detalle costo'!$E$54</f>
        <v>77010.90747135704</v>
      </c>
      <c r="F27" s="65">
        <f>'Detalle costo'!$E$54</f>
        <v>77010.90747135704</v>
      </c>
      <c r="G27" s="66">
        <v>0</v>
      </c>
    </row>
    <row r="28" spans="1:7" ht="12.75">
      <c r="A28" s="28" t="s">
        <v>113</v>
      </c>
      <c r="B28" s="65">
        <f>'Detalle costo'!B71</f>
        <v>57003.87491990196</v>
      </c>
      <c r="C28" s="65">
        <f>'Detalle costo'!$B$68</f>
        <v>54183.68321333839</v>
      </c>
      <c r="D28" s="65">
        <f>'Detalle costo'!$B$68</f>
        <v>54183.68321333839</v>
      </c>
      <c r="E28" s="65">
        <f>'Detalle costo'!$B$68</f>
        <v>54183.68321333839</v>
      </c>
      <c r="F28" s="65">
        <f>'Detalle costo'!$B$68</f>
        <v>54183.68321333839</v>
      </c>
      <c r="G28" s="66">
        <v>0</v>
      </c>
    </row>
    <row r="29" spans="1:7" ht="12.75">
      <c r="A29" s="28" t="s">
        <v>103</v>
      </c>
      <c r="B29" s="65">
        <f>'Detalle costo'!I59</f>
        <v>124139.20245792478</v>
      </c>
      <c r="C29" s="65">
        <f>'Detalle costo'!$I$55</f>
        <v>115564.6389891815</v>
      </c>
      <c r="D29" s="65">
        <f>'Detalle costo'!$I$55</f>
        <v>115564.6389891815</v>
      </c>
      <c r="E29" s="65">
        <f>'Detalle costo'!$I$51</f>
        <v>117020.68568342931</v>
      </c>
      <c r="F29" s="65">
        <f>'Detalle costo'!$I$51</f>
        <v>117020.68568342931</v>
      </c>
      <c r="G29" s="66">
        <f>'Detalle costo'!I60</f>
        <v>21035.43707027525</v>
      </c>
    </row>
    <row r="30" spans="1:7" ht="12.75">
      <c r="A30" s="28" t="s">
        <v>114</v>
      </c>
      <c r="B30" s="65">
        <f>'Detalle costo'!M68+'Detalle costo'!M65</f>
        <v>13223.911512514147</v>
      </c>
      <c r="C30" s="65">
        <f>'Detalle costo'!$M$58</f>
        <v>12746.758709056463</v>
      </c>
      <c r="D30" s="65">
        <f>'Detalle costo'!$M$58</f>
        <v>12746.758709056463</v>
      </c>
      <c r="E30" s="65">
        <f>'Detalle costo'!$M$58</f>
        <v>12746.758709056463</v>
      </c>
      <c r="F30" s="65">
        <f>'Detalle costo'!$M$58</f>
        <v>12746.758709056463</v>
      </c>
      <c r="G30" s="66">
        <f>'Detalle costo'!M69</f>
        <v>1880.1047743994127</v>
      </c>
    </row>
    <row r="31" spans="1:7" ht="12.75">
      <c r="A31" s="28" t="s">
        <v>115</v>
      </c>
      <c r="B31" s="65">
        <f>'Detalle costo'!I70</f>
        <v>2477.873374382138</v>
      </c>
      <c r="C31" s="65">
        <f>'Detalle costo'!$I$71</f>
        <v>2306.721295945434</v>
      </c>
      <c r="D31" s="65">
        <f>'Detalle costo'!$I$71</f>
        <v>2306.721295945434</v>
      </c>
      <c r="E31" s="65">
        <f>'Detalle costo'!$I$71</f>
        <v>2306.721295945434</v>
      </c>
      <c r="F31" s="65">
        <f>'Detalle costo'!$I$71</f>
        <v>2306.721295945434</v>
      </c>
      <c r="G31" s="66">
        <f>'Detalle costo'!I73</f>
        <v>419.8766256178619</v>
      </c>
    </row>
    <row r="32" spans="1:7" ht="12.75">
      <c r="A32" s="28" t="s">
        <v>116</v>
      </c>
      <c r="B32" s="65">
        <f>'Detalle costo'!P50</f>
        <v>8927.782493391824</v>
      </c>
      <c r="C32" s="65">
        <f>'Detalle costo'!$P$46</f>
        <v>8537.94726790451</v>
      </c>
      <c r="D32" s="65">
        <f>'Detalle costo'!$P$46</f>
        <v>8537.94726790451</v>
      </c>
      <c r="E32" s="65">
        <f>'Detalle costo'!$P$46</f>
        <v>8537.94726790451</v>
      </c>
      <c r="F32" s="65">
        <f>'Detalle costo'!$P$46</f>
        <v>8537.94726790451</v>
      </c>
      <c r="G32" s="66">
        <v>0</v>
      </c>
    </row>
    <row r="33" spans="1:7" ht="12.75">
      <c r="A33" s="28" t="s">
        <v>117</v>
      </c>
      <c r="B33" s="65">
        <f>SUM(B24:B32)*'Detalle costo'!$P$52</f>
        <v>10796.881456544033</v>
      </c>
      <c r="C33" s="65">
        <f>SUM(C24:C32)*'Detalle costo'!$P$52</f>
        <v>10309.87911847337</v>
      </c>
      <c r="D33" s="65">
        <f>SUM(D24:D32)*'Detalle costo'!$P$52</f>
        <v>10309.87911847337</v>
      </c>
      <c r="E33" s="65">
        <f>SUM(E24:E32)*'Detalle costo'!$P$52</f>
        <v>10184.329722687999</v>
      </c>
      <c r="F33" s="65">
        <f>SUM(F24:F32)*'Detalle costo'!$P$52</f>
        <v>10184.329722687999</v>
      </c>
      <c r="G33" s="65">
        <f>SUM(G24:G32)*'Detalle costo'!$P$52</f>
        <v>10894.41723953848</v>
      </c>
    </row>
    <row r="34" spans="1:7" ht="12.75">
      <c r="A34" s="36" t="s">
        <v>118</v>
      </c>
      <c r="B34" s="71">
        <f aca="true" t="shared" si="0" ref="B34:G34">SUM(B24:B33)</f>
        <v>550640.9542837457</v>
      </c>
      <c r="C34" s="71">
        <f t="shared" si="0"/>
        <v>525803.835042142</v>
      </c>
      <c r="D34" s="71">
        <f t="shared" si="0"/>
        <v>525803.835042142</v>
      </c>
      <c r="E34" s="71">
        <f t="shared" si="0"/>
        <v>519400.8158570879</v>
      </c>
      <c r="F34" s="71">
        <f t="shared" si="0"/>
        <v>519400.8158570879</v>
      </c>
      <c r="G34" s="71">
        <f t="shared" si="0"/>
        <v>555615.2792164625</v>
      </c>
    </row>
    <row r="35" spans="1:7" ht="12.75">
      <c r="A35" s="76"/>
      <c r="B35" s="77"/>
      <c r="C35" s="77"/>
      <c r="D35" s="77"/>
      <c r="E35" s="77"/>
      <c r="F35" s="77"/>
      <c r="G35" s="77"/>
    </row>
    <row r="36" spans="1:6" ht="12.75">
      <c r="A36" s="38"/>
      <c r="B36" s="78" t="s">
        <v>119</v>
      </c>
      <c r="C36" s="78"/>
      <c r="D36" s="78"/>
      <c r="E36" s="78"/>
      <c r="F36" s="79"/>
    </row>
    <row r="37" spans="1:7" ht="12.75">
      <c r="A37" s="36"/>
      <c r="B37" s="74" t="s">
        <v>54</v>
      </c>
      <c r="C37" s="74" t="s">
        <v>95</v>
      </c>
      <c r="D37" s="74" t="s">
        <v>96</v>
      </c>
      <c r="E37" s="74" t="s">
        <v>97</v>
      </c>
      <c r="F37" s="23" t="s">
        <v>98</v>
      </c>
      <c r="G37" s="77"/>
    </row>
    <row r="38" spans="1:7" ht="12.75">
      <c r="A38" s="42" t="s">
        <v>107</v>
      </c>
      <c r="B38" s="63">
        <f>B16</f>
        <v>139351726.58893856</v>
      </c>
      <c r="C38" s="63">
        <f>C16</f>
        <v>138392081.9370753</v>
      </c>
      <c r="D38" s="63">
        <f>D16</f>
        <v>138392081.9370753</v>
      </c>
      <c r="E38" s="63">
        <f>E16</f>
        <v>138272028.1706145</v>
      </c>
      <c r="F38" s="63">
        <f>F16</f>
        <v>138272028.1706145</v>
      </c>
      <c r="G38" s="77"/>
    </row>
    <row r="39" spans="1:7" ht="12.75">
      <c r="A39" s="28" t="s">
        <v>120</v>
      </c>
      <c r="B39" s="65"/>
      <c r="C39" s="65"/>
      <c r="D39" s="65"/>
      <c r="E39" s="65"/>
      <c r="F39" s="46"/>
      <c r="G39" s="77"/>
    </row>
    <row r="40" spans="1:7" ht="12.75">
      <c r="A40" s="28" t="s">
        <v>121</v>
      </c>
      <c r="B40" s="65">
        <f>G34</f>
        <v>555615.2792164625</v>
      </c>
      <c r="C40" s="65"/>
      <c r="D40" s="65"/>
      <c r="E40" s="65"/>
      <c r="F40" s="46"/>
      <c r="G40" s="77"/>
    </row>
    <row r="41" spans="1:7" ht="12.75">
      <c r="A41" s="28" t="s">
        <v>122</v>
      </c>
      <c r="B41" s="65">
        <f>B34</f>
        <v>550640.9542837457</v>
      </c>
      <c r="C41" s="65">
        <f>C34-B34</f>
        <v>-24837.119241603767</v>
      </c>
      <c r="D41" s="65">
        <f>D34-C34</f>
        <v>0</v>
      </c>
      <c r="E41" s="65">
        <f>E34-D34</f>
        <v>-6403.019185054058</v>
      </c>
      <c r="F41" s="65">
        <f>F34-E34</f>
        <v>0</v>
      </c>
      <c r="G41" s="77"/>
    </row>
    <row r="42" spans="1:7" ht="12.75">
      <c r="A42" s="26" t="s">
        <v>123</v>
      </c>
      <c r="B42" s="65">
        <f>B38-B40-B41</f>
        <v>138245470.35543835</v>
      </c>
      <c r="C42" s="65">
        <f>C38-C40-C41</f>
        <v>138416919.05631688</v>
      </c>
      <c r="D42" s="65">
        <f>D38-D40-D41</f>
        <v>138392081.9370753</v>
      </c>
      <c r="E42" s="65">
        <f>E38-E40-E41</f>
        <v>138278431.18979958</v>
      </c>
      <c r="F42" s="65">
        <f>F38-F40-F41</f>
        <v>138272028.1706145</v>
      </c>
      <c r="G42" s="77"/>
    </row>
    <row r="43" spans="1:7" ht="12.75">
      <c r="A43" s="70" t="s">
        <v>124</v>
      </c>
      <c r="B43" s="80">
        <f>B42/35391</f>
        <v>3906.232385505873</v>
      </c>
      <c r="C43" s="80">
        <f>C42/37000</f>
        <v>3740.9978123328888</v>
      </c>
      <c r="D43" s="80">
        <f>D42/37000</f>
        <v>3740.3265388398727</v>
      </c>
      <c r="E43" s="80">
        <f>E42/37000</f>
        <v>3737.2548970216103</v>
      </c>
      <c r="F43" s="80">
        <f>F42/37000</f>
        <v>3737.081842449041</v>
      </c>
      <c r="G43" s="77"/>
    </row>
    <row r="44" spans="1:7" ht="12.75">
      <c r="A44" s="70"/>
      <c r="B44" s="80"/>
      <c r="C44" s="80"/>
      <c r="D44" s="80"/>
      <c r="E44" s="80"/>
      <c r="F44" s="81"/>
      <c r="G44" s="77"/>
    </row>
    <row r="45" spans="1:7" ht="12.75">
      <c r="A45" s="70" t="s">
        <v>108</v>
      </c>
      <c r="B45" s="82"/>
      <c r="C45" s="82"/>
      <c r="D45" s="82"/>
      <c r="E45" s="82"/>
      <c r="F45" s="83"/>
      <c r="G45" s="77"/>
    </row>
    <row r="46" spans="1:7" ht="12.75">
      <c r="A46" s="36" t="s">
        <v>109</v>
      </c>
      <c r="B46" s="84"/>
      <c r="C46" s="84"/>
      <c r="D46" s="84"/>
      <c r="E46" s="84"/>
      <c r="F46" s="85"/>
      <c r="G46" s="77"/>
    </row>
    <row r="49" spans="1:6" ht="12.75">
      <c r="A49" s="34"/>
      <c r="B49" s="19" t="s">
        <v>125</v>
      </c>
      <c r="C49" s="19"/>
      <c r="D49" s="19"/>
      <c r="E49" s="19"/>
      <c r="F49" s="20"/>
    </row>
    <row r="50" spans="1:6" ht="12.75">
      <c r="A50" s="86" t="s">
        <v>94</v>
      </c>
      <c r="B50" s="22" t="s">
        <v>54</v>
      </c>
      <c r="C50" s="22" t="s">
        <v>95</v>
      </c>
      <c r="D50" s="22" t="s">
        <v>96</v>
      </c>
      <c r="E50" s="22" t="s">
        <v>97</v>
      </c>
      <c r="F50" s="23" t="s">
        <v>98</v>
      </c>
    </row>
    <row r="51" spans="1:6" ht="12.75">
      <c r="A51" s="73" t="s">
        <v>126</v>
      </c>
      <c r="B51" s="87">
        <f>'Detalle costo'!$B$83</f>
        <v>1402409.6385542168</v>
      </c>
      <c r="C51" s="87">
        <f>'Detalle costo'!$B$83</f>
        <v>1402409.6385542168</v>
      </c>
      <c r="D51" s="87">
        <f>'Detalle costo'!$B$83</f>
        <v>1402409.6385542168</v>
      </c>
      <c r="E51" s="87">
        <f>'Detalle costo'!$B$83</f>
        <v>1402409.6385542168</v>
      </c>
      <c r="F51" s="87">
        <f>'Detalle costo'!$B$83</f>
        <v>1402409.6385542168</v>
      </c>
    </row>
    <row r="52" spans="1:6" ht="12.75">
      <c r="A52" s="28" t="s">
        <v>127</v>
      </c>
      <c r="B52" s="65">
        <f>'Detalle costo'!$B$87</f>
        <v>79446.01592075</v>
      </c>
      <c r="C52" s="65">
        <f>'Detalle costo'!$B$87</f>
        <v>79446.01592075</v>
      </c>
      <c r="D52" s="65">
        <f>'Detalle costo'!$B$87</f>
        <v>79446.01592075</v>
      </c>
      <c r="E52" s="65">
        <f>'Detalle costo'!$B$88</f>
        <v>72196.01592075</v>
      </c>
      <c r="F52" s="65">
        <f>'Detalle costo'!$B$88</f>
        <v>72196.01592075</v>
      </c>
    </row>
    <row r="53" spans="1:6" ht="12.75">
      <c r="A53" s="28" t="s">
        <v>103</v>
      </c>
      <c r="B53" s="65">
        <f>'Detalle costo'!$B$96</f>
        <v>155166.75732984638</v>
      </c>
      <c r="C53" s="65">
        <f>'Detalle costo'!$B$96</f>
        <v>155166.75732984638</v>
      </c>
      <c r="D53" s="65">
        <f>'Detalle costo'!$B$96</f>
        <v>155166.75732984638</v>
      </c>
      <c r="E53" s="65">
        <f>'Detalle costo'!$B$96</f>
        <v>155166.75732984638</v>
      </c>
      <c r="F53" s="65">
        <f>'Detalle costo'!$B$96</f>
        <v>155166.75732984638</v>
      </c>
    </row>
    <row r="54" spans="1:6" ht="12.75">
      <c r="A54" s="28" t="s">
        <v>128</v>
      </c>
      <c r="B54" s="65">
        <f>'Detalle costo'!E82</f>
        <v>12613.681240000004</v>
      </c>
      <c r="C54" s="65">
        <f>'Detalle costo'!$E$80</f>
        <v>13277.559200000005</v>
      </c>
      <c r="D54" s="65">
        <f>'Detalle costo'!$E$80</f>
        <v>13277.559200000005</v>
      </c>
      <c r="E54" s="65">
        <f>'Detalle costo'!$E$80</f>
        <v>13277.559200000005</v>
      </c>
      <c r="F54" s="65">
        <f>'Detalle costo'!$E$80</f>
        <v>13277.559200000005</v>
      </c>
    </row>
    <row r="55" spans="1:6" ht="12.75">
      <c r="A55" s="28" t="s">
        <v>129</v>
      </c>
      <c r="B55" s="65">
        <v>0</v>
      </c>
      <c r="C55" s="65">
        <v>0</v>
      </c>
      <c r="D55" s="65">
        <v>0</v>
      </c>
      <c r="E55" s="65">
        <v>0</v>
      </c>
      <c r="F55" s="66">
        <v>0</v>
      </c>
    </row>
    <row r="56" spans="1:6" ht="12.75">
      <c r="A56" s="28" t="s">
        <v>130</v>
      </c>
      <c r="B56" s="65">
        <v>0</v>
      </c>
      <c r="C56" s="65">
        <v>0</v>
      </c>
      <c r="D56" s="65">
        <v>0</v>
      </c>
      <c r="E56" s="65">
        <v>0</v>
      </c>
      <c r="F56" s="66">
        <v>0</v>
      </c>
    </row>
    <row r="57" spans="1:6" ht="12.75">
      <c r="A57" s="28" t="s">
        <v>106</v>
      </c>
      <c r="B57" s="65">
        <f>'Detalle costo'!$E$92</f>
        <v>2168708.5955555555</v>
      </c>
      <c r="C57" s="65">
        <f>'Detalle costo'!$E$92</f>
        <v>2168708.5955555555</v>
      </c>
      <c r="D57" s="65">
        <f>'Detalle costo'!$E$92</f>
        <v>2168708.5955555555</v>
      </c>
      <c r="E57" s="65">
        <f>'Detalle costo'!$E$92</f>
        <v>2168708.5955555555</v>
      </c>
      <c r="F57" s="65">
        <f>'Detalle costo'!$E$92</f>
        <v>2168708.5955555555</v>
      </c>
    </row>
    <row r="58" spans="1:6" ht="12.75">
      <c r="A58" s="28" t="s">
        <v>21</v>
      </c>
      <c r="B58" s="65">
        <f>SUM(B51:B57)*0.02</f>
        <v>76366.89377200737</v>
      </c>
      <c r="C58" s="65">
        <f>SUM(C51:C57)*0.02</f>
        <v>76380.17133120738</v>
      </c>
      <c r="D58" s="65">
        <f>SUM(D51:D57)*0.02</f>
        <v>76380.17133120738</v>
      </c>
      <c r="E58" s="65">
        <f>SUM(E51:E57)*0.02</f>
        <v>76235.17133120738</v>
      </c>
      <c r="F58" s="65">
        <f>SUM(F51:F57)*0.02</f>
        <v>76235.17133120738</v>
      </c>
    </row>
    <row r="59" spans="1:6" ht="12.75">
      <c r="A59" s="28"/>
      <c r="B59" s="48"/>
      <c r="C59" s="48"/>
      <c r="D59" s="48"/>
      <c r="E59" s="48"/>
      <c r="F59" s="50"/>
    </row>
    <row r="60" spans="1:6" ht="12.75">
      <c r="A60" s="26" t="s">
        <v>131</v>
      </c>
      <c r="B60" s="65">
        <f>SUM(B51:B58)</f>
        <v>3894711.582372376</v>
      </c>
      <c r="C60" s="65">
        <f>SUM(C51:C58)</f>
        <v>3895388.7378915763</v>
      </c>
      <c r="D60" s="65">
        <f>SUM(D51:D58)</f>
        <v>3895388.7378915763</v>
      </c>
      <c r="E60" s="65">
        <f>SUM(E51:E58)</f>
        <v>3887993.7378915763</v>
      </c>
      <c r="F60" s="65">
        <f>SUM(F51:F58)</f>
        <v>3887993.7378915763</v>
      </c>
    </row>
    <row r="61" spans="1:7" ht="12.75">
      <c r="A61" s="26"/>
      <c r="B61" s="89"/>
      <c r="C61" s="89"/>
      <c r="D61" s="89"/>
      <c r="E61" s="89"/>
      <c r="F61" s="90"/>
      <c r="G61" s="77"/>
    </row>
    <row r="62" spans="1:7" ht="12.75">
      <c r="A62" s="70" t="s">
        <v>108</v>
      </c>
      <c r="B62" s="91">
        <f>SUM(B52,B51,B57,B58)/B60</f>
        <v>0.9569209593518484</v>
      </c>
      <c r="C62" s="91">
        <f>SUM(C52,C51,C57,C58)/C60</f>
        <v>0.9567580213775996</v>
      </c>
      <c r="D62" s="91">
        <f>SUM(D52,D51,D57,D58)/D60</f>
        <v>0.9567580213775996</v>
      </c>
      <c r="E62" s="91">
        <f>SUM(E52,E51,E57,E58)/E60</f>
        <v>0.9566757747348655</v>
      </c>
      <c r="F62" s="91">
        <f>SUM(F52,F51,F57,F58)/F60</f>
        <v>0.9566757747348655</v>
      </c>
      <c r="G62" s="77"/>
    </row>
    <row r="63" spans="1:7" ht="12.75">
      <c r="A63" s="36" t="s">
        <v>109</v>
      </c>
      <c r="B63" s="84">
        <f>SUM(B53,B54)/B60</f>
        <v>0.04307904064815159</v>
      </c>
      <c r="C63" s="84">
        <f>SUM(C53,C54)/C60</f>
        <v>0.04324197862240029</v>
      </c>
      <c r="D63" s="84">
        <f>SUM(D53,D54)/D60</f>
        <v>0.04324197862240029</v>
      </c>
      <c r="E63" s="84">
        <f>SUM(E53,E54)/E60</f>
        <v>0.04332422526513436</v>
      </c>
      <c r="F63" s="84">
        <f>SUM(F53,F54)/F60</f>
        <v>0.04332422526513436</v>
      </c>
      <c r="G63" s="77"/>
    </row>
    <row r="66" spans="1:6" ht="12.75">
      <c r="A66" s="34"/>
      <c r="B66" s="19" t="s">
        <v>132</v>
      </c>
      <c r="C66" s="19"/>
      <c r="D66" s="19"/>
      <c r="E66" s="19"/>
      <c r="F66" s="20"/>
    </row>
    <row r="67" spans="1:6" ht="12.75">
      <c r="A67" s="86" t="s">
        <v>94</v>
      </c>
      <c r="B67" s="22" t="s">
        <v>54</v>
      </c>
      <c r="C67" s="22" t="s">
        <v>95</v>
      </c>
      <c r="D67" s="22" t="s">
        <v>96</v>
      </c>
      <c r="E67" s="22" t="s">
        <v>97</v>
      </c>
      <c r="F67" s="23" t="s">
        <v>98</v>
      </c>
    </row>
    <row r="68" spans="1:6" ht="12.75">
      <c r="A68" s="24" t="s">
        <v>126</v>
      </c>
      <c r="B68" s="63">
        <f>'Detalle costo'!$B$106</f>
        <v>1402409.6385542168</v>
      </c>
      <c r="C68" s="63">
        <f>'Detalle costo'!$B$106</f>
        <v>1402409.6385542168</v>
      </c>
      <c r="D68" s="63">
        <f>'Detalle costo'!$B$106</f>
        <v>1402409.6385542168</v>
      </c>
      <c r="E68" s="63">
        <f>'Detalle costo'!$B$106</f>
        <v>1402409.6385542168</v>
      </c>
      <c r="F68" s="63">
        <f>'Detalle costo'!$B$106</f>
        <v>1402409.6385542168</v>
      </c>
    </row>
    <row r="69" spans="1:6" ht="12.75">
      <c r="A69" s="28" t="s">
        <v>127</v>
      </c>
      <c r="B69" s="65">
        <f>B52</f>
        <v>79446.01592075</v>
      </c>
      <c r="C69" s="65">
        <f>C52</f>
        <v>79446.01592075</v>
      </c>
      <c r="D69" s="65">
        <f>D52</f>
        <v>79446.01592075</v>
      </c>
      <c r="E69" s="65">
        <f>E52</f>
        <v>72196.01592075</v>
      </c>
      <c r="F69" s="65">
        <f>F52</f>
        <v>72196.01592075</v>
      </c>
    </row>
    <row r="70" spans="1:6" ht="12.75">
      <c r="A70" s="28" t="s">
        <v>103</v>
      </c>
      <c r="B70" s="65">
        <f>'Detalle costo'!$B$119</f>
        <v>218275.19106478614</v>
      </c>
      <c r="C70" s="65">
        <f>'Detalle costo'!$B$119</f>
        <v>218275.19106478614</v>
      </c>
      <c r="D70" s="65">
        <f>'Detalle costo'!$B$119</f>
        <v>218275.19106478614</v>
      </c>
      <c r="E70" s="65">
        <f>'Detalle costo'!$B$119</f>
        <v>218275.19106478614</v>
      </c>
      <c r="F70" s="65">
        <f>'Detalle costo'!$B$119</f>
        <v>218275.19106478614</v>
      </c>
    </row>
    <row r="71" spans="1:6" ht="12.75">
      <c r="A71" s="28" t="s">
        <v>133</v>
      </c>
      <c r="B71" s="65">
        <f>'Detalle costo'!E105</f>
        <v>12613.681240000004</v>
      </c>
      <c r="C71" s="65">
        <f>'Detalle costo'!$E$103</f>
        <v>13277.559200000005</v>
      </c>
      <c r="D71" s="65">
        <f>'Detalle costo'!$E$103</f>
        <v>13277.559200000005</v>
      </c>
      <c r="E71" s="65">
        <f>'Detalle costo'!$E$103</f>
        <v>13277.559200000005</v>
      </c>
      <c r="F71" s="65">
        <f>'Detalle costo'!$E$103</f>
        <v>13277.559200000005</v>
      </c>
    </row>
    <row r="72" spans="1:6" ht="12.75">
      <c r="A72" s="28" t="s">
        <v>129</v>
      </c>
      <c r="B72" s="65">
        <v>0</v>
      </c>
      <c r="C72" s="65">
        <v>0</v>
      </c>
      <c r="D72" s="65">
        <v>0</v>
      </c>
      <c r="E72" s="65">
        <v>0</v>
      </c>
      <c r="F72" s="65">
        <v>0</v>
      </c>
    </row>
    <row r="73" spans="1:6" ht="12.75">
      <c r="A73" s="28" t="s">
        <v>130</v>
      </c>
      <c r="B73" s="65">
        <v>0</v>
      </c>
      <c r="C73" s="65">
        <v>0</v>
      </c>
      <c r="D73" s="65">
        <v>0</v>
      </c>
      <c r="E73" s="65">
        <v>0</v>
      </c>
      <c r="F73" s="65">
        <v>0</v>
      </c>
    </row>
    <row r="74" spans="1:6" ht="12.75">
      <c r="A74" s="28" t="s">
        <v>106</v>
      </c>
      <c r="B74" s="65">
        <f>'Detalle costo'!E116</f>
        <v>4421114.595555556</v>
      </c>
      <c r="C74" s="65">
        <f>'Detalle costo'!$E$114</f>
        <v>5199788.595555556</v>
      </c>
      <c r="D74" s="65">
        <f>'Detalle costo'!$E$114</f>
        <v>5199788.595555556</v>
      </c>
      <c r="E74" s="65">
        <f>'Detalle costo'!$E$114</f>
        <v>5199788.595555556</v>
      </c>
      <c r="F74" s="65">
        <f>'Detalle costo'!$E$114</f>
        <v>5199788.595555556</v>
      </c>
    </row>
    <row r="75" spans="1:6" ht="12.75">
      <c r="A75" s="28" t="s">
        <v>21</v>
      </c>
      <c r="B75" s="65">
        <f>0.02*SUM(B68:B74)</f>
        <v>122677.18244670618</v>
      </c>
      <c r="C75" s="65">
        <f>0.02*SUM(C68:C74)</f>
        <v>138263.9400059062</v>
      </c>
      <c r="D75" s="65">
        <f>0.02*SUM(D68:D74)</f>
        <v>138263.9400059062</v>
      </c>
      <c r="E75" s="65">
        <f>0.02*SUM(E68:E74)</f>
        <v>138118.9400059062</v>
      </c>
      <c r="F75" s="65">
        <f>0.02*SUM(F68:F74)</f>
        <v>138118.9400059062</v>
      </c>
    </row>
    <row r="76" spans="1:6" ht="12.75">
      <c r="A76" s="28"/>
      <c r="B76" s="48"/>
      <c r="C76" s="48"/>
      <c r="D76" s="48"/>
      <c r="E76" s="48"/>
      <c r="F76" s="50"/>
    </row>
    <row r="77" spans="1:6" ht="12.75">
      <c r="A77" s="26" t="s">
        <v>134</v>
      </c>
      <c r="B77" s="65">
        <f>SUM(B68:B75)</f>
        <v>6256536.304782015</v>
      </c>
      <c r="C77" s="65">
        <f>SUM(C68:C75)</f>
        <v>7051460.940301215</v>
      </c>
      <c r="D77" s="65">
        <f>SUM(D68:D75)</f>
        <v>7051460.940301215</v>
      </c>
      <c r="E77" s="65">
        <f>SUM(E68:E75)</f>
        <v>7044065.940301215</v>
      </c>
      <c r="F77" s="65">
        <f>SUM(F68:F75)</f>
        <v>7044065.940301215</v>
      </c>
    </row>
    <row r="78" spans="1:6" ht="12.75">
      <c r="A78" s="26"/>
      <c r="B78" s="89"/>
      <c r="C78" s="89"/>
      <c r="D78" s="89"/>
      <c r="E78" s="89"/>
      <c r="F78" s="90"/>
    </row>
    <row r="79" spans="1:6" ht="12.75">
      <c r="A79" s="70" t="s">
        <v>108</v>
      </c>
      <c r="B79" s="91">
        <f>SUM(B69,B68,B74,B75)/B77</f>
        <v>0.9630963745661777</v>
      </c>
      <c r="C79" s="91">
        <f>SUM(C69,C68,C74,C75)/C77</f>
        <v>0.9671624430419244</v>
      </c>
      <c r="D79" s="91">
        <f>SUM(D69,D68,D74,D75)/D77</f>
        <v>0.9671624430419244</v>
      </c>
      <c r="E79" s="91">
        <f>SUM(E69,E68,E74,E75)/E77</f>
        <v>0.9671279695239644</v>
      </c>
      <c r="F79" s="91">
        <f>SUM(F69,F68,F74,F75)/F77</f>
        <v>0.9671279695239644</v>
      </c>
    </row>
    <row r="80" spans="1:6" ht="12.75">
      <c r="A80" s="36" t="s">
        <v>109</v>
      </c>
      <c r="B80" s="84">
        <f>SUM(B70,B71)/B77</f>
        <v>0.03690362543382229</v>
      </c>
      <c r="C80" s="84">
        <f>SUM(C70,C71)/C77</f>
        <v>0.03283755695807555</v>
      </c>
      <c r="D80" s="84">
        <f>SUM(D70,D71)/D77</f>
        <v>0.03283755695807555</v>
      </c>
      <c r="E80" s="84">
        <f>SUM(E70,E71)/E77</f>
        <v>0.03287203047603563</v>
      </c>
      <c r="F80" s="84">
        <f>SUM(F70,F71)/F77</f>
        <v>0.03287203047603563</v>
      </c>
    </row>
    <row r="83" spans="1:6" ht="15.75">
      <c r="A83" s="93" t="s">
        <v>135</v>
      </c>
      <c r="B83" s="94"/>
      <c r="C83" s="94"/>
      <c r="D83" s="94"/>
      <c r="E83" s="94"/>
      <c r="F83" s="95"/>
    </row>
    <row r="84" spans="1:6" ht="12.75">
      <c r="A84" s="28"/>
      <c r="B84" s="61" t="s">
        <v>54</v>
      </c>
      <c r="C84" s="61" t="s">
        <v>95</v>
      </c>
      <c r="D84" s="61" t="s">
        <v>96</v>
      </c>
      <c r="E84" s="61" t="s">
        <v>97</v>
      </c>
      <c r="F84" s="23" t="s">
        <v>98</v>
      </c>
    </row>
    <row r="85" spans="1:6" ht="12.75">
      <c r="A85" s="28" t="s">
        <v>136</v>
      </c>
      <c r="B85" s="96">
        <v>22100</v>
      </c>
      <c r="C85" s="96">
        <v>26000</v>
      </c>
      <c r="D85" s="96">
        <f>+C85</f>
        <v>26000</v>
      </c>
      <c r="E85" s="96">
        <f>+D85</f>
        <v>26000</v>
      </c>
      <c r="F85" s="97">
        <f>+E85</f>
        <v>26000</v>
      </c>
    </row>
    <row r="86" spans="1:6" ht="12.75">
      <c r="A86" s="28" t="s">
        <v>137</v>
      </c>
      <c r="B86" s="65">
        <v>6700</v>
      </c>
      <c r="C86" s="65">
        <v>6700</v>
      </c>
      <c r="D86" s="65">
        <v>6700</v>
      </c>
      <c r="E86" s="65">
        <v>6700</v>
      </c>
      <c r="F86" s="66">
        <v>6700</v>
      </c>
    </row>
    <row r="87" spans="1:6" ht="12.75">
      <c r="A87" s="26" t="s">
        <v>138</v>
      </c>
      <c r="B87" s="65">
        <f>B85*B86</f>
        <v>148070000</v>
      </c>
      <c r="C87" s="65">
        <f>C85*C86</f>
        <v>174200000</v>
      </c>
      <c r="D87" s="65">
        <f>D85*D86</f>
        <v>174200000</v>
      </c>
      <c r="E87" s="65">
        <f>E85*E86</f>
        <v>174200000</v>
      </c>
      <c r="F87" s="65">
        <f>F85*F86</f>
        <v>174200000</v>
      </c>
    </row>
    <row r="88" spans="1:6" ht="12.75">
      <c r="A88" s="28"/>
      <c r="B88" s="89"/>
      <c r="C88" s="89"/>
      <c r="D88" s="89"/>
      <c r="E88" s="89"/>
      <c r="F88" s="90"/>
    </row>
    <row r="89" spans="1:6" ht="12.75">
      <c r="A89" s="28" t="s">
        <v>139</v>
      </c>
      <c r="B89" s="65">
        <f>B7</f>
        <v>127443690</v>
      </c>
      <c r="C89" s="65">
        <f aca="true" t="shared" si="1" ref="C89:F90">C7</f>
        <v>126252225</v>
      </c>
      <c r="D89" s="65">
        <f t="shared" si="1"/>
        <v>126252225</v>
      </c>
      <c r="E89" s="65">
        <f t="shared" si="1"/>
        <v>126252225</v>
      </c>
      <c r="F89" s="65">
        <f t="shared" si="1"/>
        <v>126252225</v>
      </c>
    </row>
    <row r="90" spans="1:6" ht="12.75">
      <c r="A90" s="28" t="s">
        <v>100</v>
      </c>
      <c r="B90" s="65">
        <f>B8</f>
        <v>4317788.16</v>
      </c>
      <c r="C90" s="65">
        <f t="shared" si="1"/>
        <v>4451328</v>
      </c>
      <c r="D90" s="65">
        <f t="shared" si="1"/>
        <v>4451328</v>
      </c>
      <c r="E90" s="65">
        <f t="shared" si="1"/>
        <v>4451328</v>
      </c>
      <c r="F90" s="65">
        <f t="shared" si="1"/>
        <v>4451328</v>
      </c>
    </row>
    <row r="91" spans="1:6" ht="12.75">
      <c r="A91" s="28" t="s">
        <v>140</v>
      </c>
      <c r="B91" s="65">
        <f>SUM(B10:B15)</f>
        <v>7590248.428938541</v>
      </c>
      <c r="C91" s="65">
        <f>SUM(C10:C15)</f>
        <v>7688528.9370753</v>
      </c>
      <c r="D91" s="65">
        <f>SUM(D10:D15)</f>
        <v>7688528.9370753</v>
      </c>
      <c r="E91" s="65">
        <f>SUM(E10:E15)</f>
        <v>7568475.1706145</v>
      </c>
      <c r="F91" s="65">
        <f>SUM(F10:F15)</f>
        <v>7568475.1706145</v>
      </c>
    </row>
    <row r="92" spans="1:6" ht="12.75">
      <c r="A92" s="28"/>
      <c r="B92" s="89"/>
      <c r="C92" s="89"/>
      <c r="D92" s="89"/>
      <c r="E92" s="89"/>
      <c r="F92" s="90"/>
    </row>
    <row r="93" spans="1:6" ht="12.75">
      <c r="A93" s="28" t="s">
        <v>141</v>
      </c>
      <c r="B93" s="98">
        <f>B16</f>
        <v>139351726.58893856</v>
      </c>
      <c r="C93" s="98">
        <f>C16</f>
        <v>138392081.9370753</v>
      </c>
      <c r="D93" s="98">
        <f>D16</f>
        <v>138392081.9370753</v>
      </c>
      <c r="E93" s="98">
        <f>E16</f>
        <v>138272028.1706145</v>
      </c>
      <c r="F93" s="98">
        <f>F16</f>
        <v>138272028.1706145</v>
      </c>
    </row>
    <row r="94" spans="1:6" ht="12.75">
      <c r="A94" s="28"/>
      <c r="B94" s="89"/>
      <c r="C94" s="89"/>
      <c r="D94" s="89"/>
      <c r="E94" s="89"/>
      <c r="F94" s="90"/>
    </row>
    <row r="95" spans="1:6" ht="12.75">
      <c r="A95" s="28" t="s">
        <v>120</v>
      </c>
      <c r="B95" s="89"/>
      <c r="C95" s="89"/>
      <c r="D95" s="89"/>
      <c r="E95" s="89"/>
      <c r="F95" s="90"/>
    </row>
    <row r="96" spans="1:6" ht="12.75">
      <c r="A96" s="30" t="s">
        <v>112</v>
      </c>
      <c r="B96" s="65">
        <f>G34</f>
        <v>555615.2792164625</v>
      </c>
      <c r="C96" s="65">
        <v>0</v>
      </c>
      <c r="D96" s="65">
        <v>0</v>
      </c>
      <c r="E96" s="65">
        <v>0</v>
      </c>
      <c r="F96" s="65">
        <v>0</v>
      </c>
    </row>
    <row r="97" spans="1:6" ht="12.75">
      <c r="A97" s="30" t="s">
        <v>122</v>
      </c>
      <c r="B97" s="65">
        <f>B41</f>
        <v>550640.9542837457</v>
      </c>
      <c r="C97" s="65">
        <f>C41</f>
        <v>-24837.119241603767</v>
      </c>
      <c r="D97" s="65">
        <f>D41</f>
        <v>0</v>
      </c>
      <c r="E97" s="65">
        <f>E41</f>
        <v>-6403.019185054058</v>
      </c>
      <c r="F97" s="65">
        <f>F41</f>
        <v>0</v>
      </c>
    </row>
    <row r="98" spans="1:6" ht="12.75">
      <c r="A98" s="28"/>
      <c r="B98" s="89"/>
      <c r="C98" s="89"/>
      <c r="D98" s="89"/>
      <c r="E98" s="89"/>
      <c r="F98" s="90"/>
    </row>
    <row r="99" spans="1:6" ht="12.75">
      <c r="A99" s="26" t="s">
        <v>142</v>
      </c>
      <c r="B99" s="65">
        <f>B93-B96-B97</f>
        <v>138245470.35543835</v>
      </c>
      <c r="C99" s="65">
        <f>C93-C96-C97</f>
        <v>138416919.05631688</v>
      </c>
      <c r="D99" s="65">
        <f>D93-D96-D97</f>
        <v>138392081.9370753</v>
      </c>
      <c r="E99" s="65">
        <f>E93-E96-E97</f>
        <v>138278431.18979958</v>
      </c>
      <c r="F99" s="65">
        <f>F93-F96-F97</f>
        <v>138272028.1706145</v>
      </c>
    </row>
    <row r="100" spans="1:6" ht="12.75">
      <c r="A100" s="30" t="s">
        <v>143</v>
      </c>
      <c r="B100" s="263">
        <f>B85</f>
        <v>22100</v>
      </c>
      <c r="C100" s="263">
        <f>C85</f>
        <v>26000</v>
      </c>
      <c r="D100" s="263">
        <f>D85</f>
        <v>26000</v>
      </c>
      <c r="E100" s="263">
        <f>E85</f>
        <v>26000</v>
      </c>
      <c r="F100" s="263">
        <f>F85</f>
        <v>26000</v>
      </c>
    </row>
    <row r="101" spans="1:6" ht="12.75">
      <c r="A101" s="28" t="s">
        <v>144</v>
      </c>
      <c r="B101" s="65">
        <f>B99/B100</f>
        <v>6255.451147304902</v>
      </c>
      <c r="C101" s="65">
        <f>C99/C100</f>
        <v>5323.727656012188</v>
      </c>
      <c r="D101" s="65">
        <f>D99/D100</f>
        <v>5322.772382195203</v>
      </c>
      <c r="E101" s="65">
        <f>E99/E100</f>
        <v>5318.401199607676</v>
      </c>
      <c r="F101" s="65">
        <f>F99/F100</f>
        <v>5318.154929639019</v>
      </c>
    </row>
    <row r="102" spans="1:6" ht="12.75">
      <c r="A102" s="28"/>
      <c r="B102" s="100"/>
      <c r="C102" s="100"/>
      <c r="D102" s="100"/>
      <c r="E102" s="100"/>
      <c r="F102" s="101"/>
    </row>
    <row r="103" spans="1:6" ht="12.75">
      <c r="A103" s="28" t="s">
        <v>120</v>
      </c>
      <c r="B103" s="100"/>
      <c r="C103" s="100"/>
      <c r="D103" s="100"/>
      <c r="E103" s="100"/>
      <c r="F103" s="101"/>
    </row>
    <row r="104" spans="1:6" ht="12.75">
      <c r="A104" s="28" t="s">
        <v>145</v>
      </c>
      <c r="B104" s="65">
        <f>B101*'Detalle costo'!$J$19</f>
        <v>1626417.2982992746</v>
      </c>
      <c r="C104" s="65">
        <f>B104-C101*'Detalle costo'!$K$19</f>
        <v>242248.1077361058</v>
      </c>
      <c r="D104" s="65">
        <f>I104-H104</f>
        <v>0</v>
      </c>
      <c r="E104" s="65">
        <f>J104-I104</f>
        <v>0</v>
      </c>
      <c r="F104" s="65">
        <f>K104-J104</f>
        <v>0</v>
      </c>
    </row>
    <row r="105" spans="1:6" ht="12.75">
      <c r="A105" s="28"/>
      <c r="B105" s="100"/>
      <c r="C105" s="100"/>
      <c r="D105" s="100"/>
      <c r="E105" s="100"/>
      <c r="F105" s="101"/>
    </row>
    <row r="106" spans="1:6" ht="12.75">
      <c r="A106" s="26" t="s">
        <v>146</v>
      </c>
      <c r="B106" s="65">
        <f>B99-B104</f>
        <v>136619053.05713907</v>
      </c>
      <c r="C106" s="65">
        <f>C99-C104</f>
        <v>138174670.94858077</v>
      </c>
      <c r="D106" s="65">
        <f>D99-D104</f>
        <v>138392081.9370753</v>
      </c>
      <c r="E106" s="65">
        <f>E99-E104</f>
        <v>138278431.18979958</v>
      </c>
      <c r="F106" s="65">
        <f>F99-F104</f>
        <v>138272028.1706145</v>
      </c>
    </row>
    <row r="107" spans="1:6" ht="12.75">
      <c r="A107" s="28"/>
      <c r="B107" s="89"/>
      <c r="C107" s="89"/>
      <c r="D107" s="89"/>
      <c r="E107" s="89"/>
      <c r="F107" s="90"/>
    </row>
    <row r="108" spans="1:6" ht="12.75">
      <c r="A108" s="26" t="s">
        <v>147</v>
      </c>
      <c r="B108" s="65">
        <f>B60</f>
        <v>3894711.582372376</v>
      </c>
      <c r="C108" s="65">
        <f>C60</f>
        <v>3895388.7378915763</v>
      </c>
      <c r="D108" s="65">
        <f>D60</f>
        <v>3895388.7378915763</v>
      </c>
      <c r="E108" s="65">
        <f>E60</f>
        <v>3887993.7378915763</v>
      </c>
      <c r="F108" s="65">
        <f>F60</f>
        <v>3887993.7378915763</v>
      </c>
    </row>
    <row r="109" spans="1:6" ht="12.75">
      <c r="A109" s="26" t="s">
        <v>148</v>
      </c>
      <c r="B109" s="98">
        <f>B77</f>
        <v>6256536.304782015</v>
      </c>
      <c r="C109" s="98">
        <f>C77</f>
        <v>7051460.940301215</v>
      </c>
      <c r="D109" s="98">
        <f>D77</f>
        <v>7051460.940301215</v>
      </c>
      <c r="E109" s="98">
        <f>E77</f>
        <v>7044065.940301215</v>
      </c>
      <c r="F109" s="98">
        <f>F77</f>
        <v>7044065.940301215</v>
      </c>
    </row>
    <row r="110" spans="1:6" ht="12.75">
      <c r="A110" s="28"/>
      <c r="B110" s="100"/>
      <c r="C110" s="100"/>
      <c r="D110" s="100"/>
      <c r="E110" s="100"/>
      <c r="F110" s="101"/>
    </row>
    <row r="111" spans="1:6" ht="12.75">
      <c r="A111" s="26" t="s">
        <v>149</v>
      </c>
      <c r="B111" s="98">
        <f>B99+B108+B109</f>
        <v>148396718.24259272</v>
      </c>
      <c r="C111" s="98">
        <f>C99+C108+C109</f>
        <v>149363768.73450968</v>
      </c>
      <c r="D111" s="98">
        <f>D99+D108+D109</f>
        <v>149338931.61526808</v>
      </c>
      <c r="E111" s="98">
        <f>E99+E108+E109</f>
        <v>149210490.86799237</v>
      </c>
      <c r="F111" s="98">
        <f>F99+F108+F109</f>
        <v>149204087.8488073</v>
      </c>
    </row>
    <row r="112" spans="1:6" ht="12.75">
      <c r="A112" s="28"/>
      <c r="B112" s="100"/>
      <c r="C112" s="100"/>
      <c r="D112" s="100"/>
      <c r="E112" s="100"/>
      <c r="F112" s="101"/>
    </row>
    <row r="113" spans="1:6" ht="12.75">
      <c r="A113" s="26" t="s">
        <v>150</v>
      </c>
      <c r="B113" s="98">
        <f>B111/B85</f>
        <v>6714.783630886549</v>
      </c>
      <c r="C113" s="98">
        <f>C111/C85</f>
        <v>5744.76033594268</v>
      </c>
      <c r="D113" s="98">
        <f>D111/D85</f>
        <v>5743.805062125695</v>
      </c>
      <c r="E113" s="98">
        <f>E111/E85</f>
        <v>5738.865033384322</v>
      </c>
      <c r="F113" s="98">
        <f>F111/F85</f>
        <v>5738.618763415666</v>
      </c>
    </row>
    <row r="114" spans="1:6" ht="12.75">
      <c r="A114" s="28"/>
      <c r="B114" s="100"/>
      <c r="C114" s="100"/>
      <c r="D114" s="100"/>
      <c r="E114" s="100"/>
      <c r="F114" s="101"/>
    </row>
    <row r="115" spans="1:6" ht="12.75">
      <c r="A115" s="26" t="s">
        <v>151</v>
      </c>
      <c r="B115" s="98">
        <f>B87-B111</f>
        <v>-326718.2425927222</v>
      </c>
      <c r="C115" s="98">
        <f>C87-C111</f>
        <v>24836231.265490323</v>
      </c>
      <c r="D115" s="98">
        <f>D87-D111</f>
        <v>24861068.38473192</v>
      </c>
      <c r="E115" s="98">
        <f>E87-E111</f>
        <v>24989509.13200763</v>
      </c>
      <c r="F115" s="98">
        <f>F87-F111</f>
        <v>24995912.151192695</v>
      </c>
    </row>
    <row r="116" spans="1:6" ht="12.75">
      <c r="A116" s="26" t="s">
        <v>5</v>
      </c>
      <c r="B116" s="98">
        <f>0.02*B115</f>
        <v>-6534.364851854443</v>
      </c>
      <c r="C116" s="98">
        <f>0.02*C115</f>
        <v>496724.6253098065</v>
      </c>
      <c r="D116" s="98">
        <f>0.02*D115</f>
        <v>497221.3676946384</v>
      </c>
      <c r="E116" s="98">
        <f>0.02*E115</f>
        <v>499790.1826401526</v>
      </c>
      <c r="F116" s="98">
        <f>0.02*F115</f>
        <v>499918.2430238539</v>
      </c>
    </row>
    <row r="117" spans="1:6" ht="12.75">
      <c r="A117" s="47" t="s">
        <v>152</v>
      </c>
      <c r="B117" s="98">
        <f>0.35*(B115-B116)</f>
        <v>-112064.3572093037</v>
      </c>
      <c r="C117" s="98">
        <f>0.35*(C115-C116)</f>
        <v>8518827.32406318</v>
      </c>
      <c r="D117" s="98">
        <f>0.35*(D115-D116)</f>
        <v>8527346.455963047</v>
      </c>
      <c r="E117" s="98">
        <f>0.35*(E115-E116)</f>
        <v>8571401.632278616</v>
      </c>
      <c r="F117" s="98">
        <f>0.35*(F115-F116)</f>
        <v>8573597.867859093</v>
      </c>
    </row>
    <row r="118" spans="1:6" ht="12.75">
      <c r="A118" s="26"/>
      <c r="B118" s="100"/>
      <c r="C118" s="100"/>
      <c r="D118" s="100"/>
      <c r="E118" s="100"/>
      <c r="F118" s="101"/>
    </row>
    <row r="119" spans="1:6" ht="12.75">
      <c r="A119" s="47" t="s">
        <v>153</v>
      </c>
      <c r="B119" s="98">
        <f>B115-B116-B117</f>
        <v>-208119.52053156402</v>
      </c>
      <c r="C119" s="98">
        <f>C115-C116-C117</f>
        <v>15820679.316117337</v>
      </c>
      <c r="D119" s="98">
        <f>D115-D116-D117</f>
        <v>15836500.561074233</v>
      </c>
      <c r="E119" s="98">
        <f>E115-E116-E117</f>
        <v>15918317.31708886</v>
      </c>
      <c r="F119" s="98">
        <f>F115-F116-F117</f>
        <v>15922396.040309748</v>
      </c>
    </row>
    <row r="120" spans="1:6" ht="12.75">
      <c r="A120" s="26" t="s">
        <v>154</v>
      </c>
      <c r="B120" s="264">
        <f>B119/B87</f>
        <v>-0.0014055481902584183</v>
      </c>
      <c r="C120" s="264">
        <f>C119/C87</f>
        <v>0.09081905462753925</v>
      </c>
      <c r="D120" s="264">
        <f>D119/D87</f>
        <v>0.09090987692924359</v>
      </c>
      <c r="E120" s="264">
        <f>E119/E87</f>
        <v>0.09137954831853536</v>
      </c>
      <c r="F120" s="264">
        <f>F119/F87</f>
        <v>0.0914029623439136</v>
      </c>
    </row>
    <row r="121" spans="1:6" ht="12.75">
      <c r="A121" s="26"/>
      <c r="B121" s="104"/>
      <c r="C121" s="104"/>
      <c r="D121" s="104"/>
      <c r="E121" s="104"/>
      <c r="F121" s="105"/>
    </row>
    <row r="122" spans="1:6" ht="12.75">
      <c r="A122" s="26" t="s">
        <v>155</v>
      </c>
      <c r="B122" s="102"/>
      <c r="C122" s="102"/>
      <c r="D122" s="102"/>
      <c r="E122" s="102"/>
      <c r="F122" s="103"/>
    </row>
    <row r="123" spans="1:6" ht="12.75">
      <c r="A123" s="47" t="s">
        <v>156</v>
      </c>
      <c r="B123" s="265">
        <f>B119</f>
        <v>-208119.52053156402</v>
      </c>
      <c r="C123" s="265">
        <f>C119</f>
        <v>15820679.316117337</v>
      </c>
      <c r="D123" s="265">
        <f>D119</f>
        <v>15836500.561074233</v>
      </c>
      <c r="E123" s="265">
        <f>E119</f>
        <v>15918317.31708886</v>
      </c>
      <c r="F123" s="265">
        <f>F119</f>
        <v>15922396.040309748</v>
      </c>
    </row>
    <row r="124" spans="1:6" ht="12.75">
      <c r="A124" s="26" t="s">
        <v>157</v>
      </c>
      <c r="B124" s="266">
        <f>B69+B10+B52</f>
        <v>1747812.3502565</v>
      </c>
      <c r="C124" s="266">
        <f>C69+C10+C52</f>
        <v>1747812.3502565</v>
      </c>
      <c r="D124" s="266">
        <f>D69+D10+D52</f>
        <v>1747812.3502565</v>
      </c>
      <c r="E124" s="266">
        <f>E69+E10+E52</f>
        <v>1588312.3502565</v>
      </c>
      <c r="F124" s="266">
        <f>F69+F10+F52</f>
        <v>1588312.3502565</v>
      </c>
    </row>
    <row r="125" spans="1:6" ht="12.75">
      <c r="A125" s="36" t="s">
        <v>158</v>
      </c>
      <c r="B125" s="266">
        <f>B124+B123</f>
        <v>1539692.829724936</v>
      </c>
      <c r="C125" s="266">
        <f>C124+C123</f>
        <v>17568491.666373838</v>
      </c>
      <c r="D125" s="266">
        <f>D124+D123</f>
        <v>17584312.911330733</v>
      </c>
      <c r="E125" s="266">
        <f>E124+E123</f>
        <v>17506629.66734536</v>
      </c>
      <c r="F125" s="266">
        <f>F124+F123</f>
        <v>17510708.39056625</v>
      </c>
    </row>
    <row r="126" spans="1:6" ht="12.75">
      <c r="A126" s="26"/>
      <c r="B126" s="31"/>
      <c r="C126" s="31"/>
      <c r="D126" s="31"/>
      <c r="E126" s="31"/>
      <c r="F126" s="106"/>
    </row>
    <row r="127" spans="1:6" ht="12.75">
      <c r="A127" s="26" t="s">
        <v>159</v>
      </c>
      <c r="B127" s="29">
        <f>B18*B16</f>
        <v>5446513.83427654</v>
      </c>
      <c r="C127" s="29">
        <f>C18*C16</f>
        <v>5478493.272475299</v>
      </c>
      <c r="D127" s="29">
        <f>D18*D16</f>
        <v>5478493.272475299</v>
      </c>
      <c r="E127" s="29">
        <f>E18*E16</f>
        <v>5331139.2770545</v>
      </c>
      <c r="F127" s="29">
        <f>F18*F16</f>
        <v>5331139.2770545</v>
      </c>
    </row>
    <row r="128" spans="1:6" ht="12.75">
      <c r="A128" s="47" t="s">
        <v>160</v>
      </c>
      <c r="B128" s="29">
        <f>B19*B16</f>
        <v>133905212.75466199</v>
      </c>
      <c r="C128" s="29">
        <f>C19*C16</f>
        <v>132913588.6646</v>
      </c>
      <c r="D128" s="29">
        <f>D19*D16</f>
        <v>132913588.6646</v>
      </c>
      <c r="E128" s="29">
        <f>E19*E16</f>
        <v>132940888.89355999</v>
      </c>
      <c r="F128" s="29">
        <f>F19*F16</f>
        <v>132940888.89355999</v>
      </c>
    </row>
    <row r="129" spans="1:6" ht="12.75">
      <c r="A129" s="26" t="s">
        <v>161</v>
      </c>
      <c r="B129" s="29">
        <f>B62*B60</f>
        <v>3726931.1438025297</v>
      </c>
      <c r="C129" s="29">
        <f>C62*C60</f>
        <v>3726944.4213617295</v>
      </c>
      <c r="D129" s="29">
        <f>D62*D60</f>
        <v>3726944.4213617295</v>
      </c>
      <c r="E129" s="29">
        <f>E62*E60</f>
        <v>3719549.4213617295</v>
      </c>
      <c r="F129" s="29">
        <f>F62*F60</f>
        <v>3719549.4213617295</v>
      </c>
    </row>
    <row r="130" spans="1:6" ht="12.75">
      <c r="A130" s="47" t="s">
        <v>162</v>
      </c>
      <c r="B130" s="29">
        <f>B63*B60</f>
        <v>167780.4385698464</v>
      </c>
      <c r="C130" s="29">
        <f>C63*C60</f>
        <v>168444.3165298464</v>
      </c>
      <c r="D130" s="29">
        <f>D63*D60</f>
        <v>168444.3165298464</v>
      </c>
      <c r="E130" s="29">
        <f>E63*E60</f>
        <v>168444.3165298464</v>
      </c>
      <c r="F130" s="29">
        <f>F63*F60</f>
        <v>168444.3165298464</v>
      </c>
    </row>
    <row r="131" spans="1:6" ht="12.75">
      <c r="A131" s="26" t="s">
        <v>163</v>
      </c>
      <c r="B131" s="29">
        <f>B79*B77</f>
        <v>6025647.432477229</v>
      </c>
      <c r="C131" s="29">
        <f>C79*C77</f>
        <v>6819908.190036429</v>
      </c>
      <c r="D131" s="29">
        <f>D79*D77</f>
        <v>6819908.190036429</v>
      </c>
      <c r="E131" s="29">
        <f>E79*E77</f>
        <v>6812513.190036429</v>
      </c>
      <c r="F131" s="29">
        <f>F79*F77</f>
        <v>6812513.190036429</v>
      </c>
    </row>
    <row r="132" spans="1:6" ht="12.75">
      <c r="A132" s="47" t="s">
        <v>164</v>
      </c>
      <c r="B132" s="29">
        <f>B80*B77</f>
        <v>230888.8723047861</v>
      </c>
      <c r="C132" s="29">
        <f>C80*C77</f>
        <v>231552.75026478615</v>
      </c>
      <c r="D132" s="29">
        <f>D80*D77</f>
        <v>231552.75026478615</v>
      </c>
      <c r="E132" s="29">
        <f>E80*E77</f>
        <v>231552.75026478613</v>
      </c>
      <c r="F132" s="29">
        <f>F80*F77</f>
        <v>231552.75026478613</v>
      </c>
    </row>
    <row r="133" spans="1:6" ht="12.75">
      <c r="A133" s="26" t="s">
        <v>165</v>
      </c>
      <c r="B133" s="29">
        <f>B87-B128-B130-B132</f>
        <v>13766117.934463376</v>
      </c>
      <c r="C133" s="29">
        <f>C87-C128-C130-C132</f>
        <v>40886414.26860537</v>
      </c>
      <c r="D133" s="29">
        <f>D87-D128-D130-D132</f>
        <v>40886414.26860537</v>
      </c>
      <c r="E133" s="29">
        <f>E87-E128-E130-E132</f>
        <v>40859114.039645374</v>
      </c>
      <c r="F133" s="29">
        <f>F87-F128-F130-F132</f>
        <v>40859114.039645374</v>
      </c>
    </row>
    <row r="134" spans="1:6" ht="12.75">
      <c r="A134" s="36" t="s">
        <v>166</v>
      </c>
      <c r="B134" s="267">
        <f>(B127+B129+B131)/B133</f>
        <v>1.1040943047934728</v>
      </c>
      <c r="C134" s="267">
        <f>(C127+C129+C131)/C133</f>
        <v>0.3919479409124541</v>
      </c>
      <c r="D134" s="267">
        <f>(D127+D129+D131)/D133</f>
        <v>0.3919479409124541</v>
      </c>
      <c r="E134" s="267">
        <f>(E127+E129+E131)/E133</f>
        <v>0.3882414550903057</v>
      </c>
      <c r="F134" s="267">
        <f>(F127+F129+F131)/F133</f>
        <v>0.3882414550903057</v>
      </c>
    </row>
    <row r="135" ht="15.75">
      <c r="A135" s="107" t="s">
        <v>167</v>
      </c>
    </row>
    <row r="137" spans="1:5" ht="15.75">
      <c r="A137" s="352" t="s">
        <v>54</v>
      </c>
      <c r="B137" s="352"/>
      <c r="C137" s="352"/>
      <c r="D137" s="352"/>
      <c r="E137" s="352"/>
    </row>
    <row r="138" spans="1:5" ht="12.75">
      <c r="A138" s="17" t="s">
        <v>629</v>
      </c>
      <c r="B138" s="17" t="s">
        <v>630</v>
      </c>
      <c r="C138" s="17" t="s">
        <v>631</v>
      </c>
      <c r="D138" s="268" t="s">
        <v>632</v>
      </c>
      <c r="E138" s="268" t="s">
        <v>633</v>
      </c>
    </row>
    <row r="139" spans="1:6" ht="12.75">
      <c r="A139" s="269">
        <v>500</v>
      </c>
      <c r="B139" s="270">
        <f>$B$131+$B$129+$B$127</f>
        <v>15199092.4105563</v>
      </c>
      <c r="C139" s="270">
        <f aca="true" t="shared" si="2" ref="C139:C150">A139*$B$181</f>
        <v>3038549.367998566</v>
      </c>
      <c r="D139" s="270">
        <f>B139+C139</f>
        <v>18237641.778554864</v>
      </c>
      <c r="E139" s="17">
        <f>6700*A139</f>
        <v>3350000</v>
      </c>
      <c r="F139" s="17">
        <v>500</v>
      </c>
    </row>
    <row r="140" spans="1:6" ht="12.75">
      <c r="A140" s="271">
        <f>+A139+F140</f>
        <v>1700</v>
      </c>
      <c r="B140" s="270">
        <f aca="true" t="shared" si="3" ref="B140:B150">$B$131+$B$129+$B$127</f>
        <v>15199092.4105563</v>
      </c>
      <c r="C140" s="270">
        <f t="shared" si="2"/>
        <v>10331067.851195125</v>
      </c>
      <c r="D140" s="270">
        <f aca="true" t="shared" si="4" ref="D140:D150">B140+C140</f>
        <v>25530160.261751425</v>
      </c>
      <c r="E140" s="17">
        <f aca="true" t="shared" si="5" ref="E140:E150">6700*A140</f>
        <v>11390000</v>
      </c>
      <c r="F140" s="17">
        <v>1200</v>
      </c>
    </row>
    <row r="141" spans="1:6" ht="12.75">
      <c r="A141" s="271">
        <f aca="true" t="shared" si="6" ref="A141:A150">+A140+F141</f>
        <v>3352</v>
      </c>
      <c r="B141" s="270">
        <f t="shared" si="3"/>
        <v>15199092.4105563</v>
      </c>
      <c r="C141" s="270">
        <f t="shared" si="2"/>
        <v>20370434.963062387</v>
      </c>
      <c r="D141" s="270">
        <f t="shared" si="4"/>
        <v>35569527.373618685</v>
      </c>
      <c r="E141" s="17">
        <f t="shared" si="5"/>
        <v>22458400</v>
      </c>
      <c r="F141" s="17">
        <v>1652</v>
      </c>
    </row>
    <row r="142" spans="1:6" ht="12.75">
      <c r="A142" s="271">
        <f t="shared" si="6"/>
        <v>5652</v>
      </c>
      <c r="B142" s="270">
        <f t="shared" si="3"/>
        <v>15199092.4105563</v>
      </c>
      <c r="C142" s="270">
        <f t="shared" si="2"/>
        <v>34347762.05585579</v>
      </c>
      <c r="D142" s="270">
        <f t="shared" si="4"/>
        <v>49546854.46641209</v>
      </c>
      <c r="E142" s="17">
        <f t="shared" si="5"/>
        <v>37868400</v>
      </c>
      <c r="F142" s="17">
        <v>2300</v>
      </c>
    </row>
    <row r="143" spans="1:6" ht="12.75">
      <c r="A143" s="271">
        <f t="shared" si="6"/>
        <v>7766</v>
      </c>
      <c r="B143" s="270">
        <f t="shared" si="3"/>
        <v>15199092.4105563</v>
      </c>
      <c r="C143" s="270">
        <f t="shared" si="2"/>
        <v>47194748.78375373</v>
      </c>
      <c r="D143" s="270">
        <f t="shared" si="4"/>
        <v>62393841.19431003</v>
      </c>
      <c r="E143" s="17">
        <f t="shared" si="5"/>
        <v>52032200</v>
      </c>
      <c r="F143" s="17">
        <v>2114</v>
      </c>
    </row>
    <row r="144" spans="1:6" ht="12.75">
      <c r="A144" s="271">
        <f t="shared" si="6"/>
        <v>10324</v>
      </c>
      <c r="B144" s="270">
        <f t="shared" si="3"/>
        <v>15199092.4105563</v>
      </c>
      <c r="C144" s="270">
        <f t="shared" si="2"/>
        <v>62739967.35043439</v>
      </c>
      <c r="D144" s="270">
        <f t="shared" si="4"/>
        <v>77939059.7609907</v>
      </c>
      <c r="E144" s="17">
        <f t="shared" si="5"/>
        <v>69170800</v>
      </c>
      <c r="F144" s="17">
        <v>2558</v>
      </c>
    </row>
    <row r="145" spans="1:6" ht="12.75">
      <c r="A145" s="271">
        <f t="shared" si="6"/>
        <v>12728</v>
      </c>
      <c r="B145" s="270">
        <f t="shared" si="3"/>
        <v>15199092.4105563</v>
      </c>
      <c r="C145" s="270">
        <f t="shared" si="2"/>
        <v>77349312.7117715</v>
      </c>
      <c r="D145" s="270">
        <f t="shared" si="4"/>
        <v>92548405.1223278</v>
      </c>
      <c r="E145" s="17">
        <f t="shared" si="5"/>
        <v>85277600</v>
      </c>
      <c r="F145" s="17">
        <v>2404</v>
      </c>
    </row>
    <row r="146" spans="1:6" ht="12.75">
      <c r="A146" s="271">
        <f t="shared" si="6"/>
        <v>15132</v>
      </c>
      <c r="B146" s="270">
        <f t="shared" si="3"/>
        <v>15199092.4105563</v>
      </c>
      <c r="C146" s="270">
        <f t="shared" si="2"/>
        <v>91958658.0731086</v>
      </c>
      <c r="D146" s="270">
        <f t="shared" si="4"/>
        <v>107157750.4836649</v>
      </c>
      <c r="E146" s="17">
        <f t="shared" si="5"/>
        <v>101384400</v>
      </c>
      <c r="F146" s="17">
        <v>2404</v>
      </c>
    </row>
    <row r="147" spans="1:6" ht="12.75">
      <c r="A147" s="271">
        <f t="shared" si="6"/>
        <v>17035</v>
      </c>
      <c r="B147" s="270">
        <f t="shared" si="3"/>
        <v>15199092.4105563</v>
      </c>
      <c r="C147" s="270">
        <f t="shared" si="2"/>
        <v>103523376.96771115</v>
      </c>
      <c r="D147" s="270">
        <f t="shared" si="4"/>
        <v>118722469.37826745</v>
      </c>
      <c r="E147" s="17">
        <f t="shared" si="5"/>
        <v>114134500</v>
      </c>
      <c r="F147" s="17">
        <v>1903</v>
      </c>
    </row>
    <row r="148" spans="1:6" ht="12.75">
      <c r="A148" s="271">
        <f t="shared" si="6"/>
        <v>19474</v>
      </c>
      <c r="B148" s="270">
        <f t="shared" si="3"/>
        <v>15199092.4105563</v>
      </c>
      <c r="C148" s="270">
        <f t="shared" si="2"/>
        <v>118345420.78480816</v>
      </c>
      <c r="D148" s="270">
        <f t="shared" si="4"/>
        <v>133544513.19536446</v>
      </c>
      <c r="E148" s="17">
        <f t="shared" si="5"/>
        <v>130475800</v>
      </c>
      <c r="F148" s="17">
        <v>2439</v>
      </c>
    </row>
    <row r="149" spans="1:6" ht="12.75">
      <c r="A149" s="271">
        <f t="shared" si="6"/>
        <v>20943</v>
      </c>
      <c r="B149" s="270">
        <f t="shared" si="3"/>
        <v>15199092.4105563</v>
      </c>
      <c r="C149" s="270">
        <f t="shared" si="2"/>
        <v>127272678.82798794</v>
      </c>
      <c r="D149" s="270">
        <f t="shared" si="4"/>
        <v>142471771.23854423</v>
      </c>
      <c r="E149" s="17">
        <f t="shared" si="5"/>
        <v>140318100</v>
      </c>
      <c r="F149" s="17">
        <v>1469</v>
      </c>
    </row>
    <row r="150" spans="1:6" ht="12.75">
      <c r="A150" s="271">
        <f t="shared" si="6"/>
        <v>22100</v>
      </c>
      <c r="B150" s="270">
        <f t="shared" si="3"/>
        <v>15199092.4105563</v>
      </c>
      <c r="C150" s="270">
        <f t="shared" si="2"/>
        <v>134303882.06553662</v>
      </c>
      <c r="D150" s="270">
        <f t="shared" si="4"/>
        <v>149502974.4760929</v>
      </c>
      <c r="E150" s="17">
        <f t="shared" si="5"/>
        <v>148070000</v>
      </c>
      <c r="F150" s="17">
        <v>1157</v>
      </c>
    </row>
    <row r="180" ht="12.75">
      <c r="B180" s="270"/>
    </row>
    <row r="181" spans="1:2" ht="12.75">
      <c r="A181" s="17" t="s">
        <v>634</v>
      </c>
      <c r="B181" s="270">
        <f>(B128+B130+B132)/B85</f>
        <v>6077.098735997132</v>
      </c>
    </row>
    <row r="182" spans="1:2" ht="12.75">
      <c r="A182" s="17" t="s">
        <v>635</v>
      </c>
      <c r="B182" s="270">
        <f>(F128+F130+F132)/F85</f>
        <v>5128.495613859793</v>
      </c>
    </row>
    <row r="183" spans="1:5" ht="15.75">
      <c r="A183" s="352" t="s">
        <v>617</v>
      </c>
      <c r="B183" s="352"/>
      <c r="C183" s="352"/>
      <c r="D183" s="352"/>
      <c r="E183" s="352"/>
    </row>
    <row r="184" spans="1:5" ht="12.75">
      <c r="A184" s="17" t="s">
        <v>629</v>
      </c>
      <c r="B184" s="17" t="s">
        <v>630</v>
      </c>
      <c r="C184" s="17" t="s">
        <v>631</v>
      </c>
      <c r="D184" s="268" t="s">
        <v>632</v>
      </c>
      <c r="E184" s="268" t="s">
        <v>633</v>
      </c>
    </row>
    <row r="185" spans="1:6" ht="12.75">
      <c r="A185" s="269">
        <f>+F185</f>
        <v>1292</v>
      </c>
      <c r="B185" s="270">
        <f>$F$131+$F$129+$F$127</f>
        <v>15863201.888452658</v>
      </c>
      <c r="C185" s="270">
        <f aca="true" t="shared" si="7" ref="C185:C196">A185*$B$182</f>
        <v>6626016.333106852</v>
      </c>
      <c r="D185" s="270">
        <f>B185+C185</f>
        <v>22489218.22155951</v>
      </c>
      <c r="E185" s="17">
        <f>6700*A185</f>
        <v>8656400</v>
      </c>
      <c r="F185" s="17">
        <v>1292</v>
      </c>
    </row>
    <row r="186" spans="1:6" ht="12.75">
      <c r="A186" s="271">
        <f>+F185+F186</f>
        <v>4116</v>
      </c>
      <c r="B186" s="270">
        <f aca="true" t="shared" si="8" ref="B186:B196">$F$131+$F$129+$F$127</f>
        <v>15863201.888452658</v>
      </c>
      <c r="C186" s="270">
        <f t="shared" si="7"/>
        <v>21108887.946646906</v>
      </c>
      <c r="D186" s="270">
        <f aca="true" t="shared" si="9" ref="D186:D196">B186+C186</f>
        <v>36972089.83509956</v>
      </c>
      <c r="E186" s="17">
        <f aca="true" t="shared" si="10" ref="E186:E196">6700*A186</f>
        <v>27577200</v>
      </c>
      <c r="F186" s="17">
        <v>2824</v>
      </c>
    </row>
    <row r="187" spans="1:6" ht="12.75">
      <c r="A187" s="271">
        <f>+A186+F187</f>
        <v>5846</v>
      </c>
      <c r="B187" s="270">
        <f t="shared" si="8"/>
        <v>15863201.888452658</v>
      </c>
      <c r="C187" s="270">
        <f t="shared" si="7"/>
        <v>29981185.358624347</v>
      </c>
      <c r="D187" s="270">
        <f t="shared" si="9"/>
        <v>45844387.247077</v>
      </c>
      <c r="E187" s="17">
        <f t="shared" si="10"/>
        <v>39168200</v>
      </c>
      <c r="F187" s="17">
        <v>1730</v>
      </c>
    </row>
    <row r="188" spans="1:6" ht="12.75">
      <c r="A188" s="271">
        <f aca="true" t="shared" si="11" ref="A188:A196">+A187+F188</f>
        <v>8670</v>
      </c>
      <c r="B188" s="270">
        <f t="shared" si="8"/>
        <v>15863201.888452658</v>
      </c>
      <c r="C188" s="270">
        <f t="shared" si="7"/>
        <v>44464056.9721644</v>
      </c>
      <c r="D188" s="270">
        <f t="shared" si="9"/>
        <v>60327258.86061706</v>
      </c>
      <c r="E188" s="17">
        <f t="shared" si="10"/>
        <v>58089000</v>
      </c>
      <c r="F188" s="17">
        <v>2824</v>
      </c>
    </row>
    <row r="189" spans="1:6" ht="12.75">
      <c r="A189" s="271">
        <f t="shared" si="11"/>
        <v>10851</v>
      </c>
      <c r="B189" s="270">
        <f t="shared" si="8"/>
        <v>15863201.888452658</v>
      </c>
      <c r="C189" s="270">
        <f t="shared" si="7"/>
        <v>55649305.90599261</v>
      </c>
      <c r="D189" s="270">
        <f t="shared" si="9"/>
        <v>71512507.79444528</v>
      </c>
      <c r="E189" s="17">
        <f t="shared" si="10"/>
        <v>72701700</v>
      </c>
      <c r="F189" s="17">
        <v>2181</v>
      </c>
    </row>
    <row r="190" spans="1:6" ht="12.75">
      <c r="A190" s="271">
        <f t="shared" si="11"/>
        <v>13541</v>
      </c>
      <c r="B190" s="270">
        <f t="shared" si="8"/>
        <v>15863201.888452658</v>
      </c>
      <c r="C190" s="270">
        <f t="shared" si="7"/>
        <v>69444959.10727546</v>
      </c>
      <c r="D190" s="270">
        <f t="shared" si="9"/>
        <v>85308160.99572812</v>
      </c>
      <c r="E190" s="17">
        <f t="shared" si="10"/>
        <v>90724700</v>
      </c>
      <c r="F190" s="17">
        <v>2690</v>
      </c>
    </row>
    <row r="191" spans="1:6" ht="12.75">
      <c r="A191" s="271">
        <f t="shared" si="11"/>
        <v>16044</v>
      </c>
      <c r="B191" s="270">
        <f t="shared" si="8"/>
        <v>15863201.888452658</v>
      </c>
      <c r="C191" s="270">
        <f t="shared" si="7"/>
        <v>82281583.6287665</v>
      </c>
      <c r="D191" s="270">
        <f t="shared" si="9"/>
        <v>98144785.51721917</v>
      </c>
      <c r="E191" s="17">
        <f t="shared" si="10"/>
        <v>107494800</v>
      </c>
      <c r="F191" s="17">
        <v>2503</v>
      </c>
    </row>
    <row r="192" spans="1:6" ht="12.75">
      <c r="A192" s="271">
        <f t="shared" si="11"/>
        <v>18452</v>
      </c>
      <c r="B192" s="270">
        <f t="shared" si="8"/>
        <v>15863201.888452658</v>
      </c>
      <c r="C192" s="270">
        <f t="shared" si="7"/>
        <v>94631001.06694089</v>
      </c>
      <c r="D192" s="270">
        <f t="shared" si="9"/>
        <v>110494202.95539355</v>
      </c>
      <c r="E192" s="17">
        <f t="shared" si="10"/>
        <v>123628400</v>
      </c>
      <c r="F192" s="17">
        <v>2408</v>
      </c>
    </row>
    <row r="193" spans="1:6" ht="12.75">
      <c r="A193" s="271">
        <f t="shared" si="11"/>
        <v>20720</v>
      </c>
      <c r="B193" s="270">
        <f t="shared" si="8"/>
        <v>15863201.888452658</v>
      </c>
      <c r="C193" s="270">
        <f t="shared" si="7"/>
        <v>106262429.1191749</v>
      </c>
      <c r="D193" s="270">
        <f t="shared" si="9"/>
        <v>122125631.00762756</v>
      </c>
      <c r="E193" s="17">
        <f t="shared" si="10"/>
        <v>138824000</v>
      </c>
      <c r="F193" s="17">
        <v>2268</v>
      </c>
    </row>
    <row r="194" spans="1:6" ht="12.75">
      <c r="A194" s="271">
        <f t="shared" si="11"/>
        <v>23240</v>
      </c>
      <c r="B194" s="270">
        <f t="shared" si="8"/>
        <v>15863201.888452658</v>
      </c>
      <c r="C194" s="270">
        <f t="shared" si="7"/>
        <v>119186238.06610158</v>
      </c>
      <c r="D194" s="270">
        <f t="shared" si="9"/>
        <v>135049439.95455423</v>
      </c>
      <c r="E194" s="17">
        <f t="shared" si="10"/>
        <v>155708000</v>
      </c>
      <c r="F194" s="17">
        <v>2520</v>
      </c>
    </row>
    <row r="195" spans="1:6" ht="12.75">
      <c r="A195" s="271">
        <f t="shared" si="11"/>
        <v>24740</v>
      </c>
      <c r="B195" s="270">
        <f t="shared" si="8"/>
        <v>15863201.888452658</v>
      </c>
      <c r="C195" s="270">
        <f t="shared" si="7"/>
        <v>126878981.48689127</v>
      </c>
      <c r="D195" s="270">
        <f t="shared" si="9"/>
        <v>142742183.37534392</v>
      </c>
      <c r="E195" s="17">
        <f t="shared" si="10"/>
        <v>165758000</v>
      </c>
      <c r="F195" s="17">
        <v>1500</v>
      </c>
    </row>
    <row r="196" spans="1:6" ht="12.75">
      <c r="A196" s="271">
        <f t="shared" si="11"/>
        <v>26000</v>
      </c>
      <c r="B196" s="270">
        <f t="shared" si="8"/>
        <v>15863201.888452658</v>
      </c>
      <c r="C196" s="270">
        <f t="shared" si="7"/>
        <v>133340885.96035461</v>
      </c>
      <c r="D196" s="270">
        <f t="shared" si="9"/>
        <v>149204087.84880728</v>
      </c>
      <c r="E196" s="17">
        <f t="shared" si="10"/>
        <v>174200000</v>
      </c>
      <c r="F196" s="17">
        <v>1260</v>
      </c>
    </row>
  </sheetData>
  <sheetProtection selectLockedCells="1" selectUnlockedCells="1"/>
  <mergeCells count="2">
    <mergeCell ref="A137:E137"/>
    <mergeCell ref="A183:E183"/>
  </mergeCells>
  <printOptions/>
  <pageMargins left="0.32013888888888886" right="0.75" top="0.1798611111111111" bottom="0.1597222222222222" header="0.5118055555555555" footer="0.5118055555555555"/>
  <pageSetup fitToHeight="4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50">
      <selection activeCell="C61" sqref="C61"/>
    </sheetView>
  </sheetViews>
  <sheetFormatPr defaultColWidth="11.421875" defaultRowHeight="12.75"/>
  <cols>
    <col min="1" max="1" width="50.57421875" style="296" bestFit="1" customWidth="1"/>
    <col min="2" max="2" width="11.421875" style="296" customWidth="1"/>
    <col min="3" max="3" width="21.421875" style="296" bestFit="1" customWidth="1"/>
    <col min="4" max="4" width="37.7109375" style="296" bestFit="1" customWidth="1"/>
    <col min="5" max="7" width="11.421875" style="296" customWidth="1"/>
    <col min="8" max="8" width="57.421875" style="296" bestFit="1" customWidth="1"/>
    <col min="9" max="11" width="11.421875" style="296" customWidth="1"/>
    <col min="12" max="12" width="39.421875" style="296" bestFit="1" customWidth="1"/>
    <col min="13" max="16384" width="11.421875" style="296" customWidth="1"/>
  </cols>
  <sheetData>
    <row r="1" ht="12.75">
      <c r="A1" s="295"/>
    </row>
    <row r="2" spans="1:4" ht="12.75">
      <c r="A2" s="297" t="s">
        <v>433</v>
      </c>
      <c r="B2" s="297"/>
      <c r="C2" s="297" t="s">
        <v>434</v>
      </c>
      <c r="D2" s="298">
        <f>+A3</f>
        <v>4785</v>
      </c>
    </row>
    <row r="3" spans="1:4" ht="12.75">
      <c r="A3" s="298">
        <f>165*29</f>
        <v>4785</v>
      </c>
      <c r="B3" s="298"/>
      <c r="C3" s="298"/>
      <c r="D3" s="298"/>
    </row>
    <row r="4" spans="1:4" ht="15.75">
      <c r="A4" s="298"/>
      <c r="B4" s="298"/>
      <c r="C4" s="293"/>
      <c r="D4" s="294"/>
    </row>
    <row r="5" spans="1:4" ht="15.75">
      <c r="A5" s="298"/>
      <c r="B5" s="298"/>
      <c r="C5" s="294"/>
      <c r="D5" s="294"/>
    </row>
    <row r="6" spans="1:4" ht="12.75">
      <c r="A6" s="298"/>
      <c r="B6" s="298"/>
      <c r="C6" s="298" t="s">
        <v>435</v>
      </c>
      <c r="D6" s="298">
        <v>26634</v>
      </c>
    </row>
    <row r="7" spans="1:4" ht="12.75">
      <c r="A7" s="298"/>
      <c r="B7" s="298"/>
      <c r="C7" s="298" t="s">
        <v>436</v>
      </c>
      <c r="D7" s="298">
        <v>26385</v>
      </c>
    </row>
    <row r="8" spans="1:4" ht="12.75">
      <c r="A8" s="298"/>
      <c r="B8" s="298"/>
      <c r="C8" s="298" t="s">
        <v>437</v>
      </c>
      <c r="D8" s="298">
        <f>+D6*D2</f>
        <v>127443690</v>
      </c>
    </row>
    <row r="9" spans="1:4" ht="12.75">
      <c r="A9" s="298"/>
      <c r="B9" s="298"/>
      <c r="C9" s="298" t="s">
        <v>438</v>
      </c>
      <c r="D9" s="298">
        <f>+D7*D2</f>
        <v>126252225</v>
      </c>
    </row>
    <row r="10" spans="1:4" ht="12.75">
      <c r="A10" s="298"/>
      <c r="B10" s="298"/>
      <c r="C10" s="298"/>
      <c r="D10" s="298"/>
    </row>
    <row r="11" spans="1:4" ht="12.75">
      <c r="A11" s="298"/>
      <c r="B11" s="298"/>
      <c r="C11" s="298"/>
      <c r="D11" s="298"/>
    </row>
    <row r="12" spans="1:4" ht="12.75">
      <c r="A12" s="298"/>
      <c r="B12" s="297" t="s">
        <v>439</v>
      </c>
      <c r="C12" s="297" t="s">
        <v>440</v>
      </c>
      <c r="D12" s="298"/>
    </row>
    <row r="13" spans="1:4" ht="12.75">
      <c r="A13" s="297" t="s">
        <v>441</v>
      </c>
      <c r="B13" s="298">
        <v>2814</v>
      </c>
      <c r="C13" s="298">
        <f>$J$21*$D$4*1000</f>
        <v>0</v>
      </c>
      <c r="D13" s="298"/>
    </row>
    <row r="14" spans="1:4" ht="12.75">
      <c r="A14" s="297" t="s">
        <v>442</v>
      </c>
      <c r="B14" s="299">
        <f>+'Detalle Inv AF'!F12</f>
        <v>460556.25</v>
      </c>
      <c r="C14" s="298"/>
      <c r="D14" s="298"/>
    </row>
    <row r="15" ht="12.75">
      <c r="A15" s="300"/>
    </row>
    <row r="16" ht="12.75">
      <c r="A16" s="300"/>
    </row>
    <row r="17" spans="1:11" ht="12.75">
      <c r="A17" s="300"/>
      <c r="H17" s="301"/>
      <c r="I17" s="301" t="s">
        <v>443</v>
      </c>
      <c r="J17" s="301" t="s">
        <v>439</v>
      </c>
      <c r="K17" s="301" t="s">
        <v>444</v>
      </c>
    </row>
    <row r="18" spans="8:11" ht="12.75">
      <c r="H18" s="301" t="s">
        <v>445</v>
      </c>
      <c r="I18" s="302"/>
      <c r="J18" s="302">
        <v>23218</v>
      </c>
      <c r="K18" s="302">
        <v>26000</v>
      </c>
    </row>
    <row r="19" spans="8:11" ht="12.75">
      <c r="H19" s="301" t="s">
        <v>446</v>
      </c>
      <c r="I19" s="302"/>
      <c r="J19" s="302">
        <v>260</v>
      </c>
      <c r="K19" s="302">
        <v>260</v>
      </c>
    </row>
    <row r="20" spans="8:11" ht="12.75">
      <c r="H20" s="301" t="s">
        <v>447</v>
      </c>
      <c r="I20" s="302"/>
      <c r="J20" s="302">
        <v>23478</v>
      </c>
      <c r="K20" s="302">
        <v>26000</v>
      </c>
    </row>
    <row r="21" spans="8:11" ht="12.75">
      <c r="H21" s="301" t="s">
        <v>448</v>
      </c>
      <c r="I21" s="302"/>
      <c r="J21" s="302">
        <v>2815</v>
      </c>
      <c r="K21" s="302">
        <v>2815</v>
      </c>
    </row>
    <row r="22" spans="2:11" ht="12.75">
      <c r="B22" s="303"/>
      <c r="C22" s="303"/>
      <c r="D22" s="303"/>
      <c r="H22" s="301" t="s">
        <v>449</v>
      </c>
      <c r="I22" s="302"/>
      <c r="J22" s="302">
        <v>341</v>
      </c>
      <c r="K22" s="302">
        <v>385</v>
      </c>
    </row>
    <row r="23" spans="1:11" ht="12.75">
      <c r="A23" s="303"/>
      <c r="B23" s="303"/>
      <c r="C23" s="303"/>
      <c r="D23" s="303"/>
      <c r="H23" s="301" t="s">
        <v>450</v>
      </c>
      <c r="I23" s="302"/>
      <c r="J23" s="302">
        <v>26634</v>
      </c>
      <c r="K23" s="302">
        <v>26385</v>
      </c>
    </row>
    <row r="24" spans="5:11" ht="12.75">
      <c r="E24" s="304"/>
      <c r="H24" s="301" t="s">
        <v>451</v>
      </c>
      <c r="I24" s="302">
        <v>4100</v>
      </c>
      <c r="J24" s="302">
        <v>8377</v>
      </c>
      <c r="K24" s="302">
        <v>8377</v>
      </c>
    </row>
    <row r="25" spans="8:11" ht="12.75">
      <c r="H25" s="301" t="s">
        <v>452</v>
      </c>
      <c r="I25" s="302">
        <v>4100</v>
      </c>
      <c r="J25" s="302">
        <v>30485</v>
      </c>
      <c r="K25" s="302">
        <v>26385</v>
      </c>
    </row>
    <row r="26" spans="8:11" ht="12.75">
      <c r="H26" s="301" t="s">
        <v>453</v>
      </c>
      <c r="I26" s="302"/>
      <c r="J26" s="302">
        <f>J23-J20-J21</f>
        <v>341</v>
      </c>
      <c r="K26" s="302"/>
    </row>
    <row r="27" spans="8:11" ht="12.75">
      <c r="H27" s="301"/>
      <c r="I27" s="302"/>
      <c r="J27" s="302"/>
      <c r="K27" s="302"/>
    </row>
    <row r="28" spans="8:11" ht="12.75">
      <c r="H28" s="301" t="s">
        <v>454</v>
      </c>
      <c r="I28" s="305">
        <v>0.015</v>
      </c>
      <c r="J28" s="302"/>
      <c r="K28" s="306">
        <f>1+I28</f>
        <v>1.015</v>
      </c>
    </row>
    <row r="29" spans="8:11" ht="12.75">
      <c r="H29" s="301" t="s">
        <v>455</v>
      </c>
      <c r="I29" s="307">
        <v>0</v>
      </c>
      <c r="J29" s="302"/>
      <c r="K29" s="302"/>
    </row>
    <row r="30" spans="8:11" ht="12.75">
      <c r="H30" s="301" t="s">
        <v>456</v>
      </c>
      <c r="I30" s="305">
        <f>(1+I28)*J20</f>
        <v>23830.17</v>
      </c>
      <c r="J30" s="302"/>
      <c r="K30" s="302"/>
    </row>
    <row r="31" spans="8:11" ht="12.75">
      <c r="H31" s="301" t="s">
        <v>457</v>
      </c>
      <c r="I31" s="305">
        <v>0</v>
      </c>
      <c r="J31" s="302"/>
      <c r="K31" s="302"/>
    </row>
    <row r="32" spans="8:11" ht="12.75">
      <c r="H32" s="301" t="s">
        <v>458</v>
      </c>
      <c r="I32" s="305">
        <f>J21/K28</f>
        <v>2773.399014778325</v>
      </c>
      <c r="J32" s="302"/>
      <c r="K32" s="302"/>
    </row>
    <row r="33" spans="8:11" ht="12.75">
      <c r="H33" s="301" t="s">
        <v>459</v>
      </c>
      <c r="I33" s="305">
        <f>I32/2</f>
        <v>1386.6995073891626</v>
      </c>
      <c r="J33" s="302"/>
      <c r="K33" s="302"/>
    </row>
    <row r="34" spans="1:6" ht="12.75">
      <c r="A34" s="308" t="s">
        <v>460</v>
      </c>
      <c r="B34" s="309"/>
      <c r="C34" s="310"/>
      <c r="D34" s="311"/>
      <c r="E34" s="311"/>
      <c r="F34" s="311"/>
    </row>
    <row r="35" spans="1:16" ht="12.75">
      <c r="A35" s="312"/>
      <c r="B35" s="309"/>
      <c r="C35" s="310"/>
      <c r="D35" s="311"/>
      <c r="E35" s="311"/>
      <c r="F35" s="311"/>
      <c r="H35" s="313"/>
      <c r="I35" s="302"/>
      <c r="J35" s="302"/>
      <c r="K35" s="302"/>
      <c r="L35" s="314" t="s">
        <v>461</v>
      </c>
      <c r="M35" s="302"/>
      <c r="N35" s="302"/>
      <c r="O35" s="315" t="s">
        <v>106</v>
      </c>
      <c r="P35" s="302"/>
    </row>
    <row r="36" spans="1:17" ht="15">
      <c r="A36" s="312" t="s">
        <v>462</v>
      </c>
      <c r="B36" s="309">
        <v>12</v>
      </c>
      <c r="C36" s="310"/>
      <c r="D36" s="311"/>
      <c r="E36" s="311"/>
      <c r="F36" s="311"/>
      <c r="H36" s="316" t="s">
        <v>103</v>
      </c>
      <c r="I36" s="302"/>
      <c r="J36" s="302"/>
      <c r="K36" s="302"/>
      <c r="L36" s="317" t="s">
        <v>463</v>
      </c>
      <c r="M36" s="302">
        <v>130</v>
      </c>
      <c r="N36" s="302"/>
      <c r="O36" s="302" t="s">
        <v>464</v>
      </c>
      <c r="P36" s="318">
        <v>0.011</v>
      </c>
      <c r="Q36" s="296" t="s">
        <v>465</v>
      </c>
    </row>
    <row r="37" spans="1:17" ht="12.75">
      <c r="A37" s="312" t="s">
        <v>466</v>
      </c>
      <c r="B37" s="309">
        <f>24*11.5*8</f>
        <v>2208</v>
      </c>
      <c r="C37" s="310"/>
      <c r="D37" s="311"/>
      <c r="E37" s="311"/>
      <c r="F37" s="311"/>
      <c r="H37" s="313" t="s">
        <v>467</v>
      </c>
      <c r="I37" s="319">
        <v>0.01</v>
      </c>
      <c r="J37" s="302" t="s">
        <v>468</v>
      </c>
      <c r="K37" s="302"/>
      <c r="L37" s="320" t="s">
        <v>33</v>
      </c>
      <c r="M37" s="302">
        <v>880</v>
      </c>
      <c r="N37" s="302"/>
      <c r="O37" s="302" t="s">
        <v>469</v>
      </c>
      <c r="P37" s="318">
        <v>0.006</v>
      </c>
      <c r="Q37" s="296" t="s">
        <v>465</v>
      </c>
    </row>
    <row r="38" spans="1:16" ht="12.75">
      <c r="A38" s="312" t="s">
        <v>470</v>
      </c>
      <c r="B38" s="321">
        <v>120</v>
      </c>
      <c r="C38" s="310"/>
      <c r="D38" s="311"/>
      <c r="E38" s="311"/>
      <c r="F38" s="311"/>
      <c r="H38" s="313" t="s">
        <v>471</v>
      </c>
      <c r="I38" s="318">
        <v>0.015</v>
      </c>
      <c r="J38" s="302" t="s">
        <v>472</v>
      </c>
      <c r="K38" s="302"/>
      <c r="L38" s="320" t="s">
        <v>473</v>
      </c>
      <c r="M38" s="302">
        <f>65500*1.1</f>
        <v>72050</v>
      </c>
      <c r="N38" s="302"/>
      <c r="O38" s="302" t="s">
        <v>474</v>
      </c>
      <c r="P38" s="319">
        <v>1</v>
      </c>
    </row>
    <row r="39" spans="1:17" ht="12.75">
      <c r="A39" s="312" t="s">
        <v>475</v>
      </c>
      <c r="B39" s="321">
        <v>0.4</v>
      </c>
      <c r="C39" s="310"/>
      <c r="D39" s="311"/>
      <c r="E39" s="311"/>
      <c r="F39" s="311"/>
      <c r="H39" s="313" t="s">
        <v>476</v>
      </c>
      <c r="I39" s="318">
        <v>0.015</v>
      </c>
      <c r="J39" s="302" t="s">
        <v>477</v>
      </c>
      <c r="K39" s="302"/>
      <c r="L39" s="320" t="s">
        <v>478</v>
      </c>
      <c r="M39" s="302">
        <f>M38/1000</f>
        <v>72.05</v>
      </c>
      <c r="N39" s="302"/>
      <c r="O39" s="302" t="s">
        <v>479</v>
      </c>
      <c r="P39" s="319">
        <v>0.0298</v>
      </c>
      <c r="Q39" s="296" t="s">
        <v>480</v>
      </c>
    </row>
    <row r="40" spans="1:16" ht="12.75">
      <c r="A40" s="312" t="s">
        <v>481</v>
      </c>
      <c r="B40" s="321">
        <f>B38+B39*B38</f>
        <v>168</v>
      </c>
      <c r="C40" s="310"/>
      <c r="D40" s="311"/>
      <c r="E40" s="311"/>
      <c r="F40" s="311"/>
      <c r="H40" s="313" t="s">
        <v>482</v>
      </c>
      <c r="I40" s="319">
        <v>0.03</v>
      </c>
      <c r="J40" s="302" t="s">
        <v>483</v>
      </c>
      <c r="K40" s="302"/>
      <c r="L40" s="320" t="s">
        <v>484</v>
      </c>
      <c r="M40" s="302">
        <f>+M39*8*340</f>
        <v>195976</v>
      </c>
      <c r="N40" s="302" t="s">
        <v>485</v>
      </c>
      <c r="O40" s="302" t="s">
        <v>486</v>
      </c>
      <c r="P40" s="302"/>
    </row>
    <row r="41" spans="1:16" ht="12.75">
      <c r="A41" s="312" t="s">
        <v>487</v>
      </c>
      <c r="B41" s="309">
        <f>B36*B37*B40</f>
        <v>4451328</v>
      </c>
      <c r="C41" s="310"/>
      <c r="D41" s="311"/>
      <c r="E41" s="311"/>
      <c r="F41" s="311"/>
      <c r="H41" s="313" t="s">
        <v>488</v>
      </c>
      <c r="I41" s="319">
        <v>0.1</v>
      </c>
      <c r="J41" s="302"/>
      <c r="K41" s="302"/>
      <c r="L41" s="320" t="s">
        <v>489</v>
      </c>
      <c r="M41" s="302">
        <f>0.8714*8*30</f>
        <v>209.136</v>
      </c>
      <c r="N41" s="302" t="s">
        <v>490</v>
      </c>
      <c r="O41" s="302" t="s">
        <v>491</v>
      </c>
      <c r="P41" s="305">
        <f>P36*P38*('E-Inv AF y Am'!B7+'E-Inv AF y Am'!B8)</f>
        <v>100497.76</v>
      </c>
    </row>
    <row r="42" spans="1:16" ht="12.75">
      <c r="A42" s="312" t="s">
        <v>492</v>
      </c>
      <c r="B42" s="321">
        <f>B41/K20</f>
        <v>171.20492307692308</v>
      </c>
      <c r="C42" s="310"/>
      <c r="D42" s="311"/>
      <c r="E42" s="311"/>
      <c r="F42" s="311"/>
      <c r="H42" s="313" t="s">
        <v>493</v>
      </c>
      <c r="I42" s="302" t="s">
        <v>494</v>
      </c>
      <c r="J42" s="302"/>
      <c r="K42" s="302"/>
      <c r="L42" s="320" t="s">
        <v>495</v>
      </c>
      <c r="M42" s="302">
        <v>0.55</v>
      </c>
      <c r="N42" s="302" t="s">
        <v>496</v>
      </c>
      <c r="O42" s="302" t="s">
        <v>497</v>
      </c>
      <c r="P42" s="305">
        <f>P37*P38*('E-Inv AF y Am'!B7+'E-Inv AF y Am'!B8)</f>
        <v>54816.96</v>
      </c>
    </row>
    <row r="43" spans="1:16" ht="12.75">
      <c r="A43" s="312" t="s">
        <v>498</v>
      </c>
      <c r="B43" s="309">
        <f>0.97*B41</f>
        <v>4317788.16</v>
      </c>
      <c r="C43" s="310"/>
      <c r="D43" s="322"/>
      <c r="E43" s="311"/>
      <c r="F43" s="311"/>
      <c r="H43" s="316" t="s">
        <v>499</v>
      </c>
      <c r="I43" s="302"/>
      <c r="J43" s="302"/>
      <c r="K43" s="302"/>
      <c r="L43" s="320" t="s">
        <v>500</v>
      </c>
      <c r="M43" s="302">
        <v>1.2</v>
      </c>
      <c r="N43" s="302" t="s">
        <v>501</v>
      </c>
      <c r="O43" s="302" t="s">
        <v>502</v>
      </c>
      <c r="P43" s="305">
        <f>P39*0.8*('E-Inv AF y Am'!B15/2)</f>
        <v>4768</v>
      </c>
    </row>
    <row r="44" spans="1:16" ht="12.75">
      <c r="A44" s="312" t="s">
        <v>503</v>
      </c>
      <c r="B44" s="321">
        <f>B42*J20</f>
        <v>4019549.184</v>
      </c>
      <c r="C44" s="310"/>
      <c r="D44" s="311"/>
      <c r="E44" s="311"/>
      <c r="F44" s="311"/>
      <c r="H44" s="313" t="s">
        <v>504</v>
      </c>
      <c r="I44" s="305">
        <f>('E-Inv AF y Am'!B20-'Detalle Inv AF'!F13-250000*0.11)*0.9*'Detalle costo'!I37</f>
        <v>175727.28960000002</v>
      </c>
      <c r="J44" s="302"/>
      <c r="K44" s="302"/>
      <c r="L44" s="320" t="s">
        <v>505</v>
      </c>
      <c r="M44" s="302">
        <v>1260</v>
      </c>
      <c r="N44" s="302"/>
      <c r="O44" s="302" t="s">
        <v>506</v>
      </c>
      <c r="P44" s="305">
        <f>P43+P42+P41</f>
        <v>160082.72</v>
      </c>
    </row>
    <row r="45" spans="1:16" ht="12.75">
      <c r="A45" s="312" t="s">
        <v>507</v>
      </c>
      <c r="B45" s="309">
        <f>((J21/K28)*B42)/2</f>
        <v>237409.78249336872</v>
      </c>
      <c r="C45" s="310"/>
      <c r="D45" s="311"/>
      <c r="E45" s="311"/>
      <c r="F45" s="311"/>
      <c r="H45" s="313" t="s">
        <v>508</v>
      </c>
      <c r="I45" s="305">
        <f>SUM('E-Inv AF y Am'!B12,'E-Inv AF y Am'!D10,'E-Inv AF y Am'!D12,'E-Inv AF y Am'!D11,'E-Inv AF y Am'!B14,'E-Inv AF y Am'!B13,'E-Inv AF y Am'!B15)*'Detalle costo'!I38</f>
        <v>97275</v>
      </c>
      <c r="J45" s="302"/>
      <c r="K45" s="302"/>
      <c r="L45" s="320" t="s">
        <v>509</v>
      </c>
      <c r="M45" s="302"/>
      <c r="N45" s="302"/>
      <c r="O45" s="302" t="s">
        <v>492</v>
      </c>
      <c r="P45" s="305">
        <f>P44/K20</f>
        <v>6.157027692307692</v>
      </c>
    </row>
    <row r="46" spans="1:16" ht="12.75">
      <c r="A46" s="312" t="s">
        <v>510</v>
      </c>
      <c r="B46" s="321">
        <f>B43-B44-B45</f>
        <v>60829.193506631535</v>
      </c>
      <c r="C46" s="310"/>
      <c r="D46" s="311"/>
      <c r="E46" s="311"/>
      <c r="F46" s="311"/>
      <c r="H46" s="313" t="s">
        <v>511</v>
      </c>
      <c r="I46" s="305">
        <f>(I44+I45)*I41</f>
        <v>27300.228960000004</v>
      </c>
      <c r="J46" s="302"/>
      <c r="K46" s="302"/>
      <c r="L46" s="320" t="s">
        <v>512</v>
      </c>
      <c r="M46" s="302"/>
      <c r="N46" s="302"/>
      <c r="O46" s="302" t="s">
        <v>513</v>
      </c>
      <c r="P46" s="305">
        <f>P45*I33</f>
        <v>8537.94726790451</v>
      </c>
    </row>
    <row r="47" spans="1:16" ht="12.75">
      <c r="A47" s="312"/>
      <c r="B47" s="309"/>
      <c r="C47" s="310"/>
      <c r="D47" s="311"/>
      <c r="E47" s="311"/>
      <c r="F47" s="311"/>
      <c r="H47" s="313" t="s">
        <v>476</v>
      </c>
      <c r="I47" s="305">
        <f>'E-Costos'!C7*'Detalle costo'!I39</f>
        <v>1893783.375</v>
      </c>
      <c r="J47" s="302"/>
      <c r="K47" s="302"/>
      <c r="L47" s="314" t="s">
        <v>514</v>
      </c>
      <c r="M47" s="302"/>
      <c r="N47" s="302"/>
      <c r="O47" s="302" t="s">
        <v>439</v>
      </c>
      <c r="P47" s="305"/>
    </row>
    <row r="48" spans="1:16" ht="12.75">
      <c r="A48" s="308" t="s">
        <v>515</v>
      </c>
      <c r="B48" s="309"/>
      <c r="C48" s="310"/>
      <c r="D48" s="311"/>
      <c r="E48" s="311"/>
      <c r="F48" s="311"/>
      <c r="H48" s="313" t="s">
        <v>482</v>
      </c>
      <c r="I48" s="307">
        <f>('E-Costos'!C8+'E-Costos'!C11)*'Detalle costo'!I40</f>
        <v>164017.44</v>
      </c>
      <c r="J48" s="302"/>
      <c r="K48" s="302"/>
      <c r="L48" s="320" t="s">
        <v>484</v>
      </c>
      <c r="M48" s="323">
        <f>0.9*M40</f>
        <v>176378.4</v>
      </c>
      <c r="N48" s="302"/>
      <c r="O48" s="302" t="s">
        <v>506</v>
      </c>
      <c r="P48" s="305">
        <f>P44</f>
        <v>160082.72</v>
      </c>
    </row>
    <row r="49" spans="1:16" ht="12.75">
      <c r="A49" s="324" t="s">
        <v>516</v>
      </c>
      <c r="B49" s="325"/>
      <c r="C49" s="326"/>
      <c r="D49" s="311"/>
      <c r="E49" s="311"/>
      <c r="F49" s="311"/>
      <c r="H49" s="313" t="s">
        <v>517</v>
      </c>
      <c r="I49" s="305">
        <f>SUM(I44:I47)</f>
        <v>2194085.8935599998</v>
      </c>
      <c r="J49" s="302"/>
      <c r="K49" s="302"/>
      <c r="L49" s="320" t="s">
        <v>518</v>
      </c>
      <c r="M49" s="323">
        <f>M48/12</f>
        <v>14698.199999999999</v>
      </c>
      <c r="N49" s="302"/>
      <c r="O49" s="302" t="s">
        <v>492</v>
      </c>
      <c r="P49" s="305">
        <f>P48/(J20+I33)</f>
        <v>6.438152206602274</v>
      </c>
    </row>
    <row r="50" spans="1:16" ht="12.75">
      <c r="A50" s="312" t="s">
        <v>499</v>
      </c>
      <c r="B50" s="309"/>
      <c r="C50" s="310"/>
      <c r="D50" s="311"/>
      <c r="E50" s="311"/>
      <c r="F50" s="311"/>
      <c r="H50" s="313" t="s">
        <v>492</v>
      </c>
      <c r="I50" s="305">
        <f>I49/K20</f>
        <v>84.38791898307691</v>
      </c>
      <c r="J50" s="302"/>
      <c r="K50" s="302"/>
      <c r="L50" s="320" t="s">
        <v>519</v>
      </c>
      <c r="M50" s="323">
        <f>M49/M39</f>
        <v>204</v>
      </c>
      <c r="N50" s="302"/>
      <c r="O50" s="302" t="s">
        <v>513</v>
      </c>
      <c r="P50" s="305">
        <f>P49*I33</f>
        <v>8927.782493391824</v>
      </c>
    </row>
    <row r="51" spans="1:16" ht="12.75">
      <c r="A51" s="312" t="s">
        <v>520</v>
      </c>
      <c r="B51" s="321">
        <f>0.9*'E-Inv AF y Am'!E56</f>
        <v>1443920.3184149999</v>
      </c>
      <c r="C51" s="310"/>
      <c r="D51" s="327" t="s">
        <v>521</v>
      </c>
      <c r="E51" s="327"/>
      <c r="F51" s="311"/>
      <c r="H51" s="313" t="s">
        <v>522</v>
      </c>
      <c r="I51" s="305">
        <f>I50*I33</f>
        <v>117020.68568342931</v>
      </c>
      <c r="J51" s="302"/>
      <c r="K51" s="302"/>
      <c r="L51" s="320" t="s">
        <v>523</v>
      </c>
      <c r="M51" s="323">
        <f>M52/2+M53/2</f>
        <v>9958.169400000002</v>
      </c>
      <c r="N51" s="302"/>
      <c r="O51" s="302"/>
      <c r="P51" s="302"/>
    </row>
    <row r="52" spans="1:16" ht="12.75">
      <c r="A52" s="312" t="s">
        <v>524</v>
      </c>
      <c r="B52" s="321">
        <f>B51/K20</f>
        <v>55.53539686211538</v>
      </c>
      <c r="C52" s="310"/>
      <c r="D52" s="311" t="s">
        <v>439</v>
      </c>
      <c r="E52" s="322">
        <f>(I32/2)*B58</f>
        <v>93847.6455757182</v>
      </c>
      <c r="F52" s="311"/>
      <c r="H52" s="316" t="s">
        <v>525</v>
      </c>
      <c r="I52" s="302"/>
      <c r="J52" s="302"/>
      <c r="K52" s="302"/>
      <c r="L52" s="320" t="s">
        <v>526</v>
      </c>
      <c r="M52" s="323">
        <f>M44+M39*M41</f>
        <v>16328.2488</v>
      </c>
      <c r="N52" s="302"/>
      <c r="O52" s="315" t="s">
        <v>527</v>
      </c>
      <c r="P52" s="319">
        <v>0.02</v>
      </c>
    </row>
    <row r="53" spans="1:16" ht="12.75">
      <c r="A53" s="312" t="s">
        <v>528</v>
      </c>
      <c r="B53" s="321"/>
      <c r="C53" s="310"/>
      <c r="D53" s="311" t="s">
        <v>529</v>
      </c>
      <c r="E53" s="322">
        <f>(I32/2)*B57</f>
        <v>84744.42395487352</v>
      </c>
      <c r="F53" s="311"/>
      <c r="H53" s="313" t="s">
        <v>506</v>
      </c>
      <c r="I53" s="305">
        <f>I49-I46</f>
        <v>2166785.6646</v>
      </c>
      <c r="J53" s="302"/>
      <c r="K53" s="302"/>
      <c r="L53" s="320" t="s">
        <v>530</v>
      </c>
      <c r="M53" s="323">
        <f>300*M39*M42+(M50-300)*M39*M43</f>
        <v>3588.090000000004</v>
      </c>
      <c r="N53" s="302"/>
      <c r="O53" s="302"/>
      <c r="P53" s="302"/>
    </row>
    <row r="54" spans="1:16" ht="12.75">
      <c r="A54" s="312" t="s">
        <v>520</v>
      </c>
      <c r="B54" s="321">
        <f>0.9*('E-Inv AF y Am'!D56-'E-Inv AF y Am'!D50)</f>
        <v>1443920.3184149999</v>
      </c>
      <c r="C54" s="310"/>
      <c r="D54" s="311" t="s">
        <v>531</v>
      </c>
      <c r="E54" s="322">
        <f>(I32/2)*B52</f>
        <v>77010.90747135704</v>
      </c>
      <c r="F54" s="311"/>
      <c r="H54" s="313" t="s">
        <v>492</v>
      </c>
      <c r="I54" s="305">
        <f>I53/K20</f>
        <v>83.33791017692307</v>
      </c>
      <c r="J54" s="302"/>
      <c r="K54" s="302"/>
      <c r="L54" s="320" t="s">
        <v>532</v>
      </c>
      <c r="M54" s="323">
        <f>M56-M62</f>
        <v>43057.080000000075</v>
      </c>
      <c r="N54" s="302"/>
      <c r="O54" s="302"/>
      <c r="P54" s="302"/>
    </row>
    <row r="55" spans="1:16" ht="12.75">
      <c r="A55" s="312" t="s">
        <v>533</v>
      </c>
      <c r="B55" s="321">
        <f>'E-Inv AF y Am'!D50</f>
        <v>145000</v>
      </c>
      <c r="C55" s="310"/>
      <c r="D55" s="311"/>
      <c r="E55" s="311"/>
      <c r="F55" s="311"/>
      <c r="H55" s="313" t="s">
        <v>522</v>
      </c>
      <c r="I55" s="305">
        <f>I54*I33</f>
        <v>115564.6389891815</v>
      </c>
      <c r="J55" s="302"/>
      <c r="K55" s="302"/>
      <c r="L55" s="320" t="s">
        <v>534</v>
      </c>
      <c r="M55" s="323">
        <f>M52+M53</f>
        <v>19916.338800000005</v>
      </c>
      <c r="N55" s="302"/>
      <c r="O55" s="302"/>
      <c r="P55" s="302"/>
    </row>
    <row r="56" spans="1:16" ht="12.75">
      <c r="A56" s="312" t="s">
        <v>535</v>
      </c>
      <c r="B56" s="321">
        <f>B54+B55</f>
        <v>1588920.3184149999</v>
      </c>
      <c r="C56" s="310"/>
      <c r="D56" s="311"/>
      <c r="E56" s="311"/>
      <c r="F56" s="311"/>
      <c r="H56" s="316" t="s">
        <v>439</v>
      </c>
      <c r="I56" s="302"/>
      <c r="J56" s="302"/>
      <c r="K56" s="302"/>
      <c r="L56" s="320" t="s">
        <v>536</v>
      </c>
      <c r="M56" s="323">
        <f>M55*11.5+M51</f>
        <v>238996.06560000006</v>
      </c>
      <c r="N56" s="302"/>
      <c r="O56" s="302"/>
      <c r="P56" s="302"/>
    </row>
    <row r="57" spans="1:16" ht="12.75">
      <c r="A57" s="312" t="s">
        <v>537</v>
      </c>
      <c r="B57" s="321">
        <f>B56/K20</f>
        <v>61.11231993903846</v>
      </c>
      <c r="C57" s="310"/>
      <c r="D57" s="311"/>
      <c r="E57" s="311"/>
      <c r="F57" s="311"/>
      <c r="H57" s="313" t="s">
        <v>538</v>
      </c>
      <c r="I57" s="305">
        <f>0.97*I53</f>
        <v>2101782.094662</v>
      </c>
      <c r="J57" s="302"/>
      <c r="K57" s="302"/>
      <c r="L57" s="320" t="s">
        <v>492</v>
      </c>
      <c r="M57" s="323">
        <f>M56/K20</f>
        <v>9.192156369230771</v>
      </c>
      <c r="N57" s="302"/>
      <c r="O57" s="302"/>
      <c r="P57" s="302"/>
    </row>
    <row r="58" spans="1:16" ht="12.75">
      <c r="A58" s="312" t="s">
        <v>539</v>
      </c>
      <c r="B58" s="321">
        <f>B56/J20</f>
        <v>67.67698775087315</v>
      </c>
      <c r="C58" s="310"/>
      <c r="D58" s="311"/>
      <c r="E58" s="311"/>
      <c r="F58" s="311"/>
      <c r="H58" s="313" t="s">
        <v>540</v>
      </c>
      <c r="I58" s="305">
        <f>J20*I54</f>
        <v>1956607.4551338</v>
      </c>
      <c r="J58" s="302"/>
      <c r="K58" s="302"/>
      <c r="L58" s="320" t="s">
        <v>541</v>
      </c>
      <c r="M58" s="323">
        <f>I33*M57</f>
        <v>12746.758709056463</v>
      </c>
      <c r="N58" s="302"/>
      <c r="O58" s="302"/>
      <c r="P58" s="302"/>
    </row>
    <row r="59" spans="1:16" ht="12.75">
      <c r="A59" s="312"/>
      <c r="B59" s="321"/>
      <c r="C59" s="310"/>
      <c r="D59" s="311"/>
      <c r="E59" s="311"/>
      <c r="F59" s="311"/>
      <c r="H59" s="313" t="s">
        <v>542</v>
      </c>
      <c r="I59" s="305">
        <f>I33*I61</f>
        <v>124139.20245792478</v>
      </c>
      <c r="J59" s="302"/>
      <c r="K59" s="302"/>
      <c r="L59" s="314" t="s">
        <v>439</v>
      </c>
      <c r="M59" s="323"/>
      <c r="N59" s="302"/>
      <c r="O59" s="302"/>
      <c r="P59" s="302"/>
    </row>
    <row r="60" spans="1:16" ht="12.75">
      <c r="A60" s="308" t="s">
        <v>543</v>
      </c>
      <c r="B60" s="309"/>
      <c r="C60" s="310"/>
      <c r="D60" s="311"/>
      <c r="E60" s="311"/>
      <c r="F60" s="311"/>
      <c r="H60" s="313" t="s">
        <v>544</v>
      </c>
      <c r="I60" s="305">
        <f>I57-I58-I59</f>
        <v>21035.43707027525</v>
      </c>
      <c r="J60" s="302"/>
      <c r="K60" s="302"/>
      <c r="L60" s="320" t="s">
        <v>484</v>
      </c>
      <c r="M60" s="323">
        <f>0.97*M48</f>
        <v>171087.04799999998</v>
      </c>
      <c r="N60" s="302"/>
      <c r="O60" s="302"/>
      <c r="P60" s="302"/>
    </row>
    <row r="61" spans="1:16" ht="12.75">
      <c r="A61" s="324" t="s">
        <v>545</v>
      </c>
      <c r="B61" s="325"/>
      <c r="C61" s="310"/>
      <c r="D61" s="311"/>
      <c r="E61" s="311"/>
      <c r="F61" s="311"/>
      <c r="H61" s="313" t="s">
        <v>492</v>
      </c>
      <c r="I61" s="305">
        <f>I57/J20</f>
        <v>89.52134315793509</v>
      </c>
      <c r="J61" s="302"/>
      <c r="K61" s="302"/>
      <c r="L61" s="320" t="s">
        <v>536</v>
      </c>
      <c r="M61" s="323">
        <f>0.97*M56</f>
        <v>231826.18363200006</v>
      </c>
      <c r="N61" s="302"/>
      <c r="O61" s="302"/>
      <c r="P61" s="302"/>
    </row>
    <row r="62" spans="1:16" ht="12.75">
      <c r="A62" s="312" t="s">
        <v>546</v>
      </c>
      <c r="B62" s="309">
        <v>51000</v>
      </c>
      <c r="C62" s="310"/>
      <c r="D62" s="311"/>
      <c r="E62" s="311"/>
      <c r="F62" s="311"/>
      <c r="H62" s="316" t="s">
        <v>129</v>
      </c>
      <c r="I62" s="302"/>
      <c r="J62" s="302"/>
      <c r="K62" s="302"/>
      <c r="L62" s="320" t="s">
        <v>547</v>
      </c>
      <c r="M62" s="323">
        <f>M52*12</f>
        <v>195938.98559999999</v>
      </c>
      <c r="N62" s="302"/>
      <c r="O62" s="302"/>
      <c r="P62" s="302"/>
    </row>
    <row r="63" spans="1:16" ht="12.75">
      <c r="A63" s="312" t="s">
        <v>548</v>
      </c>
      <c r="B63" s="309">
        <f>+B62*0.83</f>
        <v>42330</v>
      </c>
      <c r="C63" s="310"/>
      <c r="D63" s="311"/>
      <c r="E63" s="311"/>
      <c r="F63" s="311"/>
      <c r="H63" s="313" t="s">
        <v>549</v>
      </c>
      <c r="I63" s="302"/>
      <c r="J63" s="302"/>
      <c r="K63" s="302"/>
      <c r="L63" s="320" t="s">
        <v>550</v>
      </c>
      <c r="M63" s="323">
        <f>M62/(I33+J20)</f>
        <v>7.880207260971396</v>
      </c>
      <c r="N63" s="302"/>
      <c r="O63" s="302"/>
      <c r="P63" s="302"/>
    </row>
    <row r="64" spans="1:16" ht="12.75">
      <c r="A64" s="312" t="s">
        <v>551</v>
      </c>
      <c r="B64" s="309">
        <v>51000</v>
      </c>
      <c r="C64" s="310"/>
      <c r="D64" s="311"/>
      <c r="E64" s="311"/>
      <c r="F64" s="311"/>
      <c r="H64" s="313" t="s">
        <v>552</v>
      </c>
      <c r="I64" s="302">
        <v>2500</v>
      </c>
      <c r="J64" s="302"/>
      <c r="K64" s="302"/>
      <c r="L64" s="320" t="s">
        <v>553</v>
      </c>
      <c r="M64" s="323">
        <f>M63*J20</f>
        <v>185011.50607308644</v>
      </c>
      <c r="N64" s="302"/>
      <c r="O64" s="302"/>
      <c r="P64" s="302"/>
    </row>
    <row r="65" spans="1:16" ht="12.75">
      <c r="A65" s="312" t="s">
        <v>554</v>
      </c>
      <c r="B65" s="309">
        <f>+B64*0.83</f>
        <v>42330</v>
      </c>
      <c r="C65" s="310"/>
      <c r="D65" s="311"/>
      <c r="E65" s="311"/>
      <c r="F65" s="311"/>
      <c r="H65" s="313" t="s">
        <v>555</v>
      </c>
      <c r="I65" s="302">
        <v>17.3</v>
      </c>
      <c r="J65" s="302"/>
      <c r="K65" s="302"/>
      <c r="L65" s="320" t="s">
        <v>556</v>
      </c>
      <c r="M65" s="323">
        <f>M63*I33</f>
        <v>10927.479526913537</v>
      </c>
      <c r="N65" s="302"/>
      <c r="O65" s="302"/>
      <c r="P65" s="302"/>
    </row>
    <row r="66" spans="1:16" ht="12.75">
      <c r="A66" s="312" t="s">
        <v>557</v>
      </c>
      <c r="B66" s="309">
        <f>B63*12+B65*12</f>
        <v>1015920</v>
      </c>
      <c r="C66" s="310"/>
      <c r="D66" s="311"/>
      <c r="E66" s="311"/>
      <c r="F66" s="311"/>
      <c r="H66" s="313" t="s">
        <v>558</v>
      </c>
      <c r="I66" s="302">
        <f>I64*I65</f>
        <v>43250</v>
      </c>
      <c r="J66" s="302"/>
      <c r="K66" s="302"/>
      <c r="L66" s="320" t="s">
        <v>559</v>
      </c>
      <c r="M66" s="323">
        <f>M54/K20</f>
        <v>1.6560415384615412</v>
      </c>
      <c r="N66" s="302"/>
      <c r="O66" s="302"/>
      <c r="P66" s="302"/>
    </row>
    <row r="67" spans="1:16" ht="12.75">
      <c r="A67" s="312" t="s">
        <v>560</v>
      </c>
      <c r="B67" s="321">
        <f>B66/K20</f>
        <v>39.073846153846155</v>
      </c>
      <c r="C67" s="310"/>
      <c r="D67" s="311"/>
      <c r="E67" s="311"/>
      <c r="F67" s="311"/>
      <c r="H67" s="313" t="s">
        <v>561</v>
      </c>
      <c r="I67" s="302">
        <f>0.97*I66</f>
        <v>41952.5</v>
      </c>
      <c r="J67" s="302"/>
      <c r="K67" s="302"/>
      <c r="L67" s="320" t="s">
        <v>562</v>
      </c>
      <c r="M67" s="323">
        <f>M66*J20</f>
        <v>38880.543240000065</v>
      </c>
      <c r="N67" s="302"/>
      <c r="O67" s="302"/>
      <c r="P67" s="302"/>
    </row>
    <row r="68" spans="1:16" ht="12.75">
      <c r="A68" s="312" t="s">
        <v>541</v>
      </c>
      <c r="B68" s="321">
        <f>B67*I33</f>
        <v>54183.68321333839</v>
      </c>
      <c r="C68" s="310"/>
      <c r="D68" s="311"/>
      <c r="E68" s="311"/>
      <c r="F68" s="311"/>
      <c r="H68" s="313" t="s">
        <v>560</v>
      </c>
      <c r="I68" s="305">
        <f>I66/K20</f>
        <v>1.6634615384615385</v>
      </c>
      <c r="J68" s="302"/>
      <c r="K68" s="302"/>
      <c r="L68" s="320" t="s">
        <v>563</v>
      </c>
      <c r="M68" s="323">
        <f>M66*I33</f>
        <v>2296.43198560061</v>
      </c>
      <c r="N68" s="302"/>
      <c r="O68" s="302"/>
      <c r="P68" s="302"/>
    </row>
    <row r="69" spans="1:16" ht="12.75">
      <c r="A69" s="312" t="s">
        <v>564</v>
      </c>
      <c r="B69" s="309">
        <f>0.95*B66</f>
        <v>965124</v>
      </c>
      <c r="C69" s="310"/>
      <c r="D69" s="311"/>
      <c r="E69" s="311"/>
      <c r="F69" s="311"/>
      <c r="H69" s="313" t="s">
        <v>565</v>
      </c>
      <c r="I69" s="305">
        <f>I67/J20</f>
        <v>1.78688559502513</v>
      </c>
      <c r="J69" s="302"/>
      <c r="K69" s="302"/>
      <c r="L69" s="320" t="s">
        <v>566</v>
      </c>
      <c r="M69" s="323">
        <f>(M62-M64-M65)+(M54-M67-M68)</f>
        <v>1880.1047743994127</v>
      </c>
      <c r="N69" s="302"/>
      <c r="O69" s="302"/>
      <c r="P69" s="302"/>
    </row>
    <row r="70" spans="1:16" ht="12.75">
      <c r="A70" s="312" t="s">
        <v>565</v>
      </c>
      <c r="B70" s="321">
        <f>B69/J20</f>
        <v>41.10759008433427</v>
      </c>
      <c r="C70" s="310"/>
      <c r="D70" s="311"/>
      <c r="E70" s="311"/>
      <c r="F70" s="311"/>
      <c r="H70" s="313" t="s">
        <v>567</v>
      </c>
      <c r="I70" s="305">
        <f>I69*I33</f>
        <v>2477.873374382138</v>
      </c>
      <c r="J70" s="302"/>
      <c r="K70" s="302"/>
      <c r="L70" s="320"/>
      <c r="M70" s="323"/>
      <c r="N70" s="302"/>
      <c r="O70" s="302"/>
      <c r="P70" s="302"/>
    </row>
    <row r="71" spans="1:16" ht="12.75">
      <c r="A71" s="312" t="s">
        <v>568</v>
      </c>
      <c r="B71" s="321">
        <f>B70*I33</f>
        <v>57003.87491990196</v>
      </c>
      <c r="C71" s="310"/>
      <c r="D71" s="311"/>
      <c r="E71" s="311"/>
      <c r="F71" s="311"/>
      <c r="H71" s="313" t="s">
        <v>569</v>
      </c>
      <c r="I71" s="305">
        <f>I68*I33</f>
        <v>2306.721295945434</v>
      </c>
      <c r="J71" s="302"/>
      <c r="K71" s="302"/>
      <c r="L71" s="320"/>
      <c r="M71" s="302"/>
      <c r="N71" s="302"/>
      <c r="O71" s="302"/>
      <c r="P71" s="302"/>
    </row>
    <row r="72" spans="1:16" ht="12.75">
      <c r="A72" s="312"/>
      <c r="B72" s="309"/>
      <c r="C72" s="310"/>
      <c r="D72" s="311"/>
      <c r="E72" s="311"/>
      <c r="F72" s="311"/>
      <c r="H72" s="313" t="s">
        <v>570</v>
      </c>
      <c r="I72" s="323">
        <f>J20*I68</f>
        <v>39054.75</v>
      </c>
      <c r="J72" s="302"/>
      <c r="K72" s="302"/>
      <c r="L72" s="320"/>
      <c r="M72" s="302"/>
      <c r="N72" s="302"/>
      <c r="O72" s="302"/>
      <c r="P72" s="302"/>
    </row>
    <row r="73" spans="1:16" ht="12.75">
      <c r="A73" s="312"/>
      <c r="B73" s="309"/>
      <c r="C73" s="310"/>
      <c r="D73" s="311"/>
      <c r="E73" s="311"/>
      <c r="F73" s="311"/>
      <c r="H73" s="313" t="s">
        <v>571</v>
      </c>
      <c r="I73" s="305">
        <f>I67-I72-I70</f>
        <v>419.8766256178619</v>
      </c>
      <c r="J73" s="302"/>
      <c r="K73" s="302"/>
      <c r="L73" s="320"/>
      <c r="M73" s="302"/>
      <c r="N73" s="302"/>
      <c r="O73" s="302"/>
      <c r="P73" s="302"/>
    </row>
    <row r="74" spans="1:6" ht="12.75">
      <c r="A74" s="312"/>
      <c r="B74" s="309"/>
      <c r="C74" s="310"/>
      <c r="D74" s="311"/>
      <c r="E74" s="311"/>
      <c r="F74" s="311"/>
    </row>
    <row r="75" spans="1:6" ht="12.75">
      <c r="A75" s="308" t="s">
        <v>572</v>
      </c>
      <c r="B75" s="309"/>
      <c r="C75" s="310"/>
      <c r="D75" s="311"/>
      <c r="E75" s="311"/>
      <c r="F75" s="311"/>
    </row>
    <row r="76" spans="1:6" ht="12.75">
      <c r="A76" s="312"/>
      <c r="B76" s="309"/>
      <c r="C76" s="310"/>
      <c r="D76" s="311"/>
      <c r="E76" s="311"/>
      <c r="F76" s="311"/>
    </row>
    <row r="77" spans="1:6" ht="12.75">
      <c r="A77" s="308" t="s">
        <v>126</v>
      </c>
      <c r="B77" s="309"/>
      <c r="C77" s="328"/>
      <c r="D77" s="329" t="s">
        <v>573</v>
      </c>
      <c r="E77" s="302"/>
      <c r="F77" s="302"/>
    </row>
    <row r="78" spans="1:6" ht="12.75">
      <c r="A78" s="308"/>
      <c r="B78" s="309"/>
      <c r="C78" s="328"/>
      <c r="D78" s="330" t="s">
        <v>574</v>
      </c>
      <c r="E78" s="318">
        <v>0.05</v>
      </c>
      <c r="F78" s="302"/>
    </row>
    <row r="79" spans="1:6" ht="12.75">
      <c r="A79" s="312" t="s">
        <v>575</v>
      </c>
      <c r="B79" s="309">
        <v>72000</v>
      </c>
      <c r="C79" s="328"/>
      <c r="D79" s="330" t="s">
        <v>576</v>
      </c>
      <c r="E79" s="302">
        <f>E78*M40</f>
        <v>9798.800000000001</v>
      </c>
      <c r="F79" s="302"/>
    </row>
    <row r="80" spans="1:6" ht="12.75">
      <c r="A80" s="312" t="s">
        <v>577</v>
      </c>
      <c r="B80" s="331">
        <f>+B79/0.83</f>
        <v>86746.98795180723</v>
      </c>
      <c r="C80" s="328"/>
      <c r="D80" s="330" t="s">
        <v>487</v>
      </c>
      <c r="E80" s="305">
        <f>(E79/M48)*M56</f>
        <v>13277.559200000005</v>
      </c>
      <c r="F80" s="302"/>
    </row>
    <row r="81" spans="1:6" ht="12.75">
      <c r="A81" s="312" t="s">
        <v>578</v>
      </c>
      <c r="B81" s="309">
        <v>25000</v>
      </c>
      <c r="C81" s="328"/>
      <c r="D81" s="330" t="s">
        <v>579</v>
      </c>
      <c r="E81" s="302"/>
      <c r="F81" s="302"/>
    </row>
    <row r="82" spans="1:6" ht="12.75">
      <c r="A82" s="312" t="s">
        <v>580</v>
      </c>
      <c r="B82" s="309">
        <f>+B81/0.83</f>
        <v>30120.481927710844</v>
      </c>
      <c r="C82" s="328"/>
      <c r="D82" s="330" t="s">
        <v>581</v>
      </c>
      <c r="E82" s="305">
        <f>0.95*E80</f>
        <v>12613.681240000004</v>
      </c>
      <c r="F82" s="302"/>
    </row>
    <row r="83" spans="1:6" ht="12.75">
      <c r="A83" s="312" t="s">
        <v>538</v>
      </c>
      <c r="B83" s="309">
        <f>B80*12+B82*12</f>
        <v>1402409.6385542168</v>
      </c>
      <c r="C83" s="328"/>
      <c r="D83" s="330"/>
      <c r="E83" s="302"/>
      <c r="F83" s="302"/>
    </row>
    <row r="84" spans="1:6" ht="12.75">
      <c r="A84" s="312"/>
      <c r="B84" s="309"/>
      <c r="C84" s="328"/>
      <c r="D84" s="332" t="s">
        <v>582</v>
      </c>
      <c r="E84" s="302"/>
      <c r="F84" s="302"/>
    </row>
    <row r="85" spans="1:6" ht="12.75">
      <c r="A85" s="308" t="s">
        <v>583</v>
      </c>
      <c r="B85" s="309"/>
      <c r="C85" s="328"/>
      <c r="D85" s="330"/>
      <c r="E85" s="302"/>
      <c r="F85" s="302"/>
    </row>
    <row r="86" spans="1:6" ht="12.75">
      <c r="A86" s="312" t="s">
        <v>584</v>
      </c>
      <c r="B86" s="309"/>
      <c r="C86" s="328"/>
      <c r="D86" s="333" t="s">
        <v>585</v>
      </c>
      <c r="E86" s="325"/>
      <c r="F86" s="334"/>
    </row>
    <row r="87" spans="1:6" ht="12.75">
      <c r="A87" s="312" t="s">
        <v>528</v>
      </c>
      <c r="B87" s="321">
        <f>0.05*'E-Costos'!B10</f>
        <v>79446.01592075</v>
      </c>
      <c r="C87" s="328"/>
      <c r="D87" s="330" t="s">
        <v>491</v>
      </c>
      <c r="E87" s="302">
        <f>0.05*(P41/0.9)</f>
        <v>5583.208888888889</v>
      </c>
      <c r="F87" s="302"/>
    </row>
    <row r="88" spans="1:6" ht="12.75">
      <c r="A88" s="312" t="s">
        <v>499</v>
      </c>
      <c r="B88" s="321">
        <f>0.05*'E-Costos'!F10</f>
        <v>72196.01592075</v>
      </c>
      <c r="C88" s="328"/>
      <c r="D88" s="330" t="s">
        <v>586</v>
      </c>
      <c r="E88" s="302">
        <f>0.05*(P42/0.9)</f>
        <v>3045.3866666666668</v>
      </c>
      <c r="F88" s="302"/>
    </row>
    <row r="89" spans="1:6" ht="12.75">
      <c r="A89" s="312"/>
      <c r="B89" s="309"/>
      <c r="C89" s="328"/>
      <c r="D89" s="330" t="s">
        <v>587</v>
      </c>
      <c r="E89" s="305">
        <f>0.0004*'E-Costos'!C87</f>
        <v>69680</v>
      </c>
      <c r="F89" s="302"/>
    </row>
    <row r="90" spans="1:6" ht="12.75">
      <c r="A90" s="308" t="s">
        <v>103</v>
      </c>
      <c r="B90" s="309"/>
      <c r="C90" s="328"/>
      <c r="D90" s="330" t="s">
        <v>588</v>
      </c>
      <c r="E90" s="302"/>
      <c r="F90" s="302"/>
    </row>
    <row r="91" spans="1:6" ht="12.75">
      <c r="A91" s="312" t="s">
        <v>589</v>
      </c>
      <c r="B91" s="309"/>
      <c r="C91" s="328"/>
      <c r="D91" s="330" t="s">
        <v>590</v>
      </c>
      <c r="E91" s="302">
        <f>0.012*'E-Costos'!C87</f>
        <v>2090400</v>
      </c>
      <c r="F91" s="302"/>
    </row>
    <row r="92" spans="1:6" ht="12.75">
      <c r="A92" s="312" t="s">
        <v>591</v>
      </c>
      <c r="B92" s="309"/>
      <c r="C92" s="328"/>
      <c r="D92" s="330" t="s">
        <v>592</v>
      </c>
      <c r="E92" s="305">
        <f>E91+E89+E88+E87</f>
        <v>2168708.5955555555</v>
      </c>
      <c r="F92" s="302"/>
    </row>
    <row r="93" spans="1:6" ht="12.75">
      <c r="A93" s="312" t="s">
        <v>504</v>
      </c>
      <c r="B93" s="321">
        <f>('E-Inv AF y Am'!B20-'Detalle Inv AF'!F13-250000*0.11)*0.05*'Detalle costo'!I37</f>
        <v>9762.6272</v>
      </c>
      <c r="C93" s="328"/>
      <c r="D93" s="330"/>
      <c r="E93" s="302"/>
      <c r="F93" s="302"/>
    </row>
    <row r="94" spans="1:6" ht="12.75">
      <c r="A94" s="312" t="s">
        <v>593</v>
      </c>
      <c r="B94" s="321">
        <f>0.001*'E-Costos'!C16</f>
        <v>138392.0819370753</v>
      </c>
      <c r="C94" s="328"/>
      <c r="D94" s="330"/>
      <c r="E94" s="302"/>
      <c r="F94" s="302"/>
    </row>
    <row r="95" spans="1:6" ht="12.75">
      <c r="A95" s="312" t="s">
        <v>594</v>
      </c>
      <c r="B95" s="309">
        <f>0.005*B83</f>
        <v>7012.048192771084</v>
      </c>
      <c r="C95" s="328"/>
      <c r="D95" s="330"/>
      <c r="E95" s="302"/>
      <c r="F95" s="302"/>
    </row>
    <row r="96" spans="1:6" ht="12.75">
      <c r="A96" s="312" t="s">
        <v>506</v>
      </c>
      <c r="B96" s="321">
        <f>B94+B95+B93</f>
        <v>155166.75732984638</v>
      </c>
      <c r="C96" s="328"/>
      <c r="D96" s="330"/>
      <c r="E96" s="302"/>
      <c r="F96" s="302"/>
    </row>
    <row r="97" spans="1:6" ht="12.75">
      <c r="A97" s="312"/>
      <c r="B97" s="309"/>
      <c r="C97" s="328"/>
      <c r="D97" s="330"/>
      <c r="E97" s="302"/>
      <c r="F97" s="302"/>
    </row>
    <row r="98" spans="1:6" ht="12.75">
      <c r="A98" s="308" t="s">
        <v>595</v>
      </c>
      <c r="B98" s="309"/>
      <c r="C98" s="328"/>
      <c r="D98" s="330"/>
      <c r="E98" s="302"/>
      <c r="F98" s="302"/>
    </row>
    <row r="99" spans="1:6" ht="12.75">
      <c r="A99" s="312"/>
      <c r="B99" s="309"/>
      <c r="C99" s="328"/>
      <c r="D99" s="330"/>
      <c r="E99" s="302"/>
      <c r="F99" s="302"/>
    </row>
    <row r="100" spans="1:6" ht="12.75">
      <c r="A100" s="308" t="s">
        <v>126</v>
      </c>
      <c r="B100" s="309"/>
      <c r="C100" s="328"/>
      <c r="D100" s="332" t="s">
        <v>573</v>
      </c>
      <c r="E100" s="302"/>
      <c r="F100" s="302"/>
    </row>
    <row r="101" spans="1:6" ht="12.75">
      <c r="A101" s="312" t="s">
        <v>575</v>
      </c>
      <c r="B101" s="309">
        <v>72000</v>
      </c>
      <c r="C101" s="328"/>
      <c r="D101" s="330" t="s">
        <v>574</v>
      </c>
      <c r="E101" s="318">
        <v>0.05</v>
      </c>
      <c r="F101" s="302"/>
    </row>
    <row r="102" spans="1:6" ht="12.75">
      <c r="A102" s="312" t="s">
        <v>577</v>
      </c>
      <c r="B102" s="331">
        <f>+B101/0.83</f>
        <v>86746.98795180723</v>
      </c>
      <c r="C102" s="328"/>
      <c r="D102" s="330" t="s">
        <v>576</v>
      </c>
      <c r="E102" s="302">
        <f>E78*M40</f>
        <v>9798.800000000001</v>
      </c>
      <c r="F102" s="302"/>
    </row>
    <row r="103" spans="1:6" ht="12.75">
      <c r="A103" s="312"/>
      <c r="B103" s="309"/>
      <c r="C103" s="328"/>
      <c r="D103" s="330" t="s">
        <v>487</v>
      </c>
      <c r="E103" s="305">
        <f>(E79/M48)*M56</f>
        <v>13277.559200000005</v>
      </c>
      <c r="F103" s="302"/>
    </row>
    <row r="104" spans="1:6" ht="12.75">
      <c r="A104" s="312" t="s">
        <v>578</v>
      </c>
      <c r="B104" s="309">
        <v>25000</v>
      </c>
      <c r="C104" s="328"/>
      <c r="D104" s="330" t="s">
        <v>579</v>
      </c>
      <c r="E104" s="302"/>
      <c r="F104" s="302"/>
    </row>
    <row r="105" spans="1:6" ht="12.75">
      <c r="A105" s="312" t="s">
        <v>580</v>
      </c>
      <c r="B105" s="309">
        <f>+B104/0.83</f>
        <v>30120.481927710844</v>
      </c>
      <c r="C105" s="328"/>
      <c r="D105" s="330" t="s">
        <v>581</v>
      </c>
      <c r="E105" s="305">
        <f>0.95*E103</f>
        <v>12613.681240000004</v>
      </c>
      <c r="F105" s="302"/>
    </row>
    <row r="106" spans="1:6" ht="12.75">
      <c r="A106" s="312" t="s">
        <v>596</v>
      </c>
      <c r="B106" s="309">
        <f>B105*12+B102*12</f>
        <v>1402409.6385542168</v>
      </c>
      <c r="C106" s="328"/>
      <c r="D106" s="330"/>
      <c r="E106" s="302"/>
      <c r="F106" s="302"/>
    </row>
    <row r="107" spans="1:6" ht="12.75">
      <c r="A107" s="312" t="s">
        <v>597</v>
      </c>
      <c r="B107" s="309"/>
      <c r="C107" s="328"/>
      <c r="D107" s="332" t="s">
        <v>582</v>
      </c>
      <c r="E107" s="302"/>
      <c r="F107" s="302"/>
    </row>
    <row r="108" spans="1:6" ht="12.75">
      <c r="A108" s="308" t="s">
        <v>515</v>
      </c>
      <c r="B108" s="309"/>
      <c r="C108" s="328"/>
      <c r="D108" s="330"/>
      <c r="E108" s="302"/>
      <c r="F108" s="302"/>
    </row>
    <row r="109" spans="1:6" ht="12.75">
      <c r="A109" s="312"/>
      <c r="B109" s="309"/>
      <c r="C109" s="328"/>
      <c r="D109" s="333" t="s">
        <v>598</v>
      </c>
      <c r="E109" s="325"/>
      <c r="F109" s="334"/>
    </row>
    <row r="110" spans="1:6" ht="12.75">
      <c r="A110" s="312" t="s">
        <v>599</v>
      </c>
      <c r="B110" s="309"/>
      <c r="C110" s="328"/>
      <c r="D110" s="330" t="s">
        <v>491</v>
      </c>
      <c r="E110" s="302">
        <f>0.05*(P41/0.9)</f>
        <v>5583.208888888889</v>
      </c>
      <c r="F110" s="302"/>
    </row>
    <row r="111" spans="1:6" ht="12.75">
      <c r="A111" s="312" t="s">
        <v>600</v>
      </c>
      <c r="B111" s="321"/>
      <c r="C111" s="328"/>
      <c r="D111" s="330" t="s">
        <v>586</v>
      </c>
      <c r="E111" s="302">
        <f>0.05*(P42/0.9)</f>
        <v>3045.3866666666668</v>
      </c>
      <c r="F111" s="302"/>
    </row>
    <row r="112" spans="1:6" ht="12.75">
      <c r="A112" s="312"/>
      <c r="B112" s="321"/>
      <c r="C112" s="328"/>
      <c r="D112" s="330" t="s">
        <v>601</v>
      </c>
      <c r="E112" s="318">
        <v>0.0298</v>
      </c>
      <c r="F112" s="302"/>
    </row>
    <row r="113" spans="1:6" ht="12.75">
      <c r="A113" s="308" t="s">
        <v>103</v>
      </c>
      <c r="B113" s="309"/>
      <c r="C113" s="328"/>
      <c r="D113" s="330" t="s">
        <v>602</v>
      </c>
      <c r="E113" s="302">
        <f>E112*'E-Costos'!C87</f>
        <v>5191160</v>
      </c>
      <c r="F113" s="302"/>
    </row>
    <row r="114" spans="1:6" ht="12.75">
      <c r="A114" s="312" t="s">
        <v>603</v>
      </c>
      <c r="B114" s="309"/>
      <c r="C114" s="328"/>
      <c r="D114" s="330" t="s">
        <v>487</v>
      </c>
      <c r="E114" s="302">
        <f>E113+E111+E110</f>
        <v>5199788.595555556</v>
      </c>
      <c r="F114" s="302"/>
    </row>
    <row r="115" spans="1:6" ht="12.75">
      <c r="A115" s="312" t="s">
        <v>591</v>
      </c>
      <c r="B115" s="309"/>
      <c r="C115" s="328"/>
      <c r="D115" s="330" t="s">
        <v>604</v>
      </c>
      <c r="E115" s="302">
        <f>E112*'E-Costos'!B87</f>
        <v>4412486</v>
      </c>
      <c r="F115" s="302"/>
    </row>
    <row r="116" spans="1:6" ht="12.75">
      <c r="A116" s="312" t="s">
        <v>504</v>
      </c>
      <c r="B116" s="321">
        <f>('E-Inv AF y Am'!B20-'Detalle Inv AF'!F13-250000*0.11)*0.05*'Detalle costo'!I37</f>
        <v>9762.6272</v>
      </c>
      <c r="C116" s="328"/>
      <c r="D116" s="330" t="s">
        <v>498</v>
      </c>
      <c r="E116" s="302">
        <f>E115+E111+E110</f>
        <v>4421114.595555556</v>
      </c>
      <c r="F116" s="302"/>
    </row>
    <row r="117" spans="1:6" ht="12.75">
      <c r="A117" s="312" t="s">
        <v>593</v>
      </c>
      <c r="B117" s="321">
        <f>0.001*'E-Costos'!C16</f>
        <v>138392.0819370753</v>
      </c>
      <c r="C117" s="328"/>
      <c r="D117" s="330"/>
      <c r="E117" s="302"/>
      <c r="F117" s="302"/>
    </row>
    <row r="118" spans="1:6" ht="12.75">
      <c r="A118" s="312" t="s">
        <v>594</v>
      </c>
      <c r="B118" s="309">
        <f>0.05*B106</f>
        <v>70120.48192771085</v>
      </c>
      <c r="C118" s="328"/>
      <c r="D118" s="332" t="s">
        <v>605</v>
      </c>
      <c r="E118" s="302"/>
      <c r="F118" s="302"/>
    </row>
    <row r="119" spans="1:6" ht="12.75">
      <c r="A119" s="312" t="s">
        <v>506</v>
      </c>
      <c r="B119" s="321">
        <f>B118+B117+B116</f>
        <v>218275.19106478614</v>
      </c>
      <c r="C119" s="328"/>
      <c r="D119" s="330"/>
      <c r="E119" s="302"/>
      <c r="F119" s="30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90" zoomScaleNormal="90" zoomScalePageLayoutView="0" workbookViewId="0" topLeftCell="A1">
      <selection activeCell="B10" sqref="B10"/>
    </sheetView>
  </sheetViews>
  <sheetFormatPr defaultColWidth="11.28125" defaultRowHeight="12.75"/>
  <cols>
    <col min="1" max="1" width="45.421875" style="17" customWidth="1"/>
    <col min="2" max="2" width="14.7109375" style="17" customWidth="1"/>
    <col min="3" max="7" width="16.00390625" style="17" bestFit="1" customWidth="1"/>
    <col min="8" max="8" width="17.28125" style="17" customWidth="1"/>
    <col min="9" max="16384" width="11.28125" style="17" customWidth="1"/>
  </cols>
  <sheetData>
    <row r="1" spans="1:5" ht="12.75">
      <c r="A1" s="1" t="s">
        <v>0</v>
      </c>
      <c r="B1"/>
      <c r="C1"/>
      <c r="D1"/>
      <c r="E1" s="2">
        <f>InfoInicial!E1</f>
        <v>12</v>
      </c>
    </row>
    <row r="2" spans="1:5" ht="12.75">
      <c r="A2" s="1"/>
      <c r="B2"/>
      <c r="C2"/>
      <c r="D2"/>
      <c r="E2" s="108"/>
    </row>
    <row r="3" spans="1:7" ht="15.75">
      <c r="A3" s="57" t="s">
        <v>168</v>
      </c>
      <c r="B3" s="58"/>
      <c r="C3" s="58"/>
      <c r="D3" s="58"/>
      <c r="E3" s="58"/>
      <c r="F3" s="58"/>
      <c r="G3" s="59"/>
    </row>
    <row r="4" spans="1:7" ht="12.75">
      <c r="A4" s="60" t="s">
        <v>94</v>
      </c>
      <c r="B4" s="22" t="s">
        <v>53</v>
      </c>
      <c r="C4" s="22" t="s">
        <v>54</v>
      </c>
      <c r="D4" s="22" t="s">
        <v>95</v>
      </c>
      <c r="E4" s="22" t="s">
        <v>96</v>
      </c>
      <c r="F4" s="22" t="s">
        <v>97</v>
      </c>
      <c r="G4" s="23" t="s">
        <v>98</v>
      </c>
    </row>
    <row r="5" spans="1:7" ht="12.75">
      <c r="A5" s="109" t="s">
        <v>169</v>
      </c>
      <c r="B5" s="110"/>
      <c r="C5" s="110"/>
      <c r="D5" s="110"/>
      <c r="E5" s="110"/>
      <c r="F5" s="110"/>
      <c r="G5" s="111"/>
    </row>
    <row r="6" spans="1:7" ht="12.75">
      <c r="A6" s="109" t="s">
        <v>170</v>
      </c>
      <c r="B6" s="98">
        <f>2%*'E-Costos'!B87</f>
        <v>2961400</v>
      </c>
      <c r="C6" s="98">
        <f>2%*'E-Costos'!C87</f>
        <v>3484000</v>
      </c>
      <c r="D6" s="98">
        <f>2%*'E-Costos'!D87</f>
        <v>3484000</v>
      </c>
      <c r="E6" s="98">
        <f>2%*'E-Costos'!E87</f>
        <v>3484000</v>
      </c>
      <c r="F6" s="98">
        <f>2%*'E-Costos'!$F$87</f>
        <v>3484000</v>
      </c>
      <c r="G6" s="98">
        <f>2%*'E-Costos'!$F$87</f>
        <v>3484000</v>
      </c>
    </row>
    <row r="7" spans="1:7" ht="12.75">
      <c r="A7" s="109" t="s">
        <v>171</v>
      </c>
      <c r="B7" s="98"/>
      <c r="C7" s="98">
        <f>'E-Costos'!B87*30/365</f>
        <v>12170136.98630137</v>
      </c>
      <c r="D7" s="98">
        <f>'E-Costos'!C87*30/365</f>
        <v>14317808.219178082</v>
      </c>
      <c r="E7" s="98">
        <f>'E-Costos'!D87*30/365</f>
        <v>14317808.219178082</v>
      </c>
      <c r="F7" s="98">
        <f>'E-Costos'!E87*30/365</f>
        <v>14317808.219178082</v>
      </c>
      <c r="G7" s="98">
        <f>'E-Costos'!F87*30/365</f>
        <v>14317808.219178082</v>
      </c>
    </row>
    <row r="8" spans="1:7" ht="12.75">
      <c r="A8" s="112"/>
      <c r="B8" s="89"/>
      <c r="C8" s="89"/>
      <c r="D8" s="89"/>
      <c r="E8" s="89"/>
      <c r="F8" s="89"/>
      <c r="G8" s="90"/>
    </row>
    <row r="9" spans="1:7" ht="12.75">
      <c r="A9" s="109" t="s">
        <v>172</v>
      </c>
      <c r="B9" s="100">
        <f aca="true" t="shared" si="0" ref="B9:G9">B10+B11+B12+B13</f>
        <v>882943.2530745754</v>
      </c>
      <c r="C9" s="100">
        <f t="shared" si="0"/>
        <v>3280737.3189262394</v>
      </c>
      <c r="D9" s="100">
        <f t="shared" si="0"/>
        <v>1629482.9013853613</v>
      </c>
      <c r="E9" s="100">
        <f t="shared" si="0"/>
        <v>1629482.9013853613</v>
      </c>
      <c r="F9" s="100">
        <f t="shared" si="0"/>
        <v>1647563.9250033072</v>
      </c>
      <c r="G9" s="100">
        <f t="shared" si="0"/>
        <v>1647563.9250033072</v>
      </c>
    </row>
    <row r="10" spans="1:7" ht="12.75">
      <c r="A10" s="112" t="s">
        <v>173</v>
      </c>
      <c r="B10" s="65">
        <f>'Detalle costo'!I24*'Detalle costo'!D5</f>
        <v>0</v>
      </c>
      <c r="C10" s="65">
        <f>'Detalle costo'!$J$24*'Detalle costo'!$D$4*1000</f>
        <v>0</v>
      </c>
      <c r="D10" s="65">
        <f>'Detalle costo'!$J$24*'Detalle costo'!$D$4*1000</f>
        <v>0</v>
      </c>
      <c r="E10" s="65">
        <f>'Detalle costo'!$J$24*'Detalle costo'!$D$4*1000</f>
        <v>0</v>
      </c>
      <c r="F10" s="65">
        <f>'Detalle costo'!$J$24*'Detalle costo'!$D$4*1000</f>
        <v>0</v>
      </c>
      <c r="G10" s="65">
        <f>'Detalle costo'!$J$24*'Detalle costo'!$D$4*1000</f>
        <v>0</v>
      </c>
    </row>
    <row r="11" spans="1:7" ht="12.75">
      <c r="A11" s="112" t="s">
        <v>174</v>
      </c>
      <c r="B11" s="65">
        <f>'Detalle Inv-AT'!D15</f>
        <v>882943.2530745754</v>
      </c>
      <c r="C11" s="65">
        <f>'Detalle Inv-AT'!$D$11</f>
        <v>1103679.0663432193</v>
      </c>
      <c r="D11" s="65">
        <f>'Detalle Inv-AT'!$D$11</f>
        <v>1103679.0663432193</v>
      </c>
      <c r="E11" s="65">
        <f>'Detalle Inv-AT'!$D$11</f>
        <v>1103679.0663432193</v>
      </c>
      <c r="F11" s="65">
        <f>'Detalle Inv-AT'!$D$7</f>
        <v>1128163.1091462192</v>
      </c>
      <c r="G11" s="65">
        <f>'Detalle Inv-AT'!$D$7</f>
        <v>1128163.1091462192</v>
      </c>
    </row>
    <row r="12" spans="1:7" ht="12.75">
      <c r="A12" s="112" t="s">
        <v>175</v>
      </c>
      <c r="B12" s="65"/>
      <c r="C12" s="65">
        <f>'E-Costos'!B34</f>
        <v>550640.9542837457</v>
      </c>
      <c r="D12" s="65">
        <f>'E-Costos'!C34</f>
        <v>525803.835042142</v>
      </c>
      <c r="E12" s="65">
        <f>'E-Costos'!D34</f>
        <v>525803.835042142</v>
      </c>
      <c r="F12" s="65">
        <f>'E-Costos'!E34</f>
        <v>519400.8158570879</v>
      </c>
      <c r="G12" s="65">
        <f>'E-Costos'!F34</f>
        <v>519400.8158570879</v>
      </c>
    </row>
    <row r="13" spans="1:7" ht="12.75">
      <c r="A13" s="112" t="s">
        <v>176</v>
      </c>
      <c r="B13" s="65"/>
      <c r="C13" s="65">
        <f>'E-Costos'!B104</f>
        <v>1626417.2982992746</v>
      </c>
      <c r="D13" s="65">
        <f>'E-Costos'!H104</f>
        <v>0</v>
      </c>
      <c r="E13" s="65">
        <f>'E-Costos'!I104</f>
        <v>0</v>
      </c>
      <c r="F13" s="65">
        <f>'E-Costos'!J104</f>
        <v>0</v>
      </c>
      <c r="G13" s="65">
        <f>'E-Costos'!K104</f>
        <v>0</v>
      </c>
    </row>
    <row r="14" spans="1:7" ht="12.75">
      <c r="A14" s="112"/>
      <c r="B14" s="89"/>
      <c r="C14" s="89"/>
      <c r="D14" s="89"/>
      <c r="E14" s="89"/>
      <c r="F14" s="89"/>
      <c r="G14" s="90"/>
    </row>
    <row r="15" spans="1:7" ht="12.75">
      <c r="A15" s="109" t="s">
        <v>177</v>
      </c>
      <c r="B15" s="98">
        <f aca="true" t="shared" si="1" ref="B15:G15">B6+B7+B9</f>
        <v>3844343.253074575</v>
      </c>
      <c r="C15" s="98">
        <f t="shared" si="1"/>
        <v>18934874.305227607</v>
      </c>
      <c r="D15" s="98">
        <f t="shared" si="1"/>
        <v>19431291.12056344</v>
      </c>
      <c r="E15" s="98">
        <f t="shared" si="1"/>
        <v>19431291.12056344</v>
      </c>
      <c r="F15" s="98">
        <f t="shared" si="1"/>
        <v>19449372.14418139</v>
      </c>
      <c r="G15" s="98">
        <f t="shared" si="1"/>
        <v>19449372.14418139</v>
      </c>
    </row>
    <row r="16" spans="1:7" ht="12.75">
      <c r="A16" s="109" t="s">
        <v>178</v>
      </c>
      <c r="B16" s="89">
        <v>0</v>
      </c>
      <c r="C16" s="100">
        <f>SUM(C17:C20)</f>
        <v>227880.13846127142</v>
      </c>
      <c r="D16" s="100">
        <f>SUM(D17:D20)</f>
        <v>1536431.5366444325</v>
      </c>
      <c r="E16" s="100">
        <f>SUM(E17:E20)</f>
        <v>1537648.3628260132</v>
      </c>
      <c r="F16" s="100">
        <f>SUM(F17:F20)</f>
        <v>1522905.7106032204</v>
      </c>
      <c r="G16" s="100">
        <f>SUM(G17:G20)</f>
        <v>1523169.9692783079</v>
      </c>
    </row>
    <row r="17" spans="1:7" ht="12.75">
      <c r="A17" s="112" t="s">
        <v>179</v>
      </c>
      <c r="B17" s="65">
        <v>0</v>
      </c>
      <c r="C17" s="65">
        <f>'E-Costos'!B27</f>
        <v>93847.6455757182</v>
      </c>
      <c r="D17" s="65">
        <f>'E-Costos'!C27</f>
        <v>84744.42395487352</v>
      </c>
      <c r="E17" s="65">
        <f>'E-Costos'!D27</f>
        <v>84744.42395487352</v>
      </c>
      <c r="F17" s="65">
        <f>'E-Costos'!E27</f>
        <v>77010.90747135704</v>
      </c>
      <c r="G17" s="65">
        <f>'E-Costos'!F27</f>
        <v>77010.90747135704</v>
      </c>
    </row>
    <row r="18" spans="1:7" ht="12.75">
      <c r="A18" s="112" t="s">
        <v>180</v>
      </c>
      <c r="B18" s="65">
        <v>0</v>
      </c>
      <c r="C18" s="65">
        <f>(('E-Costos'!B10-'E-InvAT'!C17+'E-InvAT'!B17)*'Detalle costo'!$J$19)/'Detalle costo'!$J$20</f>
        <v>16556.729488807105</v>
      </c>
      <c r="D18" s="65">
        <f>(('E-Costos'!C10-'E-InvAT'!D17+'E-InvAT'!C17)*'Detalle costo'!$K$19)/'Detalle costo'!$K$20</f>
        <v>15980.235400358446</v>
      </c>
      <c r="E18" s="65">
        <f>(('E-Costos'!D10-'E-InvAT'!E17+'E-InvAT'!D17)*'Detalle costo'!$K$19)/'Detalle costo'!$K$20</f>
        <v>15889.20318415</v>
      </c>
      <c r="F18" s="65">
        <f>(('E-Costos'!E10-'E-InvAT'!F17+'E-InvAT'!E17)*'Detalle costo'!$K$19)/'Detalle costo'!$K$20</f>
        <v>14516.538348985163</v>
      </c>
      <c r="G18" s="65">
        <f>(('E-Costos'!F10-'E-InvAT'!G17+'E-InvAT'!F17)*'Detalle costo'!$K$19)/'Detalle costo'!$K$20</f>
        <v>14439.20318415</v>
      </c>
    </row>
    <row r="19" spans="1:7" ht="12.75">
      <c r="A19" s="112" t="s">
        <v>181</v>
      </c>
      <c r="B19" s="65">
        <v>0</v>
      </c>
      <c r="C19" s="65">
        <f>C7*'E-Costos'!B120</f>
        <v>-17105.71401629293</v>
      </c>
      <c r="D19" s="65">
        <f>D7*'E-Costos'!C120</f>
        <v>1300329.8068041648</v>
      </c>
      <c r="E19" s="65">
        <f>E7*'E-Costos'!D120</f>
        <v>1301630.1831019917</v>
      </c>
      <c r="F19" s="65">
        <f>F7*'E-Costos'!E120</f>
        <v>1308354.8479799062</v>
      </c>
      <c r="G19" s="65">
        <f>G7*'E-Costos'!F120</f>
        <v>1308690.085504911</v>
      </c>
    </row>
    <row r="20" spans="1:7" ht="12.75">
      <c r="A20" s="112" t="s">
        <v>182</v>
      </c>
      <c r="B20" s="65">
        <v>0</v>
      </c>
      <c r="C20" s="65">
        <f>('E-Costos'!B124-'E-InvAT'!C17-'E-InvAT'!C18)*30/365</f>
        <v>134581.47741303904</v>
      </c>
      <c r="D20" s="65">
        <f>('E-Costos'!C124-'E-InvAT'!D17-'E-InvAT'!D18)*30/365</f>
        <v>135377.0704850357</v>
      </c>
      <c r="E20" s="65">
        <f>('E-Costos'!D124-'E-InvAT'!E17-'E-InvAT'!E18)*30/365</f>
        <v>135384.55258499808</v>
      </c>
      <c r="F20" s="65">
        <f>('E-Costos'!E124-'E-InvAT'!F17-'E-InvAT'!F18)*30/365</f>
        <v>123023.41680297189</v>
      </c>
      <c r="G20" s="65">
        <f>('E-Costos'!F124-'E-InvAT'!G17-'E-InvAT'!G18)*30/365</f>
        <v>123029.77311788982</v>
      </c>
    </row>
    <row r="21" spans="1:7" ht="12.75">
      <c r="A21" s="112"/>
      <c r="B21" s="89"/>
      <c r="C21" s="89"/>
      <c r="D21" s="89"/>
      <c r="E21" s="89"/>
      <c r="F21" s="89"/>
      <c r="G21" s="90"/>
    </row>
    <row r="22" spans="1:7" ht="12.75">
      <c r="A22" s="109" t="s">
        <v>183</v>
      </c>
      <c r="B22" s="98">
        <f aca="true" t="shared" si="2" ref="B22:G22">B15-B16</f>
        <v>3844343.253074575</v>
      </c>
      <c r="C22" s="98">
        <f t="shared" si="2"/>
        <v>18706994.166766334</v>
      </c>
      <c r="D22" s="98">
        <f t="shared" si="2"/>
        <v>17894859.583919007</v>
      </c>
      <c r="E22" s="98">
        <f t="shared" si="2"/>
        <v>17893642.757737428</v>
      </c>
      <c r="F22" s="98">
        <f t="shared" si="2"/>
        <v>17926466.43357817</v>
      </c>
      <c r="G22" s="98">
        <f t="shared" si="2"/>
        <v>17926202.17490308</v>
      </c>
    </row>
    <row r="23" spans="1:7" ht="12.75">
      <c r="A23" s="112"/>
      <c r="B23" s="89"/>
      <c r="C23" s="89"/>
      <c r="D23" s="89"/>
      <c r="E23" s="89"/>
      <c r="F23" s="89"/>
      <c r="G23" s="90"/>
    </row>
    <row r="24" spans="1:7" ht="12.75">
      <c r="A24" s="109" t="s">
        <v>184</v>
      </c>
      <c r="B24" s="65">
        <f>B22</f>
        <v>3844343.253074575</v>
      </c>
      <c r="C24" s="65">
        <f>C15-B15</f>
        <v>15090531.052153032</v>
      </c>
      <c r="D24" s="65">
        <f>D15-C15</f>
        <v>496416.81533583254</v>
      </c>
      <c r="E24" s="65">
        <f>E15-D15</f>
        <v>0</v>
      </c>
      <c r="F24" s="65">
        <f>F15-E15</f>
        <v>18081.023617949337</v>
      </c>
      <c r="G24" s="65">
        <f>G15-F15</f>
        <v>0</v>
      </c>
    </row>
    <row r="25" spans="1:7" ht="12.75">
      <c r="A25" s="109" t="s">
        <v>185</v>
      </c>
      <c r="B25" s="65">
        <f>B22</f>
        <v>3844343.253074575</v>
      </c>
      <c r="C25" s="65">
        <f>C22-B22</f>
        <v>14862650.91369176</v>
      </c>
      <c r="D25" s="65">
        <f>D22-C22</f>
        <v>-812134.582847327</v>
      </c>
      <c r="E25" s="65">
        <f>E22-D22</f>
        <v>-1216.8261815793812</v>
      </c>
      <c r="F25" s="65">
        <f>F22-E22</f>
        <v>32823.675840742886</v>
      </c>
      <c r="G25" s="65">
        <f>G22-F22</f>
        <v>-264.2586750909686</v>
      </c>
    </row>
    <row r="26" spans="1:7" ht="12.75">
      <c r="A26" s="112"/>
      <c r="B26" s="89"/>
      <c r="C26" s="89"/>
      <c r="D26" s="89"/>
      <c r="E26" s="89"/>
      <c r="F26" s="89"/>
      <c r="G26" s="90"/>
    </row>
    <row r="27" spans="1:7" ht="12.75">
      <c r="A27" s="109" t="s">
        <v>186</v>
      </c>
      <c r="B27" s="89"/>
      <c r="C27" s="89"/>
      <c r="D27" s="89"/>
      <c r="E27" s="89"/>
      <c r="F27" s="89"/>
      <c r="G27" s="90"/>
    </row>
    <row r="28" spans="1:7" ht="12.75">
      <c r="A28" s="112" t="s">
        <v>187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6">
        <v>0</v>
      </c>
    </row>
    <row r="29" spans="1:7" ht="12.75">
      <c r="A29" s="112" t="s">
        <v>188</v>
      </c>
      <c r="B29" s="65"/>
      <c r="C29" s="65"/>
      <c r="D29" s="65"/>
      <c r="E29" s="65"/>
      <c r="F29" s="65"/>
      <c r="G29" s="66"/>
    </row>
    <row r="30" spans="1:7" ht="12.75">
      <c r="A30" s="112" t="s">
        <v>189</v>
      </c>
      <c r="B30" s="65">
        <f>0.21*B10</f>
        <v>0</v>
      </c>
      <c r="C30" s="65">
        <f>'Detalle Inv-AT'!D21*0.21</f>
        <v>0</v>
      </c>
      <c r="D30" s="65">
        <f>'Detalle Inv-AT'!E21*0.21</f>
        <v>0</v>
      </c>
      <c r="E30" s="65">
        <f>'Detalle Inv-AT'!F21*0.21</f>
        <v>0</v>
      </c>
      <c r="F30" s="65">
        <f>'Detalle Inv-AT'!G21*0.21</f>
        <v>0</v>
      </c>
      <c r="G30" s="65">
        <f>'Detalle Inv-AT'!H21*0.21</f>
        <v>0</v>
      </c>
    </row>
    <row r="31" spans="1:7" ht="12.75">
      <c r="A31" s="112" t="s">
        <v>190</v>
      </c>
      <c r="B31" s="65">
        <f>0.21*B11</f>
        <v>185418.08314566084</v>
      </c>
      <c r="C31" s="65">
        <f>0.21*'Detalle Inv-AT'!D22</f>
        <v>46354.520786415196</v>
      </c>
      <c r="D31" s="65">
        <f>0.21*'Detalle Inv-AT'!E22</f>
        <v>0</v>
      </c>
      <c r="E31" s="65">
        <f>0.21*'Detalle Inv-AT'!F22</f>
        <v>0</v>
      </c>
      <c r="F31" s="65">
        <f>0.21*'Detalle Inv-AT'!G22</f>
        <v>5141.648988629991</v>
      </c>
      <c r="G31" s="65">
        <f>0.21*'Detalle Inv-AT'!H22</f>
        <v>0</v>
      </c>
    </row>
    <row r="32" spans="1:7" ht="12.75">
      <c r="A32" s="112" t="s">
        <v>191</v>
      </c>
      <c r="B32" s="65">
        <f>0.21*B12</f>
        <v>0</v>
      </c>
      <c r="C32" s="65">
        <f>0.21*'Detalle Inv-AT'!D18</f>
        <v>29957.547342412417</v>
      </c>
      <c r="D32" s="65">
        <f>0.21*'Detalle Inv-AT'!E19</f>
        <v>-2527.742353633901</v>
      </c>
      <c r="E32" s="65">
        <f>0.21*'Detalle Inv-AT'!F19</f>
        <v>0</v>
      </c>
      <c r="F32" s="65">
        <f>0.21*'Detalle Inv-AT'!G19</f>
        <v>305.76980579204286</v>
      </c>
      <c r="G32" s="65">
        <f>0.21*'Detalle Inv-AT'!H19</f>
        <v>0</v>
      </c>
    </row>
    <row r="33" spans="1:7" ht="12.75">
      <c r="A33" s="112" t="s">
        <v>192</v>
      </c>
      <c r="B33" s="65">
        <f>0.21*B13</f>
        <v>0</v>
      </c>
      <c r="C33" s="65">
        <f>'Detalle Inv-AT'!C35</f>
        <v>300448.1491220439</v>
      </c>
      <c r="D33" s="65">
        <f>'Detalle Inv-AT'!D35</f>
        <v>-30449.80803851172</v>
      </c>
      <c r="E33" s="65">
        <f>'Detalle Inv-AT'!E35</f>
        <v>-501.8917377599864</v>
      </c>
      <c r="F33" s="65">
        <f>'Detalle Inv-AT'!F35</f>
        <v>54.27278275805293</v>
      </c>
      <c r="G33" s="65">
        <f>'Detalle Inv-AT'!G35</f>
        <v>0</v>
      </c>
    </row>
    <row r="34" spans="1:7" ht="12.75">
      <c r="A34" s="109" t="s">
        <v>193</v>
      </c>
      <c r="B34" s="65">
        <f aca="true" t="shared" si="3" ref="B34:G34">SUM(B30:B33)</f>
        <v>185418.08314566084</v>
      </c>
      <c r="C34" s="65">
        <f t="shared" si="3"/>
        <v>376760.21725087153</v>
      </c>
      <c r="D34" s="65">
        <f t="shared" si="3"/>
        <v>-32977.550392145626</v>
      </c>
      <c r="E34" s="65">
        <f t="shared" si="3"/>
        <v>-501.8917377599864</v>
      </c>
      <c r="F34" s="65">
        <f t="shared" si="3"/>
        <v>5501.691577180087</v>
      </c>
      <c r="G34" s="65">
        <f t="shared" si="3"/>
        <v>0</v>
      </c>
    </row>
    <row r="35" spans="1:7" ht="12.75">
      <c r="A35" s="112"/>
      <c r="B35" s="68"/>
      <c r="C35" s="68"/>
      <c r="D35" s="68"/>
      <c r="E35" s="68"/>
      <c r="F35" s="68"/>
      <c r="G35" s="69"/>
    </row>
    <row r="36" spans="1:7" ht="12.75">
      <c r="A36" s="113" t="s">
        <v>194</v>
      </c>
      <c r="B36" s="71">
        <f aca="true" t="shared" si="4" ref="B36:G36">B25+B34</f>
        <v>4029761.336220236</v>
      </c>
      <c r="C36" s="71">
        <f t="shared" si="4"/>
        <v>15239411.130942632</v>
      </c>
      <c r="D36" s="71">
        <f t="shared" si="4"/>
        <v>-845112.1332394726</v>
      </c>
      <c r="E36" s="71">
        <f t="shared" si="4"/>
        <v>-1718.7179193393677</v>
      </c>
      <c r="F36" s="71">
        <f t="shared" si="4"/>
        <v>38325.36741792297</v>
      </c>
      <c r="G36" s="71">
        <f t="shared" si="4"/>
        <v>-264.2586750909686</v>
      </c>
    </row>
  </sheetData>
  <sheetProtection selectLockedCells="1" selectUnlockedCells="1"/>
  <printOptions/>
  <pageMargins left="0.25972222222222224" right="0.4597222222222222" top="0.6" bottom="1" header="0.5118055555555555" footer="0.5118055555555555"/>
  <pageSetup fitToHeight="4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5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11.421875" style="296" customWidth="1"/>
    <col min="2" max="2" width="35.28125" style="296" bestFit="1" customWidth="1"/>
    <col min="3" max="4" width="12.8515625" style="296" bestFit="1" customWidth="1"/>
    <col min="5" max="7" width="11.421875" style="296" customWidth="1"/>
    <col min="8" max="8" width="12.28125" style="296" bestFit="1" customWidth="1"/>
    <col min="9" max="16384" width="11.421875" style="296" customWidth="1"/>
  </cols>
  <sheetData>
    <row r="3" spans="2:4" ht="12.75">
      <c r="B3" s="301" t="s">
        <v>606</v>
      </c>
      <c r="C3" s="302"/>
      <c r="D3" s="302"/>
    </row>
    <row r="4" spans="2:4" ht="12.75">
      <c r="B4" s="301" t="s">
        <v>607</v>
      </c>
      <c r="C4" s="319">
        <v>0.02</v>
      </c>
      <c r="D4" s="302"/>
    </row>
    <row r="5" spans="2:4" ht="12.75">
      <c r="B5" s="335"/>
      <c r="C5" s="302"/>
      <c r="D5" s="302"/>
    </row>
    <row r="6" spans="2:4" ht="12.75">
      <c r="B6" s="301" t="s">
        <v>608</v>
      </c>
      <c r="C6" s="302"/>
      <c r="D6" s="302"/>
    </row>
    <row r="7" spans="2:4" ht="12.75">
      <c r="B7" s="301" t="s">
        <v>609</v>
      </c>
      <c r="C7" s="336"/>
      <c r="D7" s="336">
        <f>+D8+D9+D10</f>
        <v>1128163.1091462192</v>
      </c>
    </row>
    <row r="8" spans="2:4" ht="12.75">
      <c r="B8" s="301" t="s">
        <v>610</v>
      </c>
      <c r="C8" s="336">
        <f>'E-Costos'!E12</f>
        <v>2194085.8935599998</v>
      </c>
      <c r="D8" s="336">
        <f>C8*6/12</f>
        <v>1097042.9467799999</v>
      </c>
    </row>
    <row r="9" spans="2:4" ht="12.75">
      <c r="B9" s="301" t="s">
        <v>611</v>
      </c>
      <c r="C9" s="336">
        <f>+'E-Costos'!E53</f>
        <v>155166.75732984638</v>
      </c>
      <c r="D9" s="336">
        <f>C9*1/12</f>
        <v>12930.563110820533</v>
      </c>
    </row>
    <row r="10" spans="2:4" ht="12.75">
      <c r="B10" s="301" t="s">
        <v>612</v>
      </c>
      <c r="C10" s="336">
        <f>+'E-Costos'!E70</f>
        <v>218275.19106478614</v>
      </c>
      <c r="D10" s="336">
        <f>C10*1/12</f>
        <v>18189.599255398844</v>
      </c>
    </row>
    <row r="11" spans="2:4" ht="12.75">
      <c r="B11" s="301" t="s">
        <v>613</v>
      </c>
      <c r="C11" s="336"/>
      <c r="D11" s="336">
        <f>D12+D13+D14</f>
        <v>1103679.0663432193</v>
      </c>
    </row>
    <row r="12" spans="2:4" ht="12.75">
      <c r="B12" s="301" t="s">
        <v>610</v>
      </c>
      <c r="C12" s="336">
        <f>AVERAGE('E-Costos'!B12:D12)</f>
        <v>2145117.807954</v>
      </c>
      <c r="D12" s="336">
        <f>C12*6/12</f>
        <v>1072558.903977</v>
      </c>
    </row>
    <row r="13" spans="2:4" ht="12.75">
      <c r="B13" s="301" t="s">
        <v>611</v>
      </c>
      <c r="C13" s="336">
        <f>AVERAGE('E-Costos'!B53:D53)</f>
        <v>155166.75732984638</v>
      </c>
      <c r="D13" s="336">
        <f>C13*1/12</f>
        <v>12930.563110820533</v>
      </c>
    </row>
    <row r="14" spans="2:4" ht="12.75">
      <c r="B14" s="301" t="s">
        <v>612</v>
      </c>
      <c r="C14" s="336">
        <f>AVERAGE('E-Costos'!B70:D70)</f>
        <v>218275.19106478614</v>
      </c>
      <c r="D14" s="336">
        <f>C14*1/12</f>
        <v>18189.599255398844</v>
      </c>
    </row>
    <row r="15" spans="2:4" ht="12.75">
      <c r="B15" s="301" t="s">
        <v>53</v>
      </c>
      <c r="C15" s="336">
        <v>0.8</v>
      </c>
      <c r="D15" s="336">
        <f>D11*C15</f>
        <v>882943.2530745754</v>
      </c>
    </row>
    <row r="16" ht="12.75">
      <c r="B16" s="337"/>
    </row>
    <row r="17" spans="2:8" ht="12.75">
      <c r="B17" s="301"/>
      <c r="C17" s="302" t="s">
        <v>443</v>
      </c>
      <c r="D17" s="302" t="s">
        <v>439</v>
      </c>
      <c r="E17" s="302" t="s">
        <v>614</v>
      </c>
      <c r="F17" s="302" t="s">
        <v>615</v>
      </c>
      <c r="G17" s="302" t="s">
        <v>616</v>
      </c>
      <c r="H17" s="302" t="s">
        <v>617</v>
      </c>
    </row>
    <row r="18" spans="2:8" ht="12.75">
      <c r="B18" s="301" t="s">
        <v>618</v>
      </c>
      <c r="C18" s="302">
        <v>0</v>
      </c>
      <c r="D18" s="302">
        <f>'E-Costos'!B34-'E-Costos'!B33-'E-Costos'!B32-'E-Costos'!B27-'E-Costos'!B25-'E-Costos'!B28</f>
        <v>142654.98734482104</v>
      </c>
      <c r="E18" s="302">
        <f>'E-Costos'!C34-'E-Costos'!C33-'E-Costos'!C32-'E-Costos'!C27-'E-Costos'!C25-'E-Costos'!C28</f>
        <v>130618.11899418342</v>
      </c>
      <c r="F18" s="302">
        <f>'E-Costos'!D34-'E-Costos'!D33-'E-Costos'!D32-'E-Costos'!D27-'E-Costos'!D25-'E-Costos'!D28</f>
        <v>130618.11899418342</v>
      </c>
      <c r="G18" s="302">
        <f>'E-Costos'!E34-'E-Costos'!E33-'E-Costos'!E32-'E-Costos'!E27-'E-Costos'!E25-'E-Costos'!E28</f>
        <v>132074.16568843124</v>
      </c>
      <c r="H18" s="302">
        <f>'E-Costos'!F34-'E-Costos'!F33-'E-Costos'!F32-'E-Costos'!F27-'E-Costos'!F25-'E-Costos'!F28</f>
        <v>132074.16568843124</v>
      </c>
    </row>
    <row r="19" spans="2:8" ht="12.75">
      <c r="B19" s="301" t="s">
        <v>619</v>
      </c>
      <c r="C19" s="302">
        <v>0</v>
      </c>
      <c r="D19" s="302">
        <f>D18</f>
        <v>142654.98734482104</v>
      </c>
      <c r="E19" s="302">
        <f>E18-D18</f>
        <v>-12036.868350637626</v>
      </c>
      <c r="F19" s="302">
        <f>F18-E18</f>
        <v>0</v>
      </c>
      <c r="G19" s="302">
        <f>G18-F18</f>
        <v>1456.0466942478233</v>
      </c>
      <c r="H19" s="302">
        <f>H18-G18</f>
        <v>0</v>
      </c>
    </row>
    <row r="20" spans="2:8" ht="12.75">
      <c r="B20" s="301"/>
      <c r="C20" s="302"/>
      <c r="D20" s="302"/>
      <c r="E20" s="302"/>
      <c r="F20" s="302"/>
      <c r="G20" s="302"/>
      <c r="H20" s="302"/>
    </row>
    <row r="21" spans="2:8" ht="12.75">
      <c r="B21" s="301" t="s">
        <v>620</v>
      </c>
      <c r="C21" s="302">
        <f>'E-InvAT'!B10</f>
        <v>0</v>
      </c>
      <c r="D21" s="302">
        <f>'E-InvAT'!C10-'E-InvAT'!B10</f>
        <v>0</v>
      </c>
      <c r="E21" s="302">
        <f>'E-InvAT'!D10-'E-InvAT'!C10</f>
        <v>0</v>
      </c>
      <c r="F21" s="302">
        <f>'E-InvAT'!E10-'E-InvAT'!D10</f>
        <v>0</v>
      </c>
      <c r="G21" s="302">
        <f>'E-InvAT'!F10-'E-InvAT'!E10</f>
        <v>0</v>
      </c>
      <c r="H21" s="302">
        <f>'E-InvAT'!G10-'E-InvAT'!F10</f>
        <v>0</v>
      </c>
    </row>
    <row r="22" spans="2:8" ht="12.75">
      <c r="B22" s="301" t="s">
        <v>621</v>
      </c>
      <c r="C22" s="302">
        <f>'E-InvAT'!B11</f>
        <v>882943.2530745754</v>
      </c>
      <c r="D22" s="302">
        <f>'E-InvAT'!C11-'E-InvAT'!B11</f>
        <v>220735.8132686438</v>
      </c>
      <c r="E22" s="302">
        <f>'E-InvAT'!D11-'E-InvAT'!C11</f>
        <v>0</v>
      </c>
      <c r="F22" s="302">
        <f>'E-InvAT'!E11-'E-InvAT'!D11</f>
        <v>0</v>
      </c>
      <c r="G22" s="302">
        <f>'E-InvAT'!F11-'E-InvAT'!E11</f>
        <v>24484.04280299996</v>
      </c>
      <c r="H22" s="302">
        <f>'E-InvAT'!G11-'E-InvAT'!F11</f>
        <v>0</v>
      </c>
    </row>
    <row r="29" spans="2:7" ht="12.75">
      <c r="B29" s="301" t="s">
        <v>622</v>
      </c>
      <c r="C29" s="302" t="s">
        <v>623</v>
      </c>
      <c r="D29" s="302" t="s">
        <v>614</v>
      </c>
      <c r="E29" s="302" t="s">
        <v>615</v>
      </c>
      <c r="F29" s="302" t="s">
        <v>616</v>
      </c>
      <c r="G29" s="302" t="s">
        <v>617</v>
      </c>
    </row>
    <row r="30" spans="2:7" ht="12.75">
      <c r="B30" s="301" t="s">
        <v>99</v>
      </c>
      <c r="C30" s="305">
        <f>(('E-Costos'!B7-'E-Costos'!B24-'E-Costos'!G24)/'Detalle costo'!J20)*'Detalle costo'!J19*0.21</f>
        <v>295303.06918604654</v>
      </c>
      <c r="D30" s="305">
        <f>('E-Costos'!C7-'E-Costos'!C24)*'Detalle costo'!$K$19/'Detalle costo'!$K$20*0.21</f>
        <v>265129.6725</v>
      </c>
      <c r="E30" s="305">
        <f>('E-Costos'!D7-'E-Costos'!D24)*'Detalle costo'!$K$19/'Detalle costo'!$K$20*0.21</f>
        <v>265129.6725</v>
      </c>
      <c r="F30" s="305">
        <f>('E-Costos'!E7-'E-Costos'!E24)*'Detalle costo'!$K$19/'Detalle costo'!$K$20*0.21</f>
        <v>265129.6725</v>
      </c>
      <c r="G30" s="305">
        <f>('E-Costos'!F7-'E-Costos'!F24)*'Detalle costo'!$K$19/'Detalle costo'!$K$20*0.21</f>
        <v>265129.6725</v>
      </c>
    </row>
    <row r="31" spans="2:7" ht="12.75">
      <c r="B31" s="301" t="s">
        <v>624</v>
      </c>
      <c r="C31" s="305">
        <f>(('E-Costos'!B12-'E-Costos'!B29-'E-Costos'!G29)/'Detalle costo'!J20)*'Detalle costo'!J19*0.21</f>
        <v>4550.24989566</v>
      </c>
      <c r="D31" s="305">
        <f>('E-Costos'!C12-'E-Costos'!C29)*'Detalle costo'!$K$19/'Detalle costo'!$K$20*0.21</f>
        <v>4307.564153782719</v>
      </c>
      <c r="E31" s="305">
        <f>('E-Costos'!D12-'E-Costos'!D29)*'Detalle costo'!$K$19/'Detalle costo'!$K$20*0.21</f>
        <v>4307.564153782719</v>
      </c>
      <c r="F31" s="305">
        <f>('E-Costos'!E12-'E-Costos'!E29)*'Detalle costo'!$K$19/'Detalle costo'!$K$20*0.21</f>
        <v>4361.836936540797</v>
      </c>
      <c r="G31" s="305">
        <f>('E-Costos'!F12-'E-Costos'!F29)*'Detalle costo'!$K$19/'Detalle costo'!$K$20*0.21</f>
        <v>4361.836936540797</v>
      </c>
    </row>
    <row r="32" spans="2:7" ht="12.75">
      <c r="B32" s="301" t="s">
        <v>625</v>
      </c>
      <c r="C32" s="305">
        <f>(('Detalle costo'!M61-'E-Costos'!B30-'E-Costos'!G30)/'Detalle costo'!J20)*'Detalle costo'!J19*0.21</f>
        <v>504.00504033741055</v>
      </c>
      <c r="D32" s="305">
        <f>('Detalle costo'!M56-'E-Costos'!C30)*'Detalle costo'!$K$19/'Detalle costo'!$K$20*0.21</f>
        <v>475.1235444709816</v>
      </c>
      <c r="E32" s="305">
        <f>('Detalle costo'!N56-'E-Costos'!D30)*'Detalle costo'!$K$19/'Detalle costo'!$K$20*0.21</f>
        <v>-26.76819328901857</v>
      </c>
      <c r="F32" s="305">
        <f>('Detalle costo'!O56-'E-Costos'!E30)*'Detalle costo'!$K$19/'Detalle costo'!$K$20*0.21</f>
        <v>-26.76819328901857</v>
      </c>
      <c r="G32" s="305">
        <f>('Detalle costo'!P56-'E-Costos'!F30)*'Detalle costo'!$K$19/'Detalle costo'!$K$20*0.21</f>
        <v>-26.76819328901857</v>
      </c>
    </row>
    <row r="33" spans="2:7" ht="12.75">
      <c r="B33" s="301" t="s">
        <v>626</v>
      </c>
      <c r="C33" s="305">
        <f>(('E-Costos'!B13-'E-Costos'!B31-'E-Costos'!G31)/'Detalle costo'!J20)*'Detalle costo'!J19*0.21</f>
        <v>90.825</v>
      </c>
      <c r="D33" s="305">
        <f>('E-Costos'!C13-'E-Costos'!C31)*'Detalle costo'!$K$19/'Detalle costo'!$K$20*0.21</f>
        <v>85.98088527851459</v>
      </c>
      <c r="E33" s="305">
        <f>('E-Costos'!D13-'E-Costos'!D31)*'Detalle costo'!$K$19/'Detalle costo'!$K$20*0.21</f>
        <v>85.98088527851459</v>
      </c>
      <c r="F33" s="305">
        <f>('E-Costos'!E13-'E-Costos'!E31)*'Detalle costo'!$K$19/'Detalle costo'!$K$20*0.21</f>
        <v>85.98088527851459</v>
      </c>
      <c r="G33" s="305">
        <f>('E-Costos'!F13-'E-Costos'!F31)*'Detalle costo'!$K$19/'Detalle costo'!$K$20*0.21</f>
        <v>85.98088527851459</v>
      </c>
    </row>
    <row r="34" spans="2:7" ht="12.75">
      <c r="B34" s="301" t="s">
        <v>627</v>
      </c>
      <c r="C34" s="305">
        <f>SUM(C30:C33)</f>
        <v>300448.1491220439</v>
      </c>
      <c r="D34" s="305">
        <f>SUM(D30:D33)</f>
        <v>269998.3410835322</v>
      </c>
      <c r="E34" s="305">
        <f>SUM(E30:E33)</f>
        <v>269496.4493457722</v>
      </c>
      <c r="F34" s="305">
        <f>SUM(F30:F33)</f>
        <v>269550.72212853027</v>
      </c>
      <c r="G34" s="305">
        <f>SUM(G30:G33)</f>
        <v>269550.72212853027</v>
      </c>
    </row>
    <row r="35" spans="2:7" ht="12.75">
      <c r="B35" s="301" t="s">
        <v>628</v>
      </c>
      <c r="C35" s="305">
        <f>C34</f>
        <v>300448.1491220439</v>
      </c>
      <c r="D35" s="305">
        <f>D34-C34</f>
        <v>-30449.80803851172</v>
      </c>
      <c r="E35" s="305">
        <f>E34-D34</f>
        <v>-501.8917377599864</v>
      </c>
      <c r="F35" s="305">
        <f>F34-E34</f>
        <v>54.27278275805293</v>
      </c>
      <c r="G35" s="305">
        <f>G34-F34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90" zoomScaleNormal="90" zoomScalePageLayoutView="0" workbookViewId="0" topLeftCell="A2">
      <selection activeCell="D33" sqref="D33"/>
    </sheetView>
  </sheetViews>
  <sheetFormatPr defaultColWidth="11.28125" defaultRowHeight="12.75"/>
  <cols>
    <col min="1" max="1" width="28.00390625" style="17" customWidth="1"/>
    <col min="2" max="2" width="13.8515625" style="17" customWidth="1"/>
    <col min="3" max="4" width="16.00390625" style="17" bestFit="1" customWidth="1"/>
    <col min="5" max="5" width="15.57421875" style="17" bestFit="1" customWidth="1"/>
    <col min="6" max="9" width="13.8515625" style="17" customWidth="1"/>
    <col min="10" max="10" width="17.28125" style="17" customWidth="1"/>
    <col min="11" max="16384" width="11.28125" style="17" customWidth="1"/>
  </cols>
  <sheetData>
    <row r="1" spans="1:7" ht="12.75">
      <c r="A1" s="1" t="s">
        <v>0</v>
      </c>
      <c r="B1"/>
      <c r="C1"/>
      <c r="D1"/>
      <c r="G1" s="2">
        <f>InfoInicial!E1</f>
        <v>12</v>
      </c>
    </row>
    <row r="3" spans="1:9" ht="15.75">
      <c r="A3" s="57" t="s">
        <v>195</v>
      </c>
      <c r="B3" s="58"/>
      <c r="C3" s="58"/>
      <c r="D3" s="58"/>
      <c r="E3" s="58"/>
      <c r="F3" s="58"/>
      <c r="G3" s="58"/>
      <c r="H3" s="58"/>
      <c r="I3" s="59"/>
    </row>
    <row r="4" spans="1:9" ht="25.5">
      <c r="A4" s="60" t="s">
        <v>94</v>
      </c>
      <c r="B4" s="114" t="s">
        <v>196</v>
      </c>
      <c r="C4" s="114" t="s">
        <v>197</v>
      </c>
      <c r="D4" s="22" t="s">
        <v>54</v>
      </c>
      <c r="E4" s="22" t="s">
        <v>95</v>
      </c>
      <c r="F4" s="22" t="s">
        <v>96</v>
      </c>
      <c r="G4" s="22" t="s">
        <v>97</v>
      </c>
      <c r="H4" s="115" t="s">
        <v>98</v>
      </c>
      <c r="I4" s="23" t="s">
        <v>198</v>
      </c>
    </row>
    <row r="5" spans="1:9" ht="12.75">
      <c r="A5" s="109" t="s">
        <v>199</v>
      </c>
      <c r="B5" s="110"/>
      <c r="C5" s="110"/>
      <c r="D5" s="110"/>
      <c r="E5" s="110"/>
      <c r="F5" s="110"/>
      <c r="G5" s="110"/>
      <c r="H5" s="116"/>
      <c r="I5" s="111"/>
    </row>
    <row r="6" spans="1:9" ht="12.75">
      <c r="A6" s="117" t="s">
        <v>200</v>
      </c>
      <c r="B6" s="65">
        <v>0</v>
      </c>
      <c r="C6" s="65">
        <f>+'E-Inv AF y Am'!B20</f>
        <v>19987754.4</v>
      </c>
      <c r="D6" s="65">
        <v>0</v>
      </c>
      <c r="E6" s="65">
        <v>0</v>
      </c>
      <c r="F6" s="65">
        <v>0</v>
      </c>
      <c r="G6" s="65">
        <v>0</v>
      </c>
      <c r="H6" s="118">
        <v>0</v>
      </c>
      <c r="I6" s="66">
        <f>SUM(B6:H6)</f>
        <v>19987754.4</v>
      </c>
    </row>
    <row r="7" spans="1:9" ht="12.75">
      <c r="A7" s="117" t="s">
        <v>201</v>
      </c>
      <c r="B7" s="65">
        <f>'E-Inv AF y Am'!B23*1.1</f>
        <v>217895.04</v>
      </c>
      <c r="C7" s="65">
        <f>'E-Inv AF y Am'!B31-'E-Inv AF y Am'!B23*1.1</f>
        <v>951173.85675</v>
      </c>
      <c r="D7" s="65">
        <f>+'E-Inv AF y Am'!C31</f>
        <v>460556.25</v>
      </c>
      <c r="E7" s="65">
        <v>0</v>
      </c>
      <c r="F7" s="65">
        <v>0</v>
      </c>
      <c r="G7" s="65">
        <v>0</v>
      </c>
      <c r="H7" s="118">
        <v>0</v>
      </c>
      <c r="I7" s="66">
        <f>SUM(B7:H7)</f>
        <v>1629625.14675</v>
      </c>
    </row>
    <row r="8" spans="1:9" ht="12.75">
      <c r="A8" s="109" t="s">
        <v>202</v>
      </c>
      <c r="B8" s="65">
        <f>B6+B7</f>
        <v>217895.04</v>
      </c>
      <c r="C8" s="65">
        <f aca="true" t="shared" si="0" ref="C8:I8">C6+C7</f>
        <v>20938928.25675</v>
      </c>
      <c r="D8" s="65">
        <f t="shared" si="0"/>
        <v>460556.25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  <c r="I8" s="66">
        <f t="shared" si="0"/>
        <v>21617379.546749998</v>
      </c>
    </row>
    <row r="9" spans="1:9" ht="12.75">
      <c r="A9" s="117"/>
      <c r="B9" s="89"/>
      <c r="C9" s="89"/>
      <c r="D9" s="89"/>
      <c r="E9" s="89"/>
      <c r="F9" s="89"/>
      <c r="G9" s="89"/>
      <c r="H9" s="119"/>
      <c r="I9" s="90"/>
    </row>
    <row r="10" spans="1:9" ht="12.75">
      <c r="A10" s="109" t="s">
        <v>203</v>
      </c>
      <c r="B10" s="65"/>
      <c r="C10" s="65"/>
      <c r="D10" s="65"/>
      <c r="E10" s="65"/>
      <c r="F10" s="65"/>
      <c r="G10" s="65"/>
      <c r="H10" s="118"/>
      <c r="I10" s="66"/>
    </row>
    <row r="11" spans="1:9" ht="12.75">
      <c r="A11" s="117" t="s">
        <v>204</v>
      </c>
      <c r="B11" s="65">
        <v>0</v>
      </c>
      <c r="C11" s="65">
        <f>'E-InvAT'!B6</f>
        <v>2961400</v>
      </c>
      <c r="D11" s="65">
        <f>'E-InvAT'!C6-'E-InvAT'!B6</f>
        <v>522600</v>
      </c>
      <c r="E11" s="65">
        <f>'E-InvAT'!D6-'E-InvAT'!C6</f>
        <v>0</v>
      </c>
      <c r="F11" s="65">
        <f>'E-InvAT'!E6-'E-InvAT'!D6</f>
        <v>0</v>
      </c>
      <c r="G11" s="65">
        <f>'E-InvAT'!F6-'E-InvAT'!E6</f>
        <v>0</v>
      </c>
      <c r="H11" s="65">
        <f>'E-InvAT'!G6-'E-InvAT'!F6</f>
        <v>0</v>
      </c>
      <c r="I11" s="66">
        <f>SUM(B11:H11)</f>
        <v>3484000</v>
      </c>
    </row>
    <row r="12" spans="1:9" ht="12.75">
      <c r="A12" s="117" t="s">
        <v>205</v>
      </c>
      <c r="B12" s="65">
        <v>0</v>
      </c>
      <c r="C12" s="17">
        <v>0</v>
      </c>
      <c r="D12" s="65">
        <f>'E-InvAT'!C7-'E-InvAT'!B7</f>
        <v>12170136.98630137</v>
      </c>
      <c r="E12" s="65">
        <f>'E-InvAT'!D7-'E-InvAT'!C7</f>
        <v>2147671.2328767125</v>
      </c>
      <c r="F12" s="65">
        <f>'E-InvAT'!E7-'E-InvAT'!D7</f>
        <v>0</v>
      </c>
      <c r="G12" s="65">
        <f>'E-InvAT'!F7-'E-InvAT'!E7</f>
        <v>0</v>
      </c>
      <c r="H12" s="65">
        <f>'E-InvAT'!G7-'E-InvAT'!F7</f>
        <v>0</v>
      </c>
      <c r="I12" s="66">
        <f>SUM(B12:H12)</f>
        <v>14317808.219178082</v>
      </c>
    </row>
    <row r="13" spans="1:9" ht="12.75">
      <c r="A13" s="117" t="s">
        <v>206</v>
      </c>
      <c r="B13" s="65"/>
      <c r="C13" s="65"/>
      <c r="D13" s="65"/>
      <c r="E13" s="65"/>
      <c r="F13" s="65"/>
      <c r="G13" s="65"/>
      <c r="H13" s="118"/>
      <c r="I13" s="66"/>
    </row>
    <row r="14" spans="1:9" ht="12.75">
      <c r="A14" s="117" t="s">
        <v>207</v>
      </c>
      <c r="B14" s="65">
        <v>0</v>
      </c>
      <c r="C14" s="65">
        <f>'E-InvAT'!B10</f>
        <v>0</v>
      </c>
      <c r="D14" s="65">
        <f>'E-InvAT'!C10-'E-InvAT'!B10</f>
        <v>0</v>
      </c>
      <c r="E14" s="65">
        <f>'E-InvAT'!D10-'E-InvAT'!C10</f>
        <v>0</v>
      </c>
      <c r="F14" s="65">
        <f>'E-InvAT'!E10-'E-InvAT'!D10</f>
        <v>0</v>
      </c>
      <c r="G14" s="65">
        <f>'E-InvAT'!F10-'E-InvAT'!E10</f>
        <v>0</v>
      </c>
      <c r="H14" s="65">
        <f>'E-InvAT'!G10-'E-InvAT'!F10</f>
        <v>0</v>
      </c>
      <c r="I14" s="66">
        <f>SUM(B14:H14)</f>
        <v>0</v>
      </c>
    </row>
    <row r="15" spans="1:9" ht="12.75">
      <c r="A15" s="117" t="s">
        <v>208</v>
      </c>
      <c r="B15" s="65">
        <v>0</v>
      </c>
      <c r="C15" s="65">
        <f>'E-InvAT'!B11</f>
        <v>882943.2530745754</v>
      </c>
      <c r="D15" s="65">
        <f>'E-InvAT'!C11-'E-InvAT'!B11</f>
        <v>220735.8132686438</v>
      </c>
      <c r="E15" s="65">
        <f>'E-InvAT'!D11-'E-InvAT'!C11</f>
        <v>0</v>
      </c>
      <c r="F15" s="65">
        <f>'E-InvAT'!E11-'E-InvAT'!D11</f>
        <v>0</v>
      </c>
      <c r="G15" s="65">
        <f>'E-InvAT'!F11-'E-InvAT'!E11</f>
        <v>24484.04280299996</v>
      </c>
      <c r="H15" s="65">
        <f>'E-InvAT'!G11-'E-InvAT'!F11</f>
        <v>0</v>
      </c>
      <c r="I15" s="66">
        <f>SUM(B15:H15)</f>
        <v>1128163.1091462192</v>
      </c>
    </row>
    <row r="16" spans="1:9" ht="12.75">
      <c r="A16" s="117" t="s">
        <v>209</v>
      </c>
      <c r="B16" s="65">
        <v>0</v>
      </c>
      <c r="C16" s="65">
        <v>0</v>
      </c>
      <c r="D16" s="65">
        <f>'E-InvAT'!C12</f>
        <v>550640.9542837457</v>
      </c>
      <c r="E16" s="65">
        <f>'E-InvAT'!D12-'E-InvAT'!C12</f>
        <v>-24837.119241603767</v>
      </c>
      <c r="F16" s="65">
        <f>'E-InvAT'!E12-'E-InvAT'!D12</f>
        <v>0</v>
      </c>
      <c r="G16" s="65">
        <f>'E-InvAT'!F12-'E-InvAT'!E12</f>
        <v>-6403.019185054058</v>
      </c>
      <c r="H16" s="65">
        <f>'E-InvAT'!G12-'E-InvAT'!F12</f>
        <v>0</v>
      </c>
      <c r="I16" s="66">
        <f>SUM(B16:H16)</f>
        <v>519400.8158570879</v>
      </c>
    </row>
    <row r="17" spans="1:9" ht="12.75">
      <c r="A17" s="117" t="s">
        <v>210</v>
      </c>
      <c r="B17" s="65">
        <v>0</v>
      </c>
      <c r="C17" s="65">
        <v>0</v>
      </c>
      <c r="D17" s="65">
        <f>'E-InvAT'!C13</f>
        <v>1626417.2982992746</v>
      </c>
      <c r="E17" s="65">
        <f>'E-InvAT'!D13-'E-InvAT'!C13</f>
        <v>-1626417.2982992746</v>
      </c>
      <c r="F17" s="65">
        <f>'E-InvAT'!E13-'E-InvAT'!D13</f>
        <v>0</v>
      </c>
      <c r="G17" s="65">
        <f>'E-InvAT'!F13-'E-InvAT'!E13</f>
        <v>0</v>
      </c>
      <c r="H17" s="65">
        <f>'E-InvAT'!G13-'E-InvAT'!F13</f>
        <v>0</v>
      </c>
      <c r="I17" s="66">
        <f>SUM(B17:H17)</f>
        <v>0</v>
      </c>
    </row>
    <row r="18" spans="1:9" ht="12.75">
      <c r="A18" s="109" t="s">
        <v>211</v>
      </c>
      <c r="B18" s="65">
        <f>SUM(B11:B17)</f>
        <v>0</v>
      </c>
      <c r="C18" s="65">
        <f aca="true" t="shared" si="1" ref="C18:H18">SUM(C11:C17)</f>
        <v>3844343.253074575</v>
      </c>
      <c r="D18" s="65">
        <f t="shared" si="1"/>
        <v>15090531.052153034</v>
      </c>
      <c r="E18" s="65">
        <f t="shared" si="1"/>
        <v>496416.81533583417</v>
      </c>
      <c r="F18" s="65">
        <f t="shared" si="1"/>
        <v>0</v>
      </c>
      <c r="G18" s="65">
        <f t="shared" si="1"/>
        <v>18081.023617945903</v>
      </c>
      <c r="H18" s="65">
        <f t="shared" si="1"/>
        <v>0</v>
      </c>
      <c r="I18" s="66">
        <f>SUM(I11:I17)</f>
        <v>19449372.144181386</v>
      </c>
    </row>
    <row r="19" spans="1:9" ht="12.75">
      <c r="A19" s="117"/>
      <c r="B19" s="89"/>
      <c r="C19" s="89"/>
      <c r="D19" s="89"/>
      <c r="E19" s="89"/>
      <c r="F19" s="89"/>
      <c r="G19" s="89"/>
      <c r="H19" s="119"/>
      <c r="I19" s="90"/>
    </row>
    <row r="20" spans="1:9" ht="12.75">
      <c r="A20" s="109" t="s">
        <v>212</v>
      </c>
      <c r="B20" s="89"/>
      <c r="C20" s="89"/>
      <c r="D20" s="89"/>
      <c r="E20" s="89"/>
      <c r="F20" s="89"/>
      <c r="G20" s="89"/>
      <c r="H20" s="119"/>
      <c r="I20" s="90"/>
    </row>
    <row r="21" spans="1:9" ht="12.75">
      <c r="A21" s="117" t="s">
        <v>213</v>
      </c>
      <c r="B21" s="272">
        <f>'E-Inv AF y Am'!B23*0.1*0.21</f>
        <v>4159.814399999999</v>
      </c>
      <c r="C21" s="65">
        <f>+'E-Inv AF y Am'!B34</f>
        <v>4442932.892317499</v>
      </c>
      <c r="D21" s="65">
        <f>+'E-Inv AF y Am'!C34</f>
        <v>96716.8125</v>
      </c>
      <c r="E21" s="65">
        <v>0</v>
      </c>
      <c r="F21" s="65">
        <v>0</v>
      </c>
      <c r="G21" s="65">
        <v>0</v>
      </c>
      <c r="H21" s="118">
        <v>0</v>
      </c>
      <c r="I21" s="66">
        <f>SUM(B21:H21)</f>
        <v>4543809.519217499</v>
      </c>
    </row>
    <row r="22" spans="1:9" ht="12.75">
      <c r="A22" s="117" t="s">
        <v>214</v>
      </c>
      <c r="B22" s="65">
        <v>0</v>
      </c>
      <c r="C22" s="65">
        <f>'E-InvAT'!B34</f>
        <v>185418.08314566084</v>
      </c>
      <c r="D22" s="65">
        <f>'E-InvAT'!C34</f>
        <v>376760.21725087153</v>
      </c>
      <c r="E22" s="65">
        <f>'E-InvAT'!D34</f>
        <v>-32977.550392145626</v>
      </c>
      <c r="F22" s="65">
        <f>'E-InvAT'!E34</f>
        <v>-501.8917377599864</v>
      </c>
      <c r="G22" s="65">
        <f>'E-InvAT'!F34</f>
        <v>5501.691577180087</v>
      </c>
      <c r="H22" s="65">
        <f>'E-InvAT'!G34</f>
        <v>0</v>
      </c>
      <c r="I22" s="66">
        <f>SUM(B22:H22)</f>
        <v>534200.5498438068</v>
      </c>
    </row>
    <row r="23" spans="1:9" ht="12.75">
      <c r="A23" s="109" t="s">
        <v>215</v>
      </c>
      <c r="B23" s="65">
        <f>B21+B22</f>
        <v>4159.814399999999</v>
      </c>
      <c r="C23" s="65">
        <f>C21+C22</f>
        <v>4628350.97546316</v>
      </c>
      <c r="D23" s="65">
        <f aca="true" t="shared" si="2" ref="D23:I23">D21+D22</f>
        <v>473477.02975087153</v>
      </c>
      <c r="E23" s="65">
        <f t="shared" si="2"/>
        <v>-32977.550392145626</v>
      </c>
      <c r="F23" s="65">
        <f t="shared" si="2"/>
        <v>-501.8917377599864</v>
      </c>
      <c r="G23" s="65">
        <f t="shared" si="2"/>
        <v>5501.691577180087</v>
      </c>
      <c r="H23" s="65">
        <f t="shared" si="2"/>
        <v>0</v>
      </c>
      <c r="I23" s="66">
        <f t="shared" si="2"/>
        <v>5078010.069061305</v>
      </c>
    </row>
    <row r="24" spans="1:9" ht="12.75">
      <c r="A24" s="109"/>
      <c r="B24" s="89"/>
      <c r="C24" s="89"/>
      <c r="D24" s="89"/>
      <c r="E24" s="89"/>
      <c r="F24" s="89"/>
      <c r="G24" s="89"/>
      <c r="H24" s="119"/>
      <c r="I24" s="90"/>
    </row>
    <row r="25" spans="1:9" ht="12.75">
      <c r="A25" s="113" t="s">
        <v>216</v>
      </c>
      <c r="B25" s="71">
        <f>B8+B18+B23</f>
        <v>222054.8544</v>
      </c>
      <c r="C25" s="71">
        <f aca="true" t="shared" si="3" ref="C25:I25">C8+C18+C23</f>
        <v>29411622.485287733</v>
      </c>
      <c r="D25" s="71">
        <f t="shared" si="3"/>
        <v>16024564.331903907</v>
      </c>
      <c r="E25" s="71">
        <f t="shared" si="3"/>
        <v>463439.2649436885</v>
      </c>
      <c r="F25" s="71">
        <f t="shared" si="3"/>
        <v>-501.8917377599864</v>
      </c>
      <c r="G25" s="71">
        <f t="shared" si="3"/>
        <v>23582.715195125988</v>
      </c>
      <c r="H25" s="71">
        <f t="shared" si="3"/>
        <v>0</v>
      </c>
      <c r="I25" s="66">
        <f t="shared" si="3"/>
        <v>46144761.75999269</v>
      </c>
    </row>
    <row r="33" ht="12.75">
      <c r="D33" s="270">
        <f>C23+B23</f>
        <v>4632510.78986316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90" zoomScaleNormal="90" zoomScalePageLayoutView="0" workbookViewId="0" topLeftCell="A1">
      <selection activeCell="B5" sqref="B5:G30"/>
    </sheetView>
  </sheetViews>
  <sheetFormatPr defaultColWidth="11.28125" defaultRowHeight="12.75"/>
  <cols>
    <col min="1" max="1" width="28.00390625" style="17" customWidth="1"/>
    <col min="2" max="2" width="40.28125" style="17" bestFit="1" customWidth="1"/>
    <col min="3" max="7" width="16.00390625" style="17" bestFit="1" customWidth="1"/>
    <col min="8" max="8" width="17.28125" style="17" customWidth="1"/>
    <col min="9" max="16384" width="11.28125" style="17" customWidth="1"/>
  </cols>
  <sheetData>
    <row r="1" spans="1:7" ht="12.75">
      <c r="A1" s="1" t="s">
        <v>0</v>
      </c>
      <c r="B1"/>
      <c r="C1"/>
      <c r="D1"/>
      <c r="G1" s="2">
        <f>InfoInicial!E1</f>
        <v>12</v>
      </c>
    </row>
    <row r="2" spans="1:7" ht="15.75">
      <c r="A2" s="121" t="s">
        <v>217</v>
      </c>
      <c r="B2" s="58"/>
      <c r="C2" s="58"/>
      <c r="D2" s="58"/>
      <c r="E2" s="58"/>
      <c r="F2" s="58"/>
      <c r="G2" s="59"/>
    </row>
    <row r="3" spans="1:7" ht="15.75">
      <c r="A3" s="122"/>
      <c r="B3" s="123" t="s">
        <v>218</v>
      </c>
      <c r="C3" s="123"/>
      <c r="D3" s="123"/>
      <c r="E3" s="123"/>
      <c r="F3" s="123"/>
      <c r="G3" s="124"/>
    </row>
    <row r="4" spans="1:7" ht="12.75">
      <c r="A4" s="125" t="s">
        <v>94</v>
      </c>
      <c r="B4" s="114" t="s">
        <v>53</v>
      </c>
      <c r="C4" s="22" t="s">
        <v>54</v>
      </c>
      <c r="D4" s="22" t="s">
        <v>95</v>
      </c>
      <c r="E4" s="22" t="s">
        <v>96</v>
      </c>
      <c r="F4" s="22" t="s">
        <v>97</v>
      </c>
      <c r="G4" s="23" t="s">
        <v>98</v>
      </c>
    </row>
    <row r="5" spans="1:7" ht="12.75">
      <c r="A5" s="126" t="s">
        <v>219</v>
      </c>
      <c r="B5" s="127"/>
      <c r="C5" s="110"/>
      <c r="D5" s="110"/>
      <c r="E5" s="110"/>
      <c r="F5" s="110"/>
      <c r="G5" s="111"/>
    </row>
    <row r="6" spans="1:7" ht="12.75">
      <c r="A6" s="128" t="s">
        <v>220</v>
      </c>
      <c r="B6" s="129"/>
      <c r="C6" s="65">
        <f>'E-Costos'!B7*0.21</f>
        <v>26763174.9</v>
      </c>
      <c r="D6" s="65">
        <f>'E-Costos'!C7*0.21</f>
        <v>26512967.25</v>
      </c>
      <c r="E6" s="65">
        <f>'E-Costos'!D7*0.21</f>
        <v>26512967.25</v>
      </c>
      <c r="F6" s="65">
        <f>'E-Costos'!E7*0.21</f>
        <v>26512967.25</v>
      </c>
      <c r="G6" s="66">
        <f>'E-Costos'!F7*0.21</f>
        <v>26512967.25</v>
      </c>
    </row>
    <row r="7" spans="1:7" ht="12.75">
      <c r="A7" s="128" t="s">
        <v>103</v>
      </c>
      <c r="B7" s="129"/>
      <c r="C7" s="65">
        <f>'E-Costos'!B12*0.21</f>
        <v>441374.23987901997</v>
      </c>
      <c r="D7" s="65">
        <f>'E-Costos'!C12*0.21</f>
        <v>455024.98956599995</v>
      </c>
      <c r="E7" s="65">
        <f>'E-Costos'!D12*0.21</f>
        <v>455024.98956599995</v>
      </c>
      <c r="F7" s="65">
        <f>'E-Costos'!E12*0.21</f>
        <v>460758.03764759994</v>
      </c>
      <c r="G7" s="66">
        <f>'E-Costos'!F12*0.21</f>
        <v>460758.03764759994</v>
      </c>
    </row>
    <row r="8" spans="1:7" ht="12.75">
      <c r="A8" s="128" t="s">
        <v>104</v>
      </c>
      <c r="B8" s="129"/>
      <c r="C8" s="65">
        <f>'Detalle costo'!M61*0.21</f>
        <v>48683.49856272001</v>
      </c>
      <c r="D8" s="65">
        <f>+'Detalle costo'!$M$56*0.21</f>
        <v>50189.17377600001</v>
      </c>
      <c r="E8" s="65">
        <f>+'Detalle costo'!$M$56*0.21</f>
        <v>50189.17377600001</v>
      </c>
      <c r="F8" s="65">
        <f>+'Detalle costo'!$M$56*0.21</f>
        <v>50189.17377600001</v>
      </c>
      <c r="G8" s="66">
        <f>+'Detalle costo'!$M$56*0.21</f>
        <v>50189.17377600001</v>
      </c>
    </row>
    <row r="9" spans="1:7" ht="12.75">
      <c r="A9" s="128" t="s">
        <v>105</v>
      </c>
      <c r="B9" s="129"/>
      <c r="C9" s="65">
        <f>+'E-Costos'!B13*0.21</f>
        <v>8810.025</v>
      </c>
      <c r="D9" s="65">
        <f>'E-Costos'!C13*0.21</f>
        <v>9082.5</v>
      </c>
      <c r="E9" s="65">
        <f>'E-Costos'!D13*0.21</f>
        <v>9082.5</v>
      </c>
      <c r="F9" s="65">
        <f>'E-Costos'!E13*0.21</f>
        <v>9082.5</v>
      </c>
      <c r="G9" s="66">
        <f>'E-Costos'!F13*0.21</f>
        <v>9082.5</v>
      </c>
    </row>
    <row r="10" spans="1:7" ht="12.75">
      <c r="A10" s="128" t="s">
        <v>221</v>
      </c>
      <c r="B10" s="129"/>
      <c r="C10" s="65">
        <v>0</v>
      </c>
      <c r="D10" s="65">
        <v>0</v>
      </c>
      <c r="E10" s="65">
        <v>0</v>
      </c>
      <c r="F10" s="65">
        <v>0</v>
      </c>
      <c r="G10" s="66">
        <v>0</v>
      </c>
    </row>
    <row r="11" spans="1:7" ht="12.75">
      <c r="A11" s="128" t="s">
        <v>130</v>
      </c>
      <c r="B11" s="129"/>
      <c r="C11" s="65">
        <v>0</v>
      </c>
      <c r="D11" s="65">
        <v>0</v>
      </c>
      <c r="E11" s="65">
        <v>0</v>
      </c>
      <c r="F11" s="65">
        <v>0</v>
      </c>
      <c r="G11" s="66">
        <v>0</v>
      </c>
    </row>
    <row r="12" spans="1:7" ht="12.75">
      <c r="A12" s="130" t="s">
        <v>89</v>
      </c>
      <c r="B12" s="129"/>
      <c r="C12" s="98">
        <f>SUM(C6:C11)</f>
        <v>27262042.663441736</v>
      </c>
      <c r="D12" s="98">
        <f>SUM(D6:D11)</f>
        <v>27027263.913342</v>
      </c>
      <c r="E12" s="98">
        <f>SUM(E6:E11)</f>
        <v>27027263.913342</v>
      </c>
      <c r="F12" s="98">
        <f>SUM(F6:F11)</f>
        <v>27032996.961423602</v>
      </c>
      <c r="G12" s="98">
        <f>SUM(G6:G11)</f>
        <v>27032996.961423602</v>
      </c>
    </row>
    <row r="13" spans="1:7" ht="12.75">
      <c r="A13" s="128" t="s">
        <v>222</v>
      </c>
      <c r="B13" s="129"/>
      <c r="C13" s="65">
        <f>('E-Costos'!G24+'E-Costos'!G29+'E-Costos'!G30+'E-Costos'!G31)*0.21</f>
        <v>101617.25037876143</v>
      </c>
      <c r="D13" s="65"/>
      <c r="E13" s="65"/>
      <c r="F13" s="65"/>
      <c r="G13" s="66"/>
    </row>
    <row r="14" spans="1:7" ht="12.75">
      <c r="A14" s="128" t="s">
        <v>223</v>
      </c>
      <c r="B14" s="131"/>
      <c r="C14" s="89"/>
      <c r="D14" s="89"/>
      <c r="E14" s="89"/>
      <c r="F14" s="89"/>
      <c r="G14" s="90"/>
    </row>
    <row r="15" spans="1:7" ht="12.75">
      <c r="A15" s="128" t="s">
        <v>224</v>
      </c>
      <c r="B15" s="129"/>
      <c r="C15" s="65">
        <f>'E-InvAT'!C32</f>
        <v>29957.547342412417</v>
      </c>
      <c r="D15" s="65">
        <f>'E-InvAT'!D32</f>
        <v>-2527.742353633901</v>
      </c>
      <c r="E15" s="65">
        <f>'E-InvAT'!E32</f>
        <v>0</v>
      </c>
      <c r="F15" s="65">
        <f>'E-InvAT'!F32</f>
        <v>305.76980579204286</v>
      </c>
      <c r="G15" s="65">
        <f>'E-InvAT'!G32</f>
        <v>0</v>
      </c>
    </row>
    <row r="16" spans="1:7" ht="12.75">
      <c r="A16" s="128" t="s">
        <v>225</v>
      </c>
      <c r="B16" s="129"/>
      <c r="C16" s="65">
        <f>'E-InvAT'!C33</f>
        <v>300448.1491220439</v>
      </c>
      <c r="D16" s="65">
        <f>'E-InvAT'!D33</f>
        <v>-30449.80803851172</v>
      </c>
      <c r="E16" s="65">
        <f>'E-InvAT'!E33</f>
        <v>-501.8917377599864</v>
      </c>
      <c r="F16" s="65">
        <f>'E-InvAT'!F33</f>
        <v>54.27278275805293</v>
      </c>
      <c r="G16" s="65">
        <f>'E-InvAT'!G33</f>
        <v>0</v>
      </c>
    </row>
    <row r="17" spans="1:7" ht="12.75">
      <c r="A17" s="130" t="s">
        <v>226</v>
      </c>
      <c r="B17" s="129"/>
      <c r="C17" s="98">
        <f>C12-C13-C15-C16</f>
        <v>26830019.71659852</v>
      </c>
      <c r="D17" s="98">
        <f>D12-D13-D15-D16</f>
        <v>27060241.463734142</v>
      </c>
      <c r="E17" s="98">
        <f>E12-E13-E15-E16</f>
        <v>27027765.80507976</v>
      </c>
      <c r="F17" s="98">
        <f>F12-F13-F15-F16</f>
        <v>27032636.91883505</v>
      </c>
      <c r="G17" s="98">
        <f>G12-G13-G15-G16</f>
        <v>27032996.961423602</v>
      </c>
    </row>
    <row r="18" spans="1:7" ht="12.75">
      <c r="A18" s="130" t="s">
        <v>227</v>
      </c>
      <c r="B18" s="129"/>
      <c r="C18" s="98">
        <f>+('E-Costos'!B53+'E-Costos'!B54+'E-Costos'!B55+'E-Costos'!B56)*0.21</f>
        <v>35233.89209966774</v>
      </c>
      <c r="D18" s="98">
        <f>+('E-Costos'!C53+'E-Costos'!C54+'E-Costos'!C55+'E-Costos'!C56)*0.21</f>
        <v>35373.306471267744</v>
      </c>
      <c r="E18" s="98">
        <f>+('E-Costos'!D53+'E-Costos'!D54+'E-Costos'!D55+'E-Costos'!D56)*0.21</f>
        <v>35373.306471267744</v>
      </c>
      <c r="F18" s="98">
        <f>+('E-Costos'!E53+'E-Costos'!E54+'E-Costos'!E55+'E-Costos'!E56)*0.21</f>
        <v>35373.306471267744</v>
      </c>
      <c r="G18" s="98">
        <f>+('E-Costos'!F53+'E-Costos'!F54+'E-Costos'!F55+'E-Costos'!F56)*0.21</f>
        <v>35373.306471267744</v>
      </c>
    </row>
    <row r="19" spans="1:7" ht="12.75">
      <c r="A19" s="130" t="s">
        <v>228</v>
      </c>
      <c r="B19" s="129"/>
      <c r="C19" s="98">
        <f>('E-Costos'!B70+'E-Costos'!B71+'E-Costos'!B72+'E-Costos'!B73)*0.21</f>
        <v>48486.66318400509</v>
      </c>
      <c r="D19" s="98">
        <f>('E-Costos'!C70+'E-Costos'!C71+'E-Costos'!C72+'E-Costos'!C73)*0.21</f>
        <v>48626.077555605094</v>
      </c>
      <c r="E19" s="98">
        <f>('E-Costos'!D70+'E-Costos'!D71+'E-Costos'!D72+'E-Costos'!D73)*0.21</f>
        <v>48626.077555605094</v>
      </c>
      <c r="F19" s="98">
        <f>('E-Costos'!E70+'E-Costos'!E71+'E-Costos'!E72+'E-Costos'!E73)*0.21</f>
        <v>48626.077555605094</v>
      </c>
      <c r="G19" s="98">
        <f>('E-Costos'!F70+'E-Costos'!F71+'E-Costos'!F72+'E-Costos'!F73)*0.21</f>
        <v>48626.077555605094</v>
      </c>
    </row>
    <row r="20" spans="1:7" ht="12.75">
      <c r="A20" s="130"/>
      <c r="B20" s="131"/>
      <c r="C20" s="89"/>
      <c r="D20" s="89"/>
      <c r="E20" s="89"/>
      <c r="F20" s="89"/>
      <c r="G20" s="90"/>
    </row>
    <row r="21" spans="1:7" ht="12.75">
      <c r="A21" s="128" t="s">
        <v>229</v>
      </c>
      <c r="B21" s="129"/>
      <c r="C21" s="65">
        <f>+C17+C18+C19</f>
        <v>26913740.27188219</v>
      </c>
      <c r="D21" s="65">
        <f>+D17+D18+D19</f>
        <v>27144240.847761016</v>
      </c>
      <c r="E21" s="65">
        <f>+E17+E18+E19</f>
        <v>27111765.189106632</v>
      </c>
      <c r="F21" s="65">
        <f>+F17+F18+F19</f>
        <v>27116636.302861925</v>
      </c>
      <c r="G21" s="65">
        <f>+G17+G18+G19</f>
        <v>27116996.345450476</v>
      </c>
    </row>
    <row r="22" spans="1:7" ht="12.75">
      <c r="A22" s="128" t="s">
        <v>230</v>
      </c>
      <c r="B22" s="129"/>
      <c r="C22" s="65">
        <f>'E-Costos'!B87*0.21</f>
        <v>31094700</v>
      </c>
      <c r="D22" s="65">
        <f>'E-Costos'!C87*0.21</f>
        <v>36582000</v>
      </c>
      <c r="E22" s="65">
        <f>'E-Costos'!D87*0.21</f>
        <v>36582000</v>
      </c>
      <c r="F22" s="65">
        <f>'E-Costos'!E87*0.21</f>
        <v>36582000</v>
      </c>
      <c r="G22" s="65">
        <f>'E-Costos'!F87*0.21</f>
        <v>36582000</v>
      </c>
    </row>
    <row r="23" spans="1:7" ht="12.75">
      <c r="A23" s="130" t="s">
        <v>231</v>
      </c>
      <c r="B23" s="129"/>
      <c r="C23" s="65">
        <f>C22-C21</f>
        <v>4180959.7281178087</v>
      </c>
      <c r="D23" s="65">
        <f>D22-D21</f>
        <v>9437759.152238984</v>
      </c>
      <c r="E23" s="65">
        <f>E22-E21</f>
        <v>9470234.810893368</v>
      </c>
      <c r="F23" s="65">
        <f>F22-F21</f>
        <v>9465363.697138075</v>
      </c>
      <c r="G23" s="65">
        <f>G22-G21</f>
        <v>9465003.654549524</v>
      </c>
    </row>
    <row r="24" spans="1:7" ht="12.75">
      <c r="A24" s="128"/>
      <c r="B24" s="131"/>
      <c r="C24" s="89"/>
      <c r="D24" s="89"/>
      <c r="E24" s="89"/>
      <c r="F24" s="89"/>
      <c r="G24" s="90"/>
    </row>
    <row r="25" spans="1:7" ht="12.75">
      <c r="A25" s="132" t="s">
        <v>232</v>
      </c>
      <c r="B25" s="129">
        <v>0</v>
      </c>
      <c r="C25" s="65">
        <f>B27</f>
        <v>4632510.78986316</v>
      </c>
      <c r="D25" s="65">
        <f>C27</f>
        <v>0</v>
      </c>
      <c r="E25" s="65">
        <f>D27</f>
        <v>0</v>
      </c>
      <c r="F25" s="65">
        <f>E27</f>
        <v>0</v>
      </c>
      <c r="G25" s="65">
        <f>F27</f>
        <v>0</v>
      </c>
    </row>
    <row r="26" spans="1:7" ht="12.75">
      <c r="A26" s="132" t="s">
        <v>233</v>
      </c>
      <c r="B26" s="129">
        <f>'E-Cal Inv.'!B23+'E-Cal Inv.'!C23</f>
        <v>4632510.78986316</v>
      </c>
      <c r="C26" s="65">
        <f>'E-Cal Inv.'!D23</f>
        <v>473477.02975087153</v>
      </c>
      <c r="D26" s="65">
        <f>'E-Cal Inv.'!E23</f>
        <v>-32977.550392145626</v>
      </c>
      <c r="E26" s="65">
        <f>'E-Cal Inv.'!F23</f>
        <v>-501.8917377599864</v>
      </c>
      <c r="F26" s="65">
        <f>'E-Cal Inv.'!G23</f>
        <v>5501.691577180087</v>
      </c>
      <c r="G26" s="65">
        <f>'E-Cal Inv.'!H23</f>
        <v>0</v>
      </c>
    </row>
    <row r="27" spans="1:7" ht="12.75">
      <c r="A27" s="130" t="s">
        <v>234</v>
      </c>
      <c r="B27" s="129">
        <f>B25+B26</f>
        <v>4632510.78986316</v>
      </c>
      <c r="C27" s="65">
        <f>C25-C23+C26+C30</f>
        <v>0</v>
      </c>
      <c r="D27" s="65">
        <f>D25-D23+D26+D30</f>
        <v>0</v>
      </c>
      <c r="E27" s="65">
        <f>E25-E23+E26+E30</f>
        <v>0</v>
      </c>
      <c r="F27" s="65">
        <f>F25-F23+F26+F30</f>
        <v>0</v>
      </c>
      <c r="G27" s="65">
        <f>G25-G23+G26+G30</f>
        <v>0</v>
      </c>
    </row>
    <row r="28" spans="1:7" ht="12.75">
      <c r="A28" s="130" t="s">
        <v>235</v>
      </c>
      <c r="B28" s="129"/>
      <c r="C28" s="65">
        <f>C23-C30</f>
        <v>5105987.819614031</v>
      </c>
      <c r="D28" s="65">
        <f>D23-D30</f>
        <v>-32977.55039214529</v>
      </c>
      <c r="E28" s="65">
        <f>E23-E30</f>
        <v>-501.8917377591133</v>
      </c>
      <c r="F28" s="65">
        <f>F23-F30</f>
        <v>5501.691577179357</v>
      </c>
      <c r="G28" s="65">
        <f>G23-G30</f>
        <v>0</v>
      </c>
    </row>
    <row r="29" spans="1:7" ht="12.75">
      <c r="A29" s="128"/>
      <c r="B29" s="131"/>
      <c r="C29" s="89"/>
      <c r="D29" s="89"/>
      <c r="E29" s="89"/>
      <c r="F29" s="89"/>
      <c r="G29" s="89"/>
    </row>
    <row r="30" spans="1:7" ht="12.75">
      <c r="A30" s="133" t="s">
        <v>236</v>
      </c>
      <c r="B30" s="134"/>
      <c r="C30" s="71">
        <f>C23-C25-C26</f>
        <v>-925028.0914962227</v>
      </c>
      <c r="D30" s="71">
        <f>D23-D25-D26</f>
        <v>9470736.702631129</v>
      </c>
      <c r="E30" s="71">
        <f>E23-E25-E26</f>
        <v>9470736.702631127</v>
      </c>
      <c r="F30" s="71">
        <f>F23-F25-F26</f>
        <v>9459862.005560895</v>
      </c>
      <c r="G30" s="71">
        <f>G23-G25-G26</f>
        <v>9465003.654549524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Dalla Valle</dc:creator>
  <cp:keywords/>
  <dc:description/>
  <cp:lastModifiedBy>Johanna Dalla Valle</cp:lastModifiedBy>
  <dcterms:created xsi:type="dcterms:W3CDTF">2018-09-15T20:10:00Z</dcterms:created>
  <dcterms:modified xsi:type="dcterms:W3CDTF">2018-09-15T20:11:07Z</dcterms:modified>
  <cp:category/>
  <cp:version/>
  <cp:contentType/>
  <cp:contentStatus/>
</cp:coreProperties>
</file>