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tabRatio="990" firstSheet="1" activeTab="3"/>
  </bookViews>
  <sheets>
    <sheet name="InfoInicial" sheetId="1" r:id="rId1"/>
    <sheet name="Adicional A" sheetId="2" r:id="rId2"/>
    <sheet name="E-Inv AF y Am" sheetId="3" r:id="rId3"/>
    <sheet name="E-Costos" sheetId="4" r:id="rId4"/>
    <sheet name="E-InvAT" sheetId="5" r:id="rId5"/>
    <sheet name="E-Cal Inv." sheetId="6" r:id="rId6"/>
    <sheet name="E-IVA " sheetId="7" r:id="rId7"/>
    <sheet name="E-Form" sheetId="8" r:id="rId8"/>
    <sheet name="F-Cred" sheetId="9" r:id="rId9"/>
    <sheet name="F-CRes" sheetId="10" r:id="rId10"/>
    <sheet name="F-2 Estructura" sheetId="11" r:id="rId11"/>
    <sheet name="F-IVA" sheetId="12" r:id="rId12"/>
    <sheet name="F- CFyU" sheetId="13" r:id="rId13"/>
    <sheet name="F-Balance" sheetId="14" r:id="rId14"/>
    <sheet name="F- Form" sheetId="15" r:id="rId15"/>
  </sheet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<sst xmlns="http://schemas.openxmlformats.org/spreadsheetml/2006/main" count="813" uniqueCount="486">
  <si>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</si>
  <si>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</si>
  <si>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</si>
  <si>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</si>
  <si>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</si>
  <si>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</si>
  <si>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</si>
  <si>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</si>
  <si>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</si>
  <si>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</si>
  <si>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</si>
  <si>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</si>
  <si>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</si>
  <si>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</si>
  <si>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</si>
  <si>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</si>
  <si>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</si>
  <si>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</si>
  <si>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</si>
  <si>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</si>
  <si>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</si>
  <si>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</si>
  <si>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</si>
  <si>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</si>
  <si>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</si>
  <si>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</si>
  <si>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</si>
  <si>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</si>
  <si>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</si>
  <si>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</si>
  <si>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</si>
  <si>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</si>
  <si>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</si>
  <si>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</si>
  <si>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</si>
  <si>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</si>
  <si>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</si>
  <si>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</si>
  <si>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</si>
  <si>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</si>
  <si>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</si>
  <si>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</si>
  <si>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Pet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</si>
  <si>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</si>
  <si>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</si>
  <si>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</si>
  <si>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</si>
  <si>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</si>
  <si>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</si>
  <si>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</si>
  <si>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</si>
  <si>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</si>
  <si>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</si>
  <si>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</si>
  <si>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</si>
  <si>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</si>
  <si>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</si>
  <si>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</si>
  <si>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</si>
  <si>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</si>
  <si>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</si>
  <si>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</si>
  <si>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</si>
  <si>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</si>
  <si>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</si>
  <si>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</si>
  <si>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</si>
  <si>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</si>
  <si>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</si>
  <si>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</si>
  <si>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</si>
  <si>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</si>
  <si>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</si>
  <si>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</si>
  <si>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</si>
  <si>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</si>
  <si>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</si>
  <si>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</si>
  <si>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</si>
  <si>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</si>
  <si>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</si>
  <si>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</si>
  <si>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</si>
  <si>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</si>
  <si>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</si>
  <si>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</si>
  <si>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</si>
  <si>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</si>
  <si>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</si>
  <si>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</si>
  <si>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</si>
  <si>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</si>
  <si>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</si>
  <si>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</si>
  <si>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</si>
  <si>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</si>
  <si>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</si>
  <si>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</si>
  <si>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</si>
  <si>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</si>
  <si>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</si>
  <si>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</si>
  <si>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</si>
  <si>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</si>
  <si>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</si>
  <si>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</si>
  <si>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</si>
  <si>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Materiales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</si>
  <si>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</si>
  <si>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</si>
  <si>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</si>
  <si>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</si>
  <si>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</si>
  <si>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</si>
  <si>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</si>
  <si>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</si>
  <si>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</si>
  <si>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</si>
  <si>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</si>
  <si>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</si>
  <si>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</si>
  <si>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</si>
  <si>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</si>
  <si>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</si>
  <si>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</si>
  <si>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</si>
  <si>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</si>
  <si>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</si>
  <si>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</si>
  <si>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</si>
  <si>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</si>
  <si>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</si>
  <si>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</si>
  <si>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</si>
  <si>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</si>
  <si>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</si>
  <si>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</si>
  <si>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</si>
  <si>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</si>
  <si>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</si>
  <si>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</si>
  <si>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</si>
  <si>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</si>
  <si>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</si>
  <si>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</si>
  <si>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</si>
  <si>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</si>
  <si>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</si>
  <si>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</si>
  <si>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</si>
  <si>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</si>
  <si>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</si>
  <si>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</si>
  <si>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</si>
  <si>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</si>
  <si>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</si>
  <si>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</si>
  <si>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</si>
  <si>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</si>
  <si>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</si>
  <si>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</si>
  <si>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</si>
  <si>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</si>
  <si>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</si>
  <si>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</si>
  <si>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</si>
  <si>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</si>
  <si>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</si>
  <si>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</si>
  <si>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</si>
  <si>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</si>
  <si>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</si>
  <si>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</si>
  <si>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</si>
  <si>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</si>
  <si>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</si>
  <si>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</si>
  <si>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</si>
  <si>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</si>
  <si>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</si>
  <si>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</si>
  <si>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</si>
  <si>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</si>
  <si>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</si>
  <si>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</si>
  <si>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</si>
  <si>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</si>
  <si>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</si>
  <si>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</si>
  <si>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</si>
  <si>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</si>
  <si>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</si>
  <si>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</si>
  <si>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</si>
  <si>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</si>
  <si>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</si>
  <si>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</si>
  <si>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</si>
  <si>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</si>
  <si>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</si>
  <si>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</si>
  <si>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</si>
  <si>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</si>
  <si>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</si>
  <si>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</si>
  <si>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</si>
  <si>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</si>
  <si>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</si>
  <si>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</si>
  <si>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</si>
  <si>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</si>
  <si>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</si>
  <si>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</si>
  <si>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</si>
  <si>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</si>
  <si>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</si>
  <si>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</si>
  <si>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</si>
  <si>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</si>
  <si>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</si>
  <si>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</si>
  <si>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</si>
  <si>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</si>
  <si>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</si>
  <si>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</si>
  <si>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</si>
  <si>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</si>
  <si>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</si>
  <si>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</si>
  <si>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</si>
  <si>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</si>
  <si>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</si>
  <si>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</si>
  <si>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</si>
  <si>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</si>
  <si>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</si>
  <si>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</si>
  <si>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</si>
  <si>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</si>
  <si>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</si>
  <si>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</si>
  <si>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</si>
  <si>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</si>
  <si>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</si>
  <si>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</si>
  <si>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</si>
  <si>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</si>
  <si>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</si>
  <si>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</si>
  <si>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</si>
  <si>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</si>
  <si>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</si>
  <si>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</si>
  <si>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</si>
  <si>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</si>
  <si>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</si>
  <si>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</si>
  <si>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</si>
  <si>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</si>
  <si>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</si>
  <si>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</si>
  <si>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</si>
  <si>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</si>
  <si>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</si>
  <si>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</si>
  <si>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</si>
  <si>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</si>
  <si>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</si>
  <si>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</si>
  <si>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</si>
  <si>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</si>
  <si>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</si>
  <si>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</si>
  <si>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</si>
  <si>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</si>
  <si>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</si>
  <si>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</si>
  <si>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</si>
  <si>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</si>
  <si>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</si>
  <si>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</si>
  <si>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</si>
  <si>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</si>
  <si>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</si>
  <si>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</si>
  <si>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</si>
  <si>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</si>
  <si>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</si>
  <si>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</si>
  <si>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</si>
  <si>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</si>
  <si>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</si>
  <si>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</si>
  <si>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</si>
  <si>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</si>
  <si>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</si>
  <si>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</si>
  <si>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</si>
  <si>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</si>
  <si>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</si>
  <si>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</si>
  <si>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</si>
  <si>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</si>
  <si>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</si>
  <si>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</si>
  <si>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</si>
  <si>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</si>
  <si>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</si>
  <si>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</si>
  <si>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</si>
  <si>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</si>
  <si>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</si>
  <si>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</si>
  <si>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</si>
  <si>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</si>
  <si>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</si>
  <si>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</si>
  <si>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</si>
  <si>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</si>
  <si>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</si>
  <si>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</si>
  <si>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</si>
  <si>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</si>
  <si>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</si>
  <si>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</si>
  <si>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</si>
  <si>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</si>
  <si>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</si>
  <si>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</si>
  <si>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</si>
  <si>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</si>
  <si>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</si>
  <si>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</si>
  <si>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</si>
  <si>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</si>
  <si>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</si>
  <si>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</si>
  <si>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</si>
  <si>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</si>
  <si>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</si>
  <si>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</si>
  <si>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</si>
  <si>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</si>
  <si>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</si>
  <si>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</si>
  <si>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</si>
  <si>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</si>
  <si>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</si>
  <si>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</si>
  <si>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</si>
  <si>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</si>
  <si>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</si>
  <si>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</si>
  <si>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</si>
  <si>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</si>
  <si>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</si>
  <si>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</si>
  <si>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</si>
  <si>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</si>
  <si>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</si>
  <si>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</si>
  <si>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</si>
  <si>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</si>
  <si>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</si>
  <si>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</si>
  <si>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</si>
  <si>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</si>
  <si>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</si>
  <si>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</si>
  <si>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</si>
  <si>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</si>
  <si>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</si>
  <si>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</si>
  <si>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</si>
  <si>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</si>
  <si>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</si>
  <si>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</si>
  <si>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</si>
  <si>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</si>
  <si>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</si>
  <si>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</si>
  <si>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</si>
  <si>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</si>
  <si>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Guitarras ORFEO</t>
  </si>
  <si>
    <t>Consumo</t>
  </si>
  <si>
    <t>Año1</t>
  </si>
  <si>
    <t>Año2</t>
  </si>
  <si>
    <t>Año3</t>
  </si>
  <si>
    <t>Año4</t>
  </si>
  <si>
    <t>Año5</t>
  </si>
  <si>
    <t>Listones</t>
  </si>
  <si>
    <t>placas</t>
  </si>
  <si>
    <t>Produccion</t>
  </si>
  <si>
    <t>precio unitario</t>
  </si>
  <si>
    <t>Laca</t>
  </si>
  <si>
    <t>Set Cuerdas</t>
  </si>
  <si>
    <t>clavijero</t>
  </si>
  <si>
    <t>cejilla</t>
  </si>
  <si>
    <t>vinilo</t>
  </si>
  <si>
    <t>funda</t>
  </si>
  <si>
    <t>Item</t>
  </si>
  <si>
    <t>Costo x guitarra</t>
  </si>
  <si>
    <t>A la suma de la materia prima necesaria para realizar una guitarra, a fines de simplificar calculos, se la considerara como una unidad de materia prima (UMP) con un costo de $300 que tendra un 15% de desperdicio no recuperable.</t>
  </si>
  <si>
    <t>Alimentacion</t>
  </si>
  <si>
    <t>porcentaje de no recuperable</t>
  </si>
  <si>
    <t>Desperdicio</t>
  </si>
  <si>
    <t>$</t>
  </si>
  <si>
    <t>UMP.</t>
  </si>
  <si>
    <t>$ -</t>
  </si>
  <si>
    <t>.</t>
  </si>
  <si>
    <t>gasto especifico</t>
  </si>
  <si>
    <t>produccion</t>
  </si>
  <si>
    <t>Produccion  (en guitarras)</t>
  </si>
  <si>
    <t>ventas</t>
  </si>
  <si>
    <t>stock</t>
  </si>
  <si>
    <t>Sueldos</t>
  </si>
  <si>
    <t>Operario</t>
  </si>
  <si>
    <t>Jefe de sector</t>
  </si>
  <si>
    <t>GG</t>
  </si>
  <si>
    <t>MOD</t>
  </si>
  <si>
    <t>admin</t>
  </si>
  <si>
    <t>comer</t>
  </si>
  <si>
    <t>x 13 meses</t>
  </si>
  <si>
    <t>GASTOS DE FABRICACION</t>
  </si>
  <si>
    <t>le corresponde un 90% de la imputacion de las amortizaciones de los BU</t>
  </si>
  <si>
    <t>MOI</t>
  </si>
  <si>
    <t>Se consideran $10000 mensuales</t>
  </si>
  <si>
    <t>Se consideran $200 semanales</t>
  </si>
  <si>
    <t>materiales</t>
  </si>
  <si>
    <t>mantenimiento</t>
  </si>
  <si>
    <t>1% de BU</t>
  </si>
  <si>
    <t>repuestos</t>
  </si>
  <si>
    <t>2% de maq</t>
  </si>
  <si>
    <t>2% de MP</t>
  </si>
  <si>
    <t>personal</t>
  </si>
  <si>
    <t>3% de sueldo</t>
  </si>
  <si>
    <t>año 1</t>
  </si>
  <si>
    <t>años 2/5</t>
  </si>
  <si>
    <t>especifico</t>
  </si>
  <si>
    <t>: 5000</t>
  </si>
  <si>
    <t>Anual 2/5</t>
  </si>
  <si>
    <t>PT</t>
  </si>
  <si>
    <t>MC y SE</t>
  </si>
  <si>
    <t>exeso por PM</t>
  </si>
  <si>
    <t xml:space="preserve">Anual </t>
  </si>
  <si>
    <t>2/3</t>
  </si>
  <si>
    <t>4/5</t>
  </si>
  <si>
    <t>amort MC y SE</t>
  </si>
  <si>
    <t>total</t>
  </si>
  <si>
    <t>gasto MC y SE</t>
  </si>
  <si>
    <t>gasto en PT</t>
  </si>
  <si>
    <t>exceso de PM</t>
  </si>
  <si>
    <t>se incrementan en un 10%</t>
  </si>
  <si>
    <t>tasa municipal</t>
  </si>
  <si>
    <t>impuesto automotor</t>
  </si>
  <si>
    <t>2% de Inmueble</t>
  </si>
  <si>
    <t>3% de rodado</t>
  </si>
  <si>
    <t>administracion</t>
  </si>
  <si>
    <t>comercializacion</t>
  </si>
  <si>
    <t>IMPREVISTOS</t>
  </si>
  <si>
    <t>materia prima</t>
  </si>
  <si>
    <t>gastos de fabricacion acum</t>
  </si>
  <si>
    <t>gastos de prod</t>
  </si>
  <si>
    <t>imprevistos 2%</t>
  </si>
  <si>
    <t>año 2/3</t>
  </si>
  <si>
    <t>Año 4/5</t>
  </si>
  <si>
    <t>Administracion</t>
  </si>
  <si>
    <t>le corresponde un 5% de la imputacion de las amortizaciones de los BU</t>
  </si>
  <si>
    <t>papeleria y u</t>
  </si>
  <si>
    <t>1% de ventas</t>
  </si>
  <si>
    <t>Comercializacion</t>
  </si>
  <si>
    <t>Representa un 5% del gasto de Produccion</t>
  </si>
  <si>
    <t>embalaje</t>
  </si>
  <si>
    <t>$40 x guitarra</t>
  </si>
  <si>
    <t>2% del acumulado</t>
  </si>
  <si>
    <t>Representa un 2% del gasto de Produccion</t>
  </si>
  <si>
    <t>2% de las ventas</t>
  </si>
  <si>
    <t>Financio 4 semanas de produccion = 400 guitarras al 20%</t>
  </si>
  <si>
    <t>VAN</t>
  </si>
  <si>
    <t>Punto de Equilibrio AÑO 1</t>
  </si>
  <si>
    <t>Costos Fijos</t>
  </si>
  <si>
    <t>Costos variables</t>
  </si>
  <si>
    <t>Costos totales</t>
  </si>
  <si>
    <t>Ventas</t>
  </si>
  <si>
    <t>Ventas-Costos</t>
  </si>
  <si>
    <t>Punto de Equilibrio AÑO 5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</si>
</sst>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XDR&quot;* #,##0_-;\-&quot;XDR&quot;* #,##0_-;_-&quot;XDR&quot;* &quot;-&quot;_-;_-@_-"/>
    <numFmt numFmtId="175" formatCode="_(\$* #,##0.00_);_(\$* \(#,##0.00\);_(\$* \-??_);_(@_)"/>
    <numFmt numFmtId="176" formatCode="0.0"/>
    <numFmt numFmtId="177" formatCode="0.000"/>
    <numFmt numFmtId="178" formatCode="_(* #,##0.00_);_(* \(#,##0.00\);_(* \-??_);_(@_)"/>
    <numFmt numFmtId="179" formatCode="d&quot; de &quot;mmm&quot; de &quot;yy"/>
    <numFmt numFmtId="180" formatCode="_(\$* #,##0_);_(\$* \(#,##0\);_(\$* \-??_);_(@_)"/>
    <numFmt numFmtId="181" formatCode="_-[$$-409]* #,##0.00_ ;_-[$$-409]* \-#,##0.00\ ;_-[$$-409]* &quot;-&quot;??_ ;_-@_ "/>
    <numFmt numFmtId="182" formatCode="_-* #,##0_-;\-* #,##0_-;_-* &quot;-&quot;??_-;_-@_-"/>
    <numFmt numFmtId="183" formatCode="_(* #,##0_);_(* \(#,##0\);_(* \-??_);_(@_)"/>
    <numFmt numFmtId="184" formatCode="0E+00"/>
    <numFmt numFmtId="185" formatCode="_(&quot;$&quot;* #,##0.00_);_(&quot;$&quot;* \(#,##0.00\);_(&quot;$&quot;* &quot;-&quot;??_);_(@_)"/>
    <numFmt numFmtId="186" formatCode="&quot;$&quot;\ #,##0"/>
  </numFmts>
  <fonts count="4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44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9" fontId="2" fillId="33" borderId="10" xfId="6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left"/>
    </xf>
    <xf numFmtId="175" fontId="0" fillId="0" borderId="25" xfId="51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left"/>
    </xf>
    <xf numFmtId="175" fontId="0" fillId="0" borderId="20" xfId="5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5" fontId="0" fillId="0" borderId="17" xfId="5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2" xfId="0" applyFont="1" applyFill="1" applyBorder="1" applyAlignment="1">
      <alignment/>
    </xf>
    <xf numFmtId="175" fontId="0" fillId="0" borderId="23" xfId="51" applyFont="1" applyFill="1" applyBorder="1" applyAlignment="1" applyProtection="1">
      <alignment/>
      <protection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175" fontId="0" fillId="0" borderId="27" xfId="51" applyFont="1" applyFill="1" applyBorder="1" applyAlignment="1" applyProtection="1">
      <alignment/>
      <protection locked="0"/>
    </xf>
    <xf numFmtId="0" fontId="2" fillId="0" borderId="24" xfId="0" applyFont="1" applyFill="1" applyBorder="1" applyAlignment="1">
      <alignment horizontal="left"/>
    </xf>
    <xf numFmtId="176" fontId="0" fillId="0" borderId="25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/>
    </xf>
    <xf numFmtId="176" fontId="2" fillId="0" borderId="25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75" fontId="0" fillId="0" borderId="21" xfId="5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5" fontId="0" fillId="0" borderId="23" xfId="51" applyFont="1" applyFill="1" applyBorder="1" applyAlignment="1" applyProtection="1">
      <alignment horizontal="center"/>
      <protection locked="0"/>
    </xf>
    <xf numFmtId="175" fontId="0" fillId="0" borderId="26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 locked="0"/>
    </xf>
    <xf numFmtId="175" fontId="0" fillId="0" borderId="27" xfId="51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176" fontId="0" fillId="0" borderId="32" xfId="0" applyNumberFormat="1" applyFill="1" applyBorder="1" applyAlignment="1">
      <alignment horizontal="center"/>
    </xf>
    <xf numFmtId="176" fontId="0" fillId="0" borderId="33" xfId="0" applyNumberFormat="1" applyFill="1" applyBorder="1" applyAlignment="1">
      <alignment/>
    </xf>
    <xf numFmtId="0" fontId="2" fillId="0" borderId="31" xfId="0" applyFont="1" applyFill="1" applyBorder="1" applyAlignment="1">
      <alignment/>
    </xf>
    <xf numFmtId="175" fontId="0" fillId="0" borderId="20" xfId="51" applyFont="1" applyFill="1" applyBorder="1" applyAlignment="1" applyProtection="1">
      <alignment horizontal="center"/>
      <protection locked="0"/>
    </xf>
    <xf numFmtId="175" fontId="0" fillId="0" borderId="21" xfId="5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5" fontId="0" fillId="0" borderId="32" xfId="51" applyFont="1" applyFill="1" applyBorder="1" applyAlignment="1" applyProtection="1">
      <alignment horizontal="center"/>
      <protection locked="0"/>
    </xf>
    <xf numFmtId="175" fontId="0" fillId="0" borderId="33" xfId="51" applyFont="1" applyFill="1" applyBorder="1" applyAlignment="1" applyProtection="1">
      <alignment horizontal="center"/>
      <protection locked="0"/>
    </xf>
    <xf numFmtId="9" fontId="0" fillId="0" borderId="32" xfId="62" applyFont="1" applyFill="1" applyBorder="1" applyAlignment="1" applyProtection="1">
      <alignment horizontal="center"/>
      <protection locked="0"/>
    </xf>
    <xf numFmtId="9" fontId="0" fillId="0" borderId="20" xfId="62" applyFont="1" applyFill="1" applyBorder="1" applyAlignment="1" applyProtection="1">
      <alignment horizontal="center"/>
      <protection locked="0"/>
    </xf>
    <xf numFmtId="9" fontId="0" fillId="0" borderId="21" xfId="62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175" fontId="0" fillId="0" borderId="17" xfId="51" applyFont="1" applyFill="1" applyBorder="1" applyAlignment="1" applyProtection="1">
      <alignment horizontal="center"/>
      <protection locked="0"/>
    </xf>
    <xf numFmtId="175" fontId="0" fillId="0" borderId="18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/>
    </xf>
    <xf numFmtId="175" fontId="0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 horizontal="center"/>
      <protection locked="0"/>
    </xf>
    <xf numFmtId="9" fontId="0" fillId="0" borderId="27" xfId="62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8" fontId="0" fillId="0" borderId="25" xfId="48" applyFont="1" applyFill="1" applyBorder="1" applyAlignment="1" applyProtection="1">
      <alignment horizontal="center"/>
      <protection locked="0"/>
    </xf>
    <xf numFmtId="178" fontId="0" fillId="0" borderId="27" xfId="48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 locked="0"/>
    </xf>
    <xf numFmtId="175" fontId="2" fillId="0" borderId="27" xfId="51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/>
    </xf>
    <xf numFmtId="175" fontId="2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/>
      <protection locked="0"/>
    </xf>
    <xf numFmtId="9" fontId="0" fillId="0" borderId="27" xfId="62" applyFont="1" applyFill="1" applyBorder="1" applyAlignment="1" applyProtection="1">
      <alignment/>
      <protection locked="0"/>
    </xf>
    <xf numFmtId="9" fontId="0" fillId="0" borderId="25" xfId="62" applyFont="1" applyFill="1" applyBorder="1" applyAlignment="1" applyProtection="1">
      <alignment/>
      <protection/>
    </xf>
    <xf numFmtId="9" fontId="0" fillId="0" borderId="27" xfId="62" applyFont="1" applyFill="1" applyBorder="1" applyAlignment="1" applyProtection="1">
      <alignment/>
      <protection/>
    </xf>
    <xf numFmtId="175" fontId="0" fillId="0" borderId="27" xfId="5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34" xfId="0" applyFont="1" applyFill="1" applyBorder="1" applyAlignment="1">
      <alignment/>
    </xf>
    <xf numFmtId="175" fontId="0" fillId="0" borderId="23" xfId="51" applyFont="1" applyFill="1" applyBorder="1" applyAlignment="1" applyProtection="1">
      <alignment horizontal="center"/>
      <protection/>
    </xf>
    <xf numFmtId="175" fontId="0" fillId="0" borderId="26" xfId="51" applyFont="1" applyFill="1" applyBorder="1" applyAlignment="1" applyProtection="1">
      <alignment horizontal="center"/>
      <protection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175" fontId="0" fillId="0" borderId="37" xfId="51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/>
    </xf>
    <xf numFmtId="175" fontId="0" fillId="0" borderId="38" xfId="51" applyFont="1" applyFill="1" applyBorder="1" applyAlignment="1" applyProtection="1">
      <alignment horizontal="center"/>
      <protection locked="0"/>
    </xf>
    <xf numFmtId="175" fontId="0" fillId="0" borderId="38" xfId="51" applyFont="1" applyFill="1" applyBorder="1" applyAlignment="1" applyProtection="1">
      <alignment horizontal="center"/>
      <protection/>
    </xf>
    <xf numFmtId="175" fontId="0" fillId="0" borderId="36" xfId="5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75" fontId="0" fillId="0" borderId="42" xfId="51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>
      <alignment horizontal="left"/>
    </xf>
    <xf numFmtId="0" fontId="2" fillId="0" borderId="45" xfId="0" applyFont="1" applyFill="1" applyBorder="1" applyAlignment="1">
      <alignment/>
    </xf>
    <xf numFmtId="175" fontId="0" fillId="0" borderId="46" xfId="5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175" fontId="0" fillId="0" borderId="42" xfId="51" applyFont="1" applyFill="1" applyBorder="1" applyAlignment="1" applyProtection="1">
      <alignment horizontal="center"/>
      <protection locked="0"/>
    </xf>
    <xf numFmtId="175" fontId="0" fillId="0" borderId="37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10" xfId="5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9" fontId="0" fillId="0" borderId="10" xfId="62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75" fontId="2" fillId="0" borderId="20" xfId="51" applyFont="1" applyFill="1" applyBorder="1" applyAlignment="1" applyProtection="1">
      <alignment horizontal="center"/>
      <protection locked="0"/>
    </xf>
    <xf numFmtId="9" fontId="2" fillId="0" borderId="20" xfId="62" applyFont="1" applyFill="1" applyBorder="1" applyAlignment="1" applyProtection="1">
      <alignment horizontal="center"/>
      <protection locked="0"/>
    </xf>
    <xf numFmtId="9" fontId="2" fillId="0" borderId="21" xfId="62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79" fontId="0" fillId="0" borderId="16" xfId="0" applyNumberFormat="1" applyFont="1" applyFill="1" applyBorder="1" applyAlignment="1" applyProtection="1">
      <alignment/>
      <protection locked="0"/>
    </xf>
    <xf numFmtId="175" fontId="0" fillId="0" borderId="17" xfId="51" applyFont="1" applyFill="1" applyBorder="1" applyAlignment="1" applyProtection="1">
      <alignment/>
      <protection locked="0"/>
    </xf>
    <xf numFmtId="9" fontId="0" fillId="0" borderId="17" xfId="62" applyFont="1" applyFill="1" applyBorder="1" applyAlignment="1" applyProtection="1">
      <alignment/>
      <protection locked="0"/>
    </xf>
    <xf numFmtId="179" fontId="0" fillId="0" borderId="24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Fill="1" applyBorder="1" applyAlignment="1" applyProtection="1">
      <alignment/>
      <protection locked="0"/>
    </xf>
    <xf numFmtId="9" fontId="0" fillId="0" borderId="20" xfId="62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75" fontId="2" fillId="0" borderId="0" xfId="51" applyFont="1" applyFill="1" applyBorder="1" applyAlignment="1" applyProtection="1">
      <alignment horizontal="center"/>
      <protection/>
    </xf>
    <xf numFmtId="175" fontId="2" fillId="0" borderId="10" xfId="51" applyFont="1" applyFill="1" applyBorder="1" applyAlignment="1" applyProtection="1">
      <alignment horizontal="center"/>
      <protection locked="0"/>
    </xf>
    <xf numFmtId="175" fontId="2" fillId="0" borderId="0" xfId="5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179" fontId="0" fillId="0" borderId="24" xfId="0" applyNumberFormat="1" applyFont="1" applyFill="1" applyBorder="1" applyAlignment="1" applyProtection="1">
      <alignment horizontal="left"/>
      <protection locked="0"/>
    </xf>
    <xf numFmtId="175" fontId="2" fillId="0" borderId="20" xfId="51" applyFont="1" applyFill="1" applyBorder="1" applyAlignment="1" applyProtection="1">
      <alignment/>
      <protection/>
    </xf>
    <xf numFmtId="9" fontId="2" fillId="0" borderId="20" xfId="62" applyFont="1" applyFill="1" applyBorder="1" applyAlignment="1" applyProtection="1">
      <alignment/>
      <protection/>
    </xf>
    <xf numFmtId="175" fontId="2" fillId="0" borderId="21" xfId="5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175" fontId="2" fillId="0" borderId="26" xfId="5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178" fontId="0" fillId="0" borderId="3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/>
      <protection locked="0"/>
    </xf>
    <xf numFmtId="178" fontId="0" fillId="0" borderId="38" xfId="48" applyFont="1" applyFill="1" applyBorder="1" applyAlignment="1" applyProtection="1">
      <alignment/>
      <protection locked="0"/>
    </xf>
    <xf numFmtId="178" fontId="0" fillId="0" borderId="27" xfId="48" applyFont="1" applyFill="1" applyBorder="1" applyAlignment="1" applyProtection="1">
      <alignment/>
      <protection locked="0"/>
    </xf>
    <xf numFmtId="175" fontId="2" fillId="0" borderId="38" xfId="51" applyFont="1" applyFill="1" applyBorder="1" applyAlignment="1" applyProtection="1">
      <alignment horizontal="center"/>
      <protection locked="0"/>
    </xf>
    <xf numFmtId="175" fontId="0" fillId="0" borderId="36" xfId="5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178" fontId="0" fillId="0" borderId="17" xfId="48" applyFont="1" applyFill="1" applyBorder="1" applyAlignment="1" applyProtection="1">
      <alignment horizontal="center"/>
      <protection locked="0"/>
    </xf>
    <xf numFmtId="178" fontId="0" fillId="0" borderId="1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 horizontal="center"/>
      <protection/>
    </xf>
    <xf numFmtId="178" fontId="0" fillId="0" borderId="27" xfId="48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center"/>
      <protection/>
    </xf>
    <xf numFmtId="177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58" xfId="0" applyBorder="1" applyAlignment="1">
      <alignment/>
    </xf>
    <xf numFmtId="175" fontId="0" fillId="0" borderId="58" xfId="5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9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173" fontId="0" fillId="0" borderId="58" xfId="0" applyNumberFormat="1" applyBorder="1" applyAlignment="1">
      <alignment/>
    </xf>
    <xf numFmtId="180" fontId="0" fillId="0" borderId="58" xfId="51" applyNumberFormat="1" applyBorder="1" applyAlignment="1">
      <alignment/>
    </xf>
    <xf numFmtId="175" fontId="2" fillId="0" borderId="20" xfId="51" applyFont="1" applyFill="1" applyBorder="1" applyAlignment="1" applyProtection="1">
      <alignment/>
      <protection locked="0"/>
    </xf>
    <xf numFmtId="175" fontId="2" fillId="0" borderId="21" xfId="51" applyFont="1" applyFill="1" applyBorder="1" applyAlignment="1" applyProtection="1">
      <alignment/>
      <protection locked="0"/>
    </xf>
    <xf numFmtId="175" fontId="0" fillId="0" borderId="58" xfId="51" applyNumberFormat="1" applyBorder="1" applyAlignment="1">
      <alignment/>
    </xf>
    <xf numFmtId="173" fontId="0" fillId="0" borderId="0" xfId="0" applyNumberFormat="1" applyAlignment="1">
      <alignment/>
    </xf>
    <xf numFmtId="181" fontId="2" fillId="35" borderId="58" xfId="51" applyNumberFormat="1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8" xfId="0" applyBorder="1" applyAlignment="1">
      <alignment horizontal="right"/>
    </xf>
    <xf numFmtId="180" fontId="2" fillId="0" borderId="58" xfId="51" applyNumberFormat="1" applyFont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25" xfId="51" applyNumberFormat="1" applyFont="1" applyFill="1" applyBorder="1" applyAlignment="1" applyProtection="1">
      <alignment/>
      <protection locked="0"/>
    </xf>
    <xf numFmtId="2" fontId="0" fillId="0" borderId="27" xfId="51" applyNumberFormat="1" applyFont="1" applyFill="1" applyBorder="1" applyAlignment="1" applyProtection="1">
      <alignment/>
      <protection locked="0"/>
    </xf>
    <xf numFmtId="2" fontId="2" fillId="0" borderId="25" xfId="51" applyNumberFormat="1" applyFont="1" applyFill="1" applyBorder="1" applyAlignment="1" applyProtection="1">
      <alignment/>
      <protection locked="0"/>
    </xf>
    <xf numFmtId="2" fontId="0" fillId="0" borderId="25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180" fontId="2" fillId="0" borderId="58" xfId="51" applyNumberFormat="1" applyFont="1" applyBorder="1" applyAlignment="1">
      <alignment vertical="center" wrapText="1"/>
    </xf>
    <xf numFmtId="180" fontId="2" fillId="0" borderId="58" xfId="51" applyNumberFormat="1" applyFont="1" applyBorder="1" applyAlignment="1">
      <alignment wrapText="1"/>
    </xf>
    <xf numFmtId="180" fontId="0" fillId="0" borderId="0" xfId="0" applyNumberFormat="1" applyAlignment="1">
      <alignment/>
    </xf>
    <xf numFmtId="180" fontId="0" fillId="0" borderId="58" xfId="0" applyNumberFormat="1" applyBorder="1" applyAlignment="1">
      <alignment/>
    </xf>
    <xf numFmtId="0" fontId="0" fillId="0" borderId="58" xfId="0" applyFill="1" applyBorder="1" applyAlignment="1">
      <alignment horizontal="center" wrapText="1"/>
    </xf>
    <xf numFmtId="175" fontId="0" fillId="0" borderId="58" xfId="51" applyBorder="1" applyAlignment="1">
      <alignment horizontal="center" wrapText="1"/>
    </xf>
    <xf numFmtId="180" fontId="0" fillId="0" borderId="58" xfId="51" applyNumberFormat="1" applyBorder="1" applyAlignment="1">
      <alignment horizontal="center" wrapText="1"/>
    </xf>
    <xf numFmtId="180" fontId="0" fillId="0" borderId="58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58" xfId="0" applyFill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58" xfId="0" applyFill="1" applyBorder="1" applyAlignment="1">
      <alignment/>
    </xf>
    <xf numFmtId="0" fontId="0" fillId="36" borderId="58" xfId="0" applyFill="1" applyBorder="1" applyAlignment="1">
      <alignment/>
    </xf>
    <xf numFmtId="180" fontId="0" fillId="0" borderId="62" xfId="0" applyNumberFormat="1" applyBorder="1" applyAlignment="1">
      <alignment/>
    </xf>
    <xf numFmtId="173" fontId="0" fillId="0" borderId="62" xfId="0" applyNumberFormat="1" applyBorder="1" applyAlignment="1">
      <alignment/>
    </xf>
    <xf numFmtId="180" fontId="0" fillId="0" borderId="25" xfId="51" applyNumberFormat="1" applyFont="1" applyFill="1" applyBorder="1" applyAlignment="1" applyProtection="1">
      <alignment/>
      <protection locked="0"/>
    </xf>
    <xf numFmtId="175" fontId="0" fillId="0" borderId="25" xfId="51" applyFill="1" applyBorder="1" applyAlignment="1" applyProtection="1">
      <alignment/>
      <protection locked="0"/>
    </xf>
    <xf numFmtId="175" fontId="0" fillId="0" borderId="27" xfId="51" applyFill="1" applyBorder="1" applyAlignment="1" applyProtection="1">
      <alignment/>
      <protection locked="0"/>
    </xf>
    <xf numFmtId="180" fontId="2" fillId="0" borderId="0" xfId="0" applyNumberFormat="1" applyFont="1" applyAlignment="1">
      <alignment/>
    </xf>
    <xf numFmtId="180" fontId="0" fillId="0" borderId="23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ont="1" applyFill="1" applyBorder="1" applyAlignment="1" applyProtection="1">
      <alignment horizontal="center"/>
      <protection locked="0"/>
    </xf>
    <xf numFmtId="9" fontId="0" fillId="0" borderId="32" xfId="62" applyNumberFormat="1" applyFill="1" applyBorder="1" applyAlignment="1" applyProtection="1">
      <alignment horizontal="center"/>
      <protection locked="0"/>
    </xf>
    <xf numFmtId="9" fontId="0" fillId="0" borderId="20" xfId="62" applyNumberFormat="1" applyFill="1" applyBorder="1" applyAlignment="1" applyProtection="1">
      <alignment horizontal="center"/>
      <protection locked="0"/>
    </xf>
    <xf numFmtId="180" fontId="0" fillId="0" borderId="26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/>
      <protection locked="0"/>
    </xf>
    <xf numFmtId="180" fontId="0" fillId="37" borderId="58" xfId="51" applyNumberFormat="1" applyFill="1" applyBorder="1" applyAlignment="1">
      <alignment/>
    </xf>
    <xf numFmtId="180" fontId="0" fillId="37" borderId="58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17" xfId="51" applyNumberFormat="1" applyFont="1" applyFill="1" applyBorder="1" applyAlignment="1" applyProtection="1">
      <alignment horizontal="center"/>
      <protection locked="0"/>
    </xf>
    <xf numFmtId="183" fontId="0" fillId="0" borderId="25" xfId="48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ill="1" applyBorder="1" applyAlignment="1" applyProtection="1">
      <alignment horizontal="right"/>
      <protection locked="0"/>
    </xf>
    <xf numFmtId="182" fontId="0" fillId="0" borderId="25" xfId="51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/>
    </xf>
    <xf numFmtId="180" fontId="2" fillId="0" borderId="27" xfId="51" applyNumberFormat="1" applyFont="1" applyFill="1" applyBorder="1" applyAlignment="1" applyProtection="1">
      <alignment horizontal="center"/>
      <protection/>
    </xf>
    <xf numFmtId="175" fontId="0" fillId="0" borderId="25" xfId="62" applyNumberFormat="1" applyFont="1" applyFill="1" applyBorder="1" applyAlignment="1" applyProtection="1">
      <alignment/>
      <protection locked="0"/>
    </xf>
    <xf numFmtId="180" fontId="0" fillId="0" borderId="25" xfId="51" applyNumberFormat="1" applyFill="1" applyBorder="1" applyAlignment="1" applyProtection="1">
      <alignment/>
      <protection locked="0"/>
    </xf>
    <xf numFmtId="180" fontId="2" fillId="0" borderId="25" xfId="51" applyNumberFormat="1" applyFont="1" applyFill="1" applyBorder="1" applyAlignment="1" applyProtection="1">
      <alignment/>
      <protection locked="0"/>
    </xf>
    <xf numFmtId="175" fontId="0" fillId="0" borderId="32" xfId="5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75" fontId="2" fillId="0" borderId="27" xfId="51" applyFont="1" applyFill="1" applyBorder="1" applyAlignment="1" applyProtection="1">
      <alignment/>
      <protection locked="0"/>
    </xf>
    <xf numFmtId="173" fontId="0" fillId="0" borderId="0" xfId="0" applyNumberFormat="1" applyFill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63" xfId="0" applyBorder="1" applyAlignment="1">
      <alignment horizontal="center"/>
    </xf>
    <xf numFmtId="175" fontId="0" fillId="0" borderId="58" xfId="0" applyNumberFormat="1" applyFill="1" applyBorder="1" applyAlignment="1">
      <alignment/>
    </xf>
    <xf numFmtId="9" fontId="0" fillId="0" borderId="64" xfId="0" applyNumberFormat="1" applyFill="1" applyBorder="1" applyAlignment="1">
      <alignment/>
    </xf>
    <xf numFmtId="175" fontId="0" fillId="0" borderId="65" xfId="0" applyNumberFormat="1" applyFill="1" applyBorder="1" applyAlignment="1">
      <alignment/>
    </xf>
    <xf numFmtId="0" fontId="0" fillId="0" borderId="65" xfId="0" applyFill="1" applyBorder="1" applyAlignment="1">
      <alignment/>
    </xf>
    <xf numFmtId="175" fontId="0" fillId="0" borderId="66" xfId="0" applyNumberFormat="1" applyFill="1" applyBorder="1" applyAlignment="1">
      <alignment/>
    </xf>
    <xf numFmtId="9" fontId="0" fillId="0" borderId="67" xfId="0" applyNumberFormat="1" applyFill="1" applyBorder="1" applyAlignment="1">
      <alignment/>
    </xf>
    <xf numFmtId="175" fontId="0" fillId="0" borderId="68" xfId="0" applyNumberFormat="1" applyFill="1" applyBorder="1" applyAlignment="1">
      <alignment/>
    </xf>
    <xf numFmtId="9" fontId="0" fillId="0" borderId="69" xfId="0" applyNumberFormat="1" applyFill="1" applyBorder="1" applyAlignment="1">
      <alignment/>
    </xf>
    <xf numFmtId="175" fontId="0" fillId="0" borderId="70" xfId="0" applyNumberFormat="1" applyFill="1" applyBorder="1" applyAlignment="1">
      <alignment/>
    </xf>
    <xf numFmtId="0" fontId="0" fillId="0" borderId="70" xfId="0" applyFill="1" applyBorder="1" applyAlignment="1">
      <alignment/>
    </xf>
    <xf numFmtId="175" fontId="0" fillId="0" borderId="71" xfId="0" applyNumberFormat="1" applyFill="1" applyBorder="1" applyAlignment="1">
      <alignment/>
    </xf>
    <xf numFmtId="10" fontId="0" fillId="0" borderId="20" xfId="51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3 2" xfId="58"/>
    <cellStyle name="Normal 4" xfId="59"/>
    <cellStyle name="Notas" xfId="60"/>
    <cellStyle name="Porcentaje 2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425"/>
          <c:w val="0.9795"/>
          <c:h val="0.8305"/>
        </c:manualLayout>
      </c:layout>
      <c:lineChart>
        <c:grouping val="standard"/>
        <c:varyColors val="0"/>
        <c:ser>
          <c:idx val="3"/>
          <c:order val="0"/>
          <c:tx>
            <c:strRef>
              <c:f>'E-Costos'!$C$140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'E-Costos'!$C$141:$C$151</c:f>
              <c:numCache/>
            </c:numRef>
          </c:val>
          <c:smooth val="0"/>
        </c:ser>
        <c:ser>
          <c:idx val="4"/>
          <c:order val="1"/>
          <c:tx>
            <c:strRef>
              <c:f>'E-Costos'!$D$140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'E-Costos'!$D$141:$D$151</c:f>
              <c:numCache/>
            </c:numRef>
          </c:val>
          <c:smooth val="0"/>
        </c:ser>
        <c:ser>
          <c:idx val="0"/>
          <c:order val="2"/>
          <c:tx>
            <c:strRef>
              <c:f>'E-Costos'!$E$140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'E-Costos'!$E$141:$E$151</c:f>
              <c:numCache/>
            </c:numRef>
          </c:val>
          <c:smooth val="0"/>
        </c:ser>
        <c:ser>
          <c:idx val="1"/>
          <c:order val="3"/>
          <c:tx>
            <c:strRef>
              <c:f>'E-Costos'!$F$140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'E-Costos'!$F$141:$F$151</c:f>
              <c:numCache/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7601004"/>
        <c:crosses val="autoZero"/>
        <c:auto val="0"/>
        <c:lblOffset val="1"/>
        <c:tickLblSkip val="1"/>
        <c:noMultiLvlLbl val="0"/>
      </c:catAx>
      <c:valAx>
        <c:axId val="37601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4004051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95"/>
          <c:w val="0.736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C3C3C"/>
                </a:solidFill>
              </a:rPr>
              <a:t>Punto de Equilibrio AÑO 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5"/>
          <c:w val="0.9805"/>
          <c:h val="0.835"/>
        </c:manualLayout>
      </c:layout>
      <c:lineChart>
        <c:grouping val="standard"/>
        <c:varyColors val="0"/>
        <c:ser>
          <c:idx val="1"/>
          <c:order val="0"/>
          <c:tx>
            <c:strRef>
              <c:f>'E-Costos'!$C$180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'E-Costos'!$C$181:$C$191</c:f>
              <c:numCache/>
            </c:numRef>
          </c:val>
          <c:smooth val="0"/>
        </c:ser>
        <c:ser>
          <c:idx val="2"/>
          <c:order val="1"/>
          <c:tx>
            <c:strRef>
              <c:f>'E-Costos'!$D$180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'E-Costos'!$D$181:$D$191</c:f>
              <c:numCache/>
            </c:numRef>
          </c:val>
          <c:smooth val="0"/>
        </c:ser>
        <c:ser>
          <c:idx val="3"/>
          <c:order val="2"/>
          <c:tx>
            <c:strRef>
              <c:f>'E-Costos'!$E$180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'E-Costos'!$E$181:$E$191</c:f>
              <c:numCache/>
            </c:numRef>
          </c:val>
          <c:smooth val="0"/>
        </c:ser>
        <c:ser>
          <c:idx val="4"/>
          <c:order val="3"/>
          <c:tx>
            <c:strRef>
              <c:f>'E-Costos'!$F$180</c:f>
              <c:strCache>
                <c:ptCount val="1"/>
                <c:pt idx="0">
                  <c:v>Ventas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'E-Costos'!$F$181:$F$191</c:f>
              <c:numCache/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5782454"/>
        <c:crossesAt val="0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286471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75"/>
          <c:w val="0.694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151</xdr:row>
      <xdr:rowOff>114300</xdr:rowOff>
    </xdr:from>
    <xdr:to>
      <xdr:col>6</xdr:col>
      <xdr:colOff>1133475</xdr:colOff>
      <xdr:row>176</xdr:row>
      <xdr:rowOff>76200</xdr:rowOff>
    </xdr:to>
    <xdr:graphicFrame>
      <xdr:nvGraphicFramePr>
        <xdr:cNvPr id="1" name="Gráfico 4" descr="% de produccion Q"/>
        <xdr:cNvGraphicFramePr/>
      </xdr:nvGraphicFramePr>
      <xdr:xfrm>
        <a:off x="2638425" y="24717375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192</xdr:row>
      <xdr:rowOff>0</xdr:rowOff>
    </xdr:from>
    <xdr:to>
      <xdr:col>7</xdr:col>
      <xdr:colOff>142875</xdr:colOff>
      <xdr:row>214</xdr:row>
      <xdr:rowOff>76200</xdr:rowOff>
    </xdr:to>
    <xdr:graphicFrame>
      <xdr:nvGraphicFramePr>
        <xdr:cNvPr id="2" name="Gráfico 5"/>
        <xdr:cNvGraphicFramePr/>
      </xdr:nvGraphicFramePr>
      <xdr:xfrm>
        <a:off x="2886075" y="31280100"/>
        <a:ext cx="6105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42.28125" style="0" customWidth="1"/>
    <col min="4" max="4" width="17.421875" style="0" customWidth="1"/>
  </cols>
  <sheetData>
    <row r="1" spans="1:5" ht="12.75">
      <c r="A1" s="1" t="s">
        <v>0</v>
      </c>
      <c r="E1" s="2"/>
    </row>
    <row r="3" spans="1:2" ht="12.75">
      <c r="A3" s="3" t="s">
        <v>1</v>
      </c>
      <c r="B3" s="4">
        <v>0.21</v>
      </c>
    </row>
    <row r="4" spans="1:2" ht="12.75">
      <c r="A4" s="3" t="s">
        <v>2</v>
      </c>
      <c r="B4" s="4">
        <v>0.35</v>
      </c>
    </row>
    <row r="5" spans="1:7" ht="12.75">
      <c r="A5" s="3" t="s">
        <v>3</v>
      </c>
      <c r="B5" s="4">
        <v>0.07</v>
      </c>
      <c r="C5" t="s">
        <v>4</v>
      </c>
      <c r="G5" s="5"/>
    </row>
    <row r="7" spans="1:2" ht="12.75">
      <c r="A7" s="3" t="s">
        <v>5</v>
      </c>
      <c r="B7" t="s">
        <v>6</v>
      </c>
    </row>
    <row r="8" spans="1:3" ht="12.75">
      <c r="A8" s="6" t="s">
        <v>7</v>
      </c>
      <c r="B8" s="7">
        <v>30</v>
      </c>
      <c r="C8" t="s">
        <v>8</v>
      </c>
    </row>
    <row r="9" spans="1:3" ht="12.75">
      <c r="A9" s="6" t="s">
        <v>9</v>
      </c>
      <c r="B9" s="7">
        <v>10</v>
      </c>
      <c r="C9" t="s">
        <v>8</v>
      </c>
    </row>
    <row r="10" spans="1:3" ht="12.75">
      <c r="A10" s="6" t="s">
        <v>10</v>
      </c>
      <c r="B10" s="7">
        <v>10</v>
      </c>
      <c r="C10" t="s">
        <v>8</v>
      </c>
    </row>
    <row r="11" spans="1:3" ht="12.75">
      <c r="A11" s="6" t="s">
        <v>11</v>
      </c>
      <c r="B11" s="7">
        <v>5</v>
      </c>
      <c r="C11" t="s">
        <v>8</v>
      </c>
    </row>
    <row r="12" spans="1:3" ht="12.75">
      <c r="A12" s="6" t="s">
        <v>12</v>
      </c>
      <c r="B12" s="7">
        <v>5</v>
      </c>
      <c r="C12" t="s">
        <v>8</v>
      </c>
    </row>
    <row r="13" spans="1:3" ht="12.75">
      <c r="A13" s="6" t="s">
        <v>13</v>
      </c>
      <c r="B13" s="7">
        <v>3</v>
      </c>
      <c r="C13" t="s">
        <v>8</v>
      </c>
    </row>
    <row r="14" spans="1:3" ht="12.75">
      <c r="A14" s="6" t="s">
        <v>14</v>
      </c>
      <c r="B14" s="7">
        <v>5</v>
      </c>
      <c r="C14" t="s">
        <v>8</v>
      </c>
    </row>
    <row r="15" spans="1:2" ht="12.75">
      <c r="A15" s="6" t="s">
        <v>15</v>
      </c>
      <c r="B15" s="8">
        <v>0.09</v>
      </c>
    </row>
    <row r="17" spans="1:7" ht="12.75">
      <c r="A17" s="3" t="s">
        <v>16</v>
      </c>
      <c r="B17" s="9" t="s">
        <v>383</v>
      </c>
      <c r="C17" s="10"/>
      <c r="D17" s="10"/>
      <c r="E17" s="10"/>
      <c r="F17" s="10"/>
      <c r="G17" s="11"/>
    </row>
    <row r="19" spans="1:3" ht="12.75">
      <c r="A19" s="3" t="s">
        <v>17</v>
      </c>
      <c r="B19" s="12">
        <v>5000</v>
      </c>
      <c r="C19" t="s">
        <v>18</v>
      </c>
    </row>
    <row r="20" spans="1:3" ht="12.75">
      <c r="A20" s="3" t="s">
        <v>19</v>
      </c>
      <c r="B20" s="12">
        <v>3000</v>
      </c>
      <c r="C20" t="s">
        <v>20</v>
      </c>
    </row>
    <row r="22" ht="12.75">
      <c r="A22" s="3" t="s">
        <v>21</v>
      </c>
    </row>
    <row r="23" spans="1:3" ht="12.75">
      <c r="A23" s="3" t="s">
        <v>22</v>
      </c>
      <c r="B23" s="12">
        <v>9</v>
      </c>
      <c r="C23" t="s">
        <v>23</v>
      </c>
    </row>
    <row r="24" spans="1:3" ht="12.75">
      <c r="A24" s="3" t="s">
        <v>24</v>
      </c>
      <c r="B24" s="12">
        <v>7</v>
      </c>
      <c r="C24" t="s">
        <v>23</v>
      </c>
    </row>
    <row r="25" spans="1:3" ht="12.75">
      <c r="A25" s="3" t="s">
        <v>25</v>
      </c>
      <c r="B25" s="12">
        <v>7</v>
      </c>
      <c r="C25" t="s">
        <v>23</v>
      </c>
    </row>
    <row r="27" spans="1:3" ht="12.75">
      <c r="A27" s="3" t="s">
        <v>26</v>
      </c>
      <c r="B27" s="12">
        <v>154</v>
      </c>
      <c r="C27" t="s">
        <v>27</v>
      </c>
    </row>
    <row r="28" spans="1:3" ht="12.75">
      <c r="A28" s="3" t="s">
        <v>28</v>
      </c>
      <c r="B28" s="12">
        <v>12</v>
      </c>
      <c r="C28" t="s">
        <v>29</v>
      </c>
    </row>
    <row r="29" spans="1:3" ht="12.75">
      <c r="A29" s="3" t="s">
        <v>30</v>
      </c>
      <c r="B29" s="12">
        <v>3</v>
      </c>
      <c r="C29" t="s">
        <v>29</v>
      </c>
    </row>
    <row r="32" spans="1:5" ht="12.75">
      <c r="A32" s="3" t="s">
        <v>31</v>
      </c>
      <c r="B32" s="12">
        <v>15</v>
      </c>
      <c r="C32" t="s">
        <v>32</v>
      </c>
      <c r="D32" s="12">
        <v>1</v>
      </c>
      <c r="E32" t="s">
        <v>33</v>
      </c>
    </row>
    <row r="33" ht="12.75">
      <c r="A33" s="13"/>
    </row>
    <row r="34" ht="12.75">
      <c r="A34" s="13"/>
    </row>
    <row r="35" spans="1:7" ht="12.75">
      <c r="A35" s="3" t="s">
        <v>34</v>
      </c>
      <c r="B35" s="14">
        <v>18</v>
      </c>
      <c r="C35" t="s">
        <v>35</v>
      </c>
      <c r="G35" s="5" t="s">
        <v>36</v>
      </c>
    </row>
    <row r="36" spans="1:4" ht="12.75">
      <c r="A36" s="3" t="s">
        <v>37</v>
      </c>
      <c r="B36" s="241" t="s">
        <v>332</v>
      </c>
      <c r="C36" s="242"/>
      <c r="D36" s="243"/>
    </row>
    <row r="37" spans="1:2" ht="12.75">
      <c r="A37" s="3" t="s">
        <v>38</v>
      </c>
      <c r="B37" s="15">
        <v>80</v>
      </c>
    </row>
    <row r="38" ht="12.75">
      <c r="A38" s="3"/>
    </row>
    <row r="39" spans="1:2" ht="12.75">
      <c r="A39" s="3" t="s">
        <v>39</v>
      </c>
      <c r="B39" s="12">
        <v>30</v>
      </c>
    </row>
    <row r="40" spans="1:2" ht="12.75">
      <c r="A40" s="3" t="s">
        <v>40</v>
      </c>
      <c r="B40" s="12">
        <v>50</v>
      </c>
    </row>
    <row r="41" spans="1:3" ht="12.75">
      <c r="A41" s="3" t="s">
        <v>41</v>
      </c>
      <c r="B41" s="12">
        <v>10</v>
      </c>
      <c r="C41" t="s">
        <v>35</v>
      </c>
    </row>
    <row r="1273" ht="12.75">
      <c r="H1273" s="5" t="s">
        <v>42</v>
      </c>
    </row>
  </sheetData>
  <sheetProtection selectLockedCells="1" selectUnlockedCells="1"/>
  <printOptions/>
  <pageMargins left="0.75" right="0.75" top="0.7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C1">
      <selection activeCell="F1" sqref="F1"/>
    </sheetView>
  </sheetViews>
  <sheetFormatPr defaultColWidth="11.421875" defaultRowHeight="12.75"/>
  <cols>
    <col min="1" max="1" width="32.14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6" ht="12.75">
      <c r="A1" s="1" t="s">
        <v>0</v>
      </c>
      <c r="B1"/>
      <c r="C1"/>
      <c r="D1"/>
      <c r="E1" s="143"/>
      <c r="F1" s="2">
        <f>InfoInicial!E1</f>
        <v>0</v>
      </c>
    </row>
    <row r="2" spans="1:7" ht="15.75">
      <c r="A2" s="176" t="s">
        <v>270</v>
      </c>
      <c r="B2" s="177"/>
      <c r="C2" s="177"/>
      <c r="D2" s="177"/>
      <c r="E2" s="177"/>
      <c r="F2" s="177"/>
      <c r="G2" s="178"/>
    </row>
    <row r="3" spans="1:7" ht="12.75">
      <c r="A3" s="179" t="s">
        <v>88</v>
      </c>
      <c r="B3" s="180" t="s">
        <v>48</v>
      </c>
      <c r="C3" s="180" t="s">
        <v>89</v>
      </c>
      <c r="D3" s="180" t="s">
        <v>90</v>
      </c>
      <c r="E3" s="180" t="s">
        <v>91</v>
      </c>
      <c r="F3" s="181" t="s">
        <v>92</v>
      </c>
      <c r="G3" s="182" t="s">
        <v>192</v>
      </c>
    </row>
    <row r="4" spans="1:7" ht="12.75">
      <c r="A4" s="175" t="s">
        <v>271</v>
      </c>
      <c r="B4" s="63"/>
      <c r="C4" s="63"/>
      <c r="D4" s="63"/>
      <c r="E4" s="63"/>
      <c r="F4" s="115"/>
      <c r="G4" s="64"/>
    </row>
    <row r="5" spans="1:7" ht="12.75">
      <c r="A5" s="175" t="s">
        <v>272</v>
      </c>
      <c r="B5" s="63"/>
      <c r="C5" s="63"/>
      <c r="D5" s="63"/>
      <c r="E5" s="63"/>
      <c r="F5" s="115"/>
      <c r="G5" s="64"/>
    </row>
    <row r="6" spans="1:7" ht="12.75">
      <c r="A6" s="175" t="s">
        <v>273</v>
      </c>
      <c r="B6" s="63"/>
      <c r="C6" s="63"/>
      <c r="D6" s="63"/>
      <c r="E6" s="63"/>
      <c r="F6" s="115"/>
      <c r="G6" s="64"/>
    </row>
    <row r="7" spans="1:7" ht="12.75">
      <c r="A7" s="175" t="s">
        <v>114</v>
      </c>
      <c r="B7" s="86"/>
      <c r="C7" s="86"/>
      <c r="D7" s="86"/>
      <c r="E7" s="86"/>
      <c r="F7" s="116"/>
      <c r="G7" s="87"/>
    </row>
    <row r="8" spans="1:7" ht="12.75">
      <c r="A8" s="175" t="s">
        <v>274</v>
      </c>
      <c r="B8" s="63"/>
      <c r="C8" s="63"/>
      <c r="D8" s="63"/>
      <c r="E8" s="63"/>
      <c r="F8" s="115"/>
      <c r="G8" s="64"/>
    </row>
    <row r="9" spans="1:7" ht="12.75">
      <c r="A9" s="175" t="s">
        <v>275</v>
      </c>
      <c r="B9" s="63"/>
      <c r="C9" s="63"/>
      <c r="D9" s="63"/>
      <c r="E9" s="63"/>
      <c r="F9" s="115"/>
      <c r="G9" s="64"/>
    </row>
    <row r="10" spans="1:7" ht="12.75">
      <c r="A10" s="175" t="s">
        <v>276</v>
      </c>
      <c r="B10" s="63"/>
      <c r="C10" s="63"/>
      <c r="D10" s="63"/>
      <c r="E10" s="63"/>
      <c r="F10" s="115"/>
      <c r="G10" s="64"/>
    </row>
    <row r="11" spans="1:7" ht="12.75">
      <c r="A11" s="183" t="s">
        <v>277</v>
      </c>
      <c r="B11" s="63"/>
      <c r="C11" s="63"/>
      <c r="D11" s="63"/>
      <c r="E11" s="63"/>
      <c r="F11" s="115"/>
      <c r="G11" s="64"/>
    </row>
    <row r="12" spans="1:7" ht="12.75">
      <c r="A12" s="175" t="s">
        <v>278</v>
      </c>
      <c r="B12" s="63"/>
      <c r="C12" s="63"/>
      <c r="D12" s="63"/>
      <c r="E12" s="63"/>
      <c r="F12" s="115"/>
      <c r="G12" s="64"/>
    </row>
    <row r="13" spans="1:7" ht="12.75">
      <c r="A13" s="184" t="s">
        <v>279</v>
      </c>
      <c r="B13" s="63"/>
      <c r="C13" s="63"/>
      <c r="D13" s="63"/>
      <c r="E13" s="63"/>
      <c r="F13" s="115"/>
      <c r="G13" s="64"/>
    </row>
    <row r="14" spans="1:7" ht="12.75">
      <c r="A14" s="185" t="s">
        <v>280</v>
      </c>
      <c r="B14" s="69"/>
      <c r="C14" s="69"/>
      <c r="D14" s="69"/>
      <c r="E14" s="69"/>
      <c r="F14" s="117"/>
      <c r="G14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4.421875" style="175" customWidth="1"/>
    <col min="2" max="4" width="14.00390625" style="175" customWidth="1"/>
    <col min="5" max="250" width="11.421875" style="175" customWidth="1"/>
  </cols>
  <sheetData>
    <row r="1" spans="1:5" ht="12.75">
      <c r="A1" s="1" t="s">
        <v>0</v>
      </c>
      <c r="B1"/>
      <c r="C1"/>
      <c r="D1">
        <f>InfoInicial!E1</f>
        <v>0</v>
      </c>
      <c r="E1" s="2"/>
    </row>
    <row r="2" spans="1:4" ht="15.75">
      <c r="A2" s="176" t="s">
        <v>281</v>
      </c>
      <c r="B2" s="177"/>
      <c r="C2" s="177"/>
      <c r="D2" s="178"/>
    </row>
    <row r="3" spans="1:4" ht="12.75">
      <c r="A3" s="179" t="s">
        <v>88</v>
      </c>
      <c r="B3" s="186" t="s">
        <v>47</v>
      </c>
      <c r="C3" s="186" t="s">
        <v>48</v>
      </c>
      <c r="D3" s="182" t="s">
        <v>192</v>
      </c>
    </row>
    <row r="4" spans="1:4" ht="12.75">
      <c r="A4" s="183" t="s">
        <v>282</v>
      </c>
      <c r="B4" s="86"/>
      <c r="C4" s="86"/>
      <c r="D4" s="87"/>
    </row>
    <row r="5" spans="2:4" ht="12.75">
      <c r="B5" s="63"/>
      <c r="C5" s="63"/>
      <c r="D5" s="64"/>
    </row>
    <row r="6" spans="1:4" ht="12.75">
      <c r="A6" s="175" t="s">
        <v>283</v>
      </c>
      <c r="B6" s="63"/>
      <c r="C6" s="63"/>
      <c r="D6" s="64"/>
    </row>
    <row r="7" spans="1:4" ht="12.75">
      <c r="A7" s="175" t="s">
        <v>284</v>
      </c>
      <c r="B7" s="63"/>
      <c r="C7" s="63"/>
      <c r="D7" s="64"/>
    </row>
    <row r="8" spans="1:4" ht="12.75">
      <c r="A8" s="183" t="s">
        <v>285</v>
      </c>
      <c r="B8" s="63"/>
      <c r="C8" s="63"/>
      <c r="D8" s="64"/>
    </row>
    <row r="9" spans="1:4" ht="12.75">
      <c r="A9" s="184" t="s">
        <v>286</v>
      </c>
      <c r="B9" s="63"/>
      <c r="C9" s="63"/>
      <c r="D9" s="64"/>
    </row>
    <row r="10" spans="1:4" ht="12.75">
      <c r="A10" s="183" t="s">
        <v>287</v>
      </c>
      <c r="B10" s="63"/>
      <c r="C10" s="63"/>
      <c r="D10" s="64"/>
    </row>
    <row r="11" spans="1:4" ht="12.75">
      <c r="A11" s="183" t="s">
        <v>288</v>
      </c>
      <c r="B11" s="86"/>
      <c r="C11" s="86"/>
      <c r="D11" s="87"/>
    </row>
    <row r="12" spans="1:4" ht="12.75">
      <c r="A12" s="184" t="s">
        <v>289</v>
      </c>
      <c r="B12" s="63"/>
      <c r="C12" s="63"/>
      <c r="D12" s="64"/>
    </row>
    <row r="13" spans="1:4" ht="12.75">
      <c r="A13" s="175" t="s">
        <v>290</v>
      </c>
      <c r="B13" s="63"/>
      <c r="C13" s="63"/>
      <c r="D13" s="64"/>
    </row>
    <row r="14" spans="1:4" ht="12.75">
      <c r="A14" s="175" t="s">
        <v>291</v>
      </c>
      <c r="B14" s="63"/>
      <c r="C14" s="63"/>
      <c r="D14" s="64"/>
    </row>
    <row r="15" spans="1:4" ht="12.75">
      <c r="A15" s="183" t="s">
        <v>292</v>
      </c>
      <c r="B15" s="63"/>
      <c r="C15" s="63"/>
      <c r="D15" s="64"/>
    </row>
    <row r="16" spans="1:4" ht="12.75">
      <c r="A16" s="175" t="s">
        <v>114</v>
      </c>
      <c r="B16" s="86"/>
      <c r="C16" s="86"/>
      <c r="D16" s="87"/>
    </row>
    <row r="17" spans="1:4" ht="12.75">
      <c r="A17" s="175" t="s">
        <v>293</v>
      </c>
      <c r="B17" s="63"/>
      <c r="C17" s="63"/>
      <c r="D17" s="64"/>
    </row>
    <row r="18" spans="1:4" ht="12.75">
      <c r="A18" s="175" t="s">
        <v>294</v>
      </c>
      <c r="B18" s="63"/>
      <c r="C18" s="63"/>
      <c r="D18" s="64"/>
    </row>
    <row r="19" spans="1:4" ht="12.75">
      <c r="A19" s="175" t="s">
        <v>295</v>
      </c>
      <c r="B19" s="63"/>
      <c r="C19" s="63"/>
      <c r="D19" s="64"/>
    </row>
    <row r="20" spans="1:4" ht="12.75">
      <c r="A20" s="183" t="s">
        <v>296</v>
      </c>
      <c r="B20" s="63"/>
      <c r="C20" s="63"/>
      <c r="D20" s="64"/>
    </row>
    <row r="21" spans="1:4" ht="12.75">
      <c r="A21" s="175" t="s">
        <v>297</v>
      </c>
      <c r="B21" s="63"/>
      <c r="C21" s="63"/>
      <c r="D21" s="64"/>
    </row>
    <row r="22" spans="1:4" ht="12.75">
      <c r="A22" s="183" t="s">
        <v>298</v>
      </c>
      <c r="B22" s="63"/>
      <c r="C22" s="63"/>
      <c r="D22" s="64"/>
    </row>
    <row r="23" spans="1:4" ht="12.75">
      <c r="A23" s="183" t="s">
        <v>299</v>
      </c>
      <c r="B23" s="63"/>
      <c r="C23" s="63"/>
      <c r="D23" s="64"/>
    </row>
    <row r="24" spans="1:4" ht="12.75">
      <c r="A24" s="183" t="s">
        <v>300</v>
      </c>
      <c r="B24" s="86"/>
      <c r="C24" s="86"/>
      <c r="D24" s="87"/>
    </row>
    <row r="25" spans="1:4" ht="12.75">
      <c r="A25" s="175" t="s">
        <v>301</v>
      </c>
      <c r="B25" s="63"/>
      <c r="C25" s="63"/>
      <c r="D25" s="64"/>
    </row>
    <row r="26" spans="1:4" ht="12.75">
      <c r="A26" s="175" t="s">
        <v>302</v>
      </c>
      <c r="B26" s="63"/>
      <c r="C26" s="63"/>
      <c r="D26" s="64"/>
    </row>
    <row r="27" spans="1:5" ht="12.75">
      <c r="A27" s="183" t="s">
        <v>303</v>
      </c>
      <c r="B27" s="63"/>
      <c r="C27" s="63"/>
      <c r="D27" s="64"/>
      <c r="E27" s="187"/>
    </row>
    <row r="28" spans="1:5" ht="12.75">
      <c r="A28" s="183" t="s">
        <v>304</v>
      </c>
      <c r="B28" s="86"/>
      <c r="C28" s="86"/>
      <c r="D28" s="116"/>
      <c r="E28" s="188" t="s">
        <v>305</v>
      </c>
    </row>
    <row r="29" spans="1:5" ht="12.75">
      <c r="A29" s="183" t="s">
        <v>306</v>
      </c>
      <c r="B29" s="63"/>
      <c r="C29" s="63"/>
      <c r="D29" s="115"/>
      <c r="E29" s="89"/>
    </row>
    <row r="30" spans="1:5" ht="12.75">
      <c r="A30" s="183" t="s">
        <v>307</v>
      </c>
      <c r="B30" s="63"/>
      <c r="C30" s="63"/>
      <c r="D30" s="115"/>
      <c r="E30" s="89"/>
    </row>
    <row r="31" spans="1:5" ht="12.75">
      <c r="A31" s="183" t="s">
        <v>308</v>
      </c>
      <c r="B31" s="63"/>
      <c r="C31" s="63"/>
      <c r="D31" s="115"/>
      <c r="E31" s="89"/>
    </row>
    <row r="32" spans="1:5" ht="12.75">
      <c r="A32" s="185" t="s">
        <v>192</v>
      </c>
      <c r="B32" s="69"/>
      <c r="C32" s="69"/>
      <c r="D32" s="117"/>
      <c r="E32" s="82"/>
    </row>
    <row r="34" spans="1:6" ht="15.75">
      <c r="A34" s="176" t="s">
        <v>309</v>
      </c>
      <c r="B34" s="177"/>
      <c r="C34" s="177"/>
      <c r="D34" s="177"/>
      <c r="E34" s="177"/>
      <c r="F34" s="177"/>
    </row>
    <row r="35" spans="1:6" ht="12.75">
      <c r="A35" s="179" t="s">
        <v>88</v>
      </c>
      <c r="B35" s="180" t="s">
        <v>48</v>
      </c>
      <c r="C35" s="180" t="s">
        <v>89</v>
      </c>
      <c r="D35" s="180" t="s">
        <v>90</v>
      </c>
      <c r="E35" s="180" t="s">
        <v>91</v>
      </c>
      <c r="F35" s="180" t="s">
        <v>92</v>
      </c>
    </row>
    <row r="36" spans="1:6" ht="12.75">
      <c r="A36" s="189" t="s">
        <v>154</v>
      </c>
      <c r="B36" s="28"/>
      <c r="C36" s="28"/>
      <c r="D36" s="28"/>
      <c r="E36" s="28"/>
      <c r="F36" s="28"/>
    </row>
    <row r="37" spans="1:6" ht="12.75">
      <c r="A37" s="190" t="s">
        <v>153</v>
      </c>
      <c r="B37" s="28"/>
      <c r="C37" s="28"/>
      <c r="D37" s="28"/>
      <c r="E37" s="28"/>
      <c r="F37" s="28"/>
    </row>
    <row r="38" spans="1:6" ht="12.75">
      <c r="A38" s="189" t="s">
        <v>156</v>
      </c>
      <c r="B38" s="28"/>
      <c r="C38" s="28"/>
      <c r="D38" s="28"/>
      <c r="E38" s="28"/>
      <c r="F38" s="28"/>
    </row>
    <row r="39" spans="1:6" ht="12.75">
      <c r="A39" s="190" t="s">
        <v>155</v>
      </c>
      <c r="B39" s="28"/>
      <c r="C39" s="28"/>
      <c r="D39" s="28"/>
      <c r="E39" s="28"/>
      <c r="F39" s="28"/>
    </row>
    <row r="40" spans="1:6" ht="12.75">
      <c r="A40" s="189" t="s">
        <v>158</v>
      </c>
      <c r="B40" s="28"/>
      <c r="C40" s="28"/>
      <c r="D40" s="28"/>
      <c r="E40" s="28"/>
      <c r="F40" s="28"/>
    </row>
    <row r="41" spans="1:6" ht="12.75">
      <c r="A41" s="190" t="s">
        <v>157</v>
      </c>
      <c r="B41" s="28"/>
      <c r="C41" s="28"/>
      <c r="D41" s="28"/>
      <c r="E41" s="28"/>
      <c r="F41" s="28"/>
    </row>
    <row r="42" spans="1:6" ht="12.75">
      <c r="A42" s="190" t="s">
        <v>310</v>
      </c>
      <c r="B42" s="28"/>
      <c r="C42" s="28"/>
      <c r="D42" s="28"/>
      <c r="E42" s="28"/>
      <c r="F42" s="28"/>
    </row>
    <row r="43" spans="1:6" ht="12.75">
      <c r="A43" s="189" t="s">
        <v>159</v>
      </c>
      <c r="B43" s="28"/>
      <c r="C43" s="28"/>
      <c r="D43" s="28"/>
      <c r="E43" s="28"/>
      <c r="F43" s="28"/>
    </row>
    <row r="44" spans="1:6" ht="12.75">
      <c r="A44" s="191" t="s">
        <v>160</v>
      </c>
      <c r="B44" s="32"/>
      <c r="C44" s="32"/>
      <c r="D44" s="32"/>
      <c r="E44" s="32"/>
      <c r="F44" s="32"/>
    </row>
    <row r="45" ht="15.75">
      <c r="A45" s="192" t="s">
        <v>311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3.0039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7" ht="15.75">
      <c r="A2" s="176" t="s">
        <v>211</v>
      </c>
      <c r="B2" s="177"/>
      <c r="C2" s="177"/>
      <c r="D2" s="177"/>
      <c r="E2" s="177"/>
      <c r="F2" s="177"/>
      <c r="G2" s="178"/>
    </row>
    <row r="3" spans="1:7" ht="15.75">
      <c r="A3" s="193"/>
      <c r="B3" s="194" t="s">
        <v>212</v>
      </c>
      <c r="C3" s="194"/>
      <c r="D3" s="194"/>
      <c r="E3" s="194"/>
      <c r="F3" s="194"/>
      <c r="G3" s="195"/>
    </row>
    <row r="4" spans="1:7" ht="12.75">
      <c r="A4" s="196" t="s">
        <v>88</v>
      </c>
      <c r="B4" s="197" t="s">
        <v>47</v>
      </c>
      <c r="C4" s="180" t="s">
        <v>48</v>
      </c>
      <c r="D4" s="180" t="s">
        <v>89</v>
      </c>
      <c r="E4" s="180" t="s">
        <v>90</v>
      </c>
      <c r="F4" s="180" t="s">
        <v>91</v>
      </c>
      <c r="G4" s="182" t="s">
        <v>92</v>
      </c>
    </row>
    <row r="5" spans="1:7" ht="12.75">
      <c r="A5" s="198" t="s">
        <v>312</v>
      </c>
      <c r="B5" s="124"/>
      <c r="C5" s="107"/>
      <c r="D5" s="107"/>
      <c r="E5" s="107"/>
      <c r="F5" s="107"/>
      <c r="G5" s="108"/>
    </row>
    <row r="6" spans="1:7" ht="12.75">
      <c r="A6" s="199" t="s">
        <v>313</v>
      </c>
      <c r="B6" s="126"/>
      <c r="C6" s="63"/>
      <c r="D6" s="63"/>
      <c r="E6" s="63"/>
      <c r="F6" s="63"/>
      <c r="G6" s="64"/>
    </row>
    <row r="7" spans="1:7" ht="12.75">
      <c r="A7" s="199" t="s">
        <v>314</v>
      </c>
      <c r="B7" s="126"/>
      <c r="C7" s="63"/>
      <c r="D7" s="63"/>
      <c r="E7" s="63"/>
      <c r="F7" s="63"/>
      <c r="G7" s="64"/>
    </row>
    <row r="8" spans="1:7" ht="12.75">
      <c r="A8" s="200" t="s">
        <v>315</v>
      </c>
      <c r="B8" s="126"/>
      <c r="C8" s="63"/>
      <c r="D8" s="63"/>
      <c r="E8" s="63"/>
      <c r="F8" s="63"/>
      <c r="G8" s="64"/>
    </row>
    <row r="9" spans="1:7" ht="12.75">
      <c r="A9" s="200" t="s">
        <v>316</v>
      </c>
      <c r="B9" s="126"/>
      <c r="C9" s="63"/>
      <c r="D9" s="63"/>
      <c r="E9" s="63"/>
      <c r="F9" s="63"/>
      <c r="G9" s="64"/>
    </row>
    <row r="10" spans="1:7" ht="12.75">
      <c r="A10" s="201" t="s">
        <v>317</v>
      </c>
      <c r="B10" s="126"/>
      <c r="C10" s="63"/>
      <c r="D10" s="63"/>
      <c r="E10" s="63"/>
      <c r="F10" s="63"/>
      <c r="G10" s="64"/>
    </row>
    <row r="11" spans="1:7" ht="12.75">
      <c r="A11" s="201"/>
      <c r="B11" s="128"/>
      <c r="C11" s="86"/>
      <c r="D11" s="86"/>
      <c r="E11" s="86"/>
      <c r="F11" s="86"/>
      <c r="G11" s="87"/>
    </row>
    <row r="12" spans="1:7" ht="12.75">
      <c r="A12" s="199" t="s">
        <v>223</v>
      </c>
      <c r="B12" s="126"/>
      <c r="C12" s="63"/>
      <c r="D12" s="63"/>
      <c r="E12" s="63"/>
      <c r="F12" s="63"/>
      <c r="G12" s="64"/>
    </row>
    <row r="13" spans="1:7" ht="12.75">
      <c r="A13" s="199" t="s">
        <v>224</v>
      </c>
      <c r="B13" s="126"/>
      <c r="C13" s="63"/>
      <c r="D13" s="63"/>
      <c r="E13" s="63"/>
      <c r="F13" s="63"/>
      <c r="G13" s="64"/>
    </row>
    <row r="14" spans="1:7" ht="12.75">
      <c r="A14" s="201" t="s">
        <v>318</v>
      </c>
      <c r="B14" s="126"/>
      <c r="C14" s="63"/>
      <c r="D14" s="63"/>
      <c r="E14" s="63"/>
      <c r="F14" s="63"/>
      <c r="G14" s="64"/>
    </row>
    <row r="15" spans="1:7" ht="12.75">
      <c r="A15" s="199"/>
      <c r="B15" s="128"/>
      <c r="C15" s="86"/>
      <c r="D15" s="86"/>
      <c r="E15" s="86"/>
      <c r="F15" s="86"/>
      <c r="G15" s="87"/>
    </row>
    <row r="16" spans="1:7" ht="12.75">
      <c r="A16" s="202" t="s">
        <v>319</v>
      </c>
      <c r="B16" s="126"/>
      <c r="C16" s="63"/>
      <c r="D16" s="63"/>
      <c r="E16" s="63"/>
      <c r="F16" s="63"/>
      <c r="G16" s="64"/>
    </row>
    <row r="17" spans="1:7" ht="12.75">
      <c r="A17" s="202" t="s">
        <v>320</v>
      </c>
      <c r="B17" s="126"/>
      <c r="C17" s="63"/>
      <c r="D17" s="63"/>
      <c r="E17" s="63"/>
      <c r="F17" s="63"/>
      <c r="G17" s="64"/>
    </row>
    <row r="18" spans="1:7" ht="12.75">
      <c r="A18" s="201" t="s">
        <v>321</v>
      </c>
      <c r="B18" s="126"/>
      <c r="C18" s="63"/>
      <c r="D18" s="63"/>
      <c r="E18" s="63"/>
      <c r="F18" s="63"/>
      <c r="G18" s="64"/>
    </row>
    <row r="19" spans="1:7" ht="12.75">
      <c r="A19" s="201" t="s">
        <v>322</v>
      </c>
      <c r="B19" s="126"/>
      <c r="C19" s="63"/>
      <c r="D19" s="63"/>
      <c r="E19" s="63"/>
      <c r="F19" s="63"/>
      <c r="G19" s="64"/>
    </row>
    <row r="20" spans="1:7" ht="12.75">
      <c r="A20" s="199"/>
      <c r="B20" s="128"/>
      <c r="C20" s="86"/>
      <c r="D20" s="86"/>
      <c r="E20" s="86"/>
      <c r="F20" s="86"/>
      <c r="G20" s="87"/>
    </row>
    <row r="21" spans="1:7" ht="12.75">
      <c r="A21" s="203" t="s">
        <v>230</v>
      </c>
      <c r="B21" s="131"/>
      <c r="C21" s="69"/>
      <c r="D21" s="69"/>
      <c r="E21" s="69"/>
      <c r="F21" s="69"/>
      <c r="G21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1.00390625" style="204" customWidth="1"/>
    <col min="2" max="8" width="14.8515625" style="204" customWidth="1"/>
    <col min="9" max="9" width="17.421875" style="204" customWidth="1"/>
    <col min="10" max="16384" width="11.421875" style="204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8" ht="15.75">
      <c r="A3" s="205" t="s">
        <v>323</v>
      </c>
      <c r="B3" s="206"/>
      <c r="C3" s="206"/>
      <c r="D3" s="206"/>
      <c r="E3" s="206"/>
      <c r="F3" s="206"/>
      <c r="G3" s="207"/>
      <c r="H3" s="208"/>
    </row>
    <row r="4" spans="1:8" ht="12.75">
      <c r="A4" s="209"/>
      <c r="B4" s="210" t="s">
        <v>47</v>
      </c>
      <c r="C4" s="210" t="s">
        <v>48</v>
      </c>
      <c r="D4" s="210" t="s">
        <v>89</v>
      </c>
      <c r="E4" s="210" t="s">
        <v>90</v>
      </c>
      <c r="F4" s="210" t="s">
        <v>91</v>
      </c>
      <c r="G4" s="211" t="s">
        <v>92</v>
      </c>
      <c r="H4" s="212" t="s">
        <v>192</v>
      </c>
    </row>
    <row r="5" spans="1:8" ht="12.75">
      <c r="A5" s="183" t="s">
        <v>324</v>
      </c>
      <c r="B5" s="93"/>
      <c r="C5" s="93"/>
      <c r="D5" s="93"/>
      <c r="E5" s="93"/>
      <c r="F5" s="93"/>
      <c r="G5" s="213"/>
      <c r="H5" s="94"/>
    </row>
    <row r="6" spans="1:8" ht="12.75">
      <c r="A6" s="175" t="s">
        <v>325</v>
      </c>
      <c r="B6" s="63"/>
      <c r="C6" s="63"/>
      <c r="D6" s="63"/>
      <c r="E6" s="63"/>
      <c r="F6" s="63"/>
      <c r="G6" s="115"/>
      <c r="H6" s="64"/>
    </row>
    <row r="7" spans="1:8" ht="12.75">
      <c r="A7" s="175" t="s">
        <v>326</v>
      </c>
      <c r="B7" s="214"/>
      <c r="C7" s="214"/>
      <c r="D7" s="214"/>
      <c r="E7" s="214"/>
      <c r="F7" s="214"/>
      <c r="G7" s="215"/>
      <c r="H7" s="216"/>
    </row>
    <row r="8" spans="1:8" ht="12.75">
      <c r="A8" s="175" t="s">
        <v>327</v>
      </c>
      <c r="B8" s="63"/>
      <c r="C8" s="63"/>
      <c r="D8" s="63"/>
      <c r="E8" s="63"/>
      <c r="F8" s="63"/>
      <c r="G8" s="115"/>
      <c r="H8" s="64"/>
    </row>
    <row r="9" spans="1:8" ht="12.75">
      <c r="A9" s="175" t="s">
        <v>328</v>
      </c>
      <c r="B9" s="214"/>
      <c r="C9" s="214"/>
      <c r="D9" s="214"/>
      <c r="E9" s="214"/>
      <c r="F9" s="214"/>
      <c r="G9" s="215"/>
      <c r="H9" s="216"/>
    </row>
    <row r="10" spans="1:8" ht="12.75">
      <c r="A10" s="175" t="s">
        <v>329</v>
      </c>
      <c r="B10" s="63"/>
      <c r="C10" s="63"/>
      <c r="D10" s="63"/>
      <c r="E10" s="63"/>
      <c r="F10" s="63"/>
      <c r="G10" s="115"/>
      <c r="H10" s="64"/>
    </row>
    <row r="11" spans="1:8" ht="12.75">
      <c r="A11" s="175" t="s">
        <v>330</v>
      </c>
      <c r="B11" s="93"/>
      <c r="C11" s="93"/>
      <c r="D11" s="93"/>
      <c r="E11" s="93"/>
      <c r="F11" s="93"/>
      <c r="G11" s="213"/>
      <c r="H11" s="94"/>
    </row>
    <row r="12" spans="1:8" ht="12.75">
      <c r="A12" s="175"/>
      <c r="B12" s="63"/>
      <c r="C12" s="63"/>
      <c r="D12" s="63"/>
      <c r="E12" s="63"/>
      <c r="F12" s="63"/>
      <c r="G12" s="115"/>
      <c r="H12" s="64"/>
    </row>
    <row r="13" spans="1:8" ht="12.75">
      <c r="A13" s="183" t="s">
        <v>331</v>
      </c>
      <c r="B13" s="63"/>
      <c r="C13" s="63"/>
      <c r="D13" s="63"/>
      <c r="E13" s="63"/>
      <c r="F13" s="63"/>
      <c r="G13" s="115"/>
      <c r="H13" s="64"/>
    </row>
    <row r="14" spans="1:8" ht="12.75">
      <c r="A14" s="175" t="s">
        <v>332</v>
      </c>
      <c r="B14" s="214"/>
      <c r="C14" s="214"/>
      <c r="D14" s="214"/>
      <c r="E14" s="214"/>
      <c r="F14" s="214"/>
      <c r="G14" s="215"/>
      <c r="H14" s="216"/>
    </row>
    <row r="15" spans="1:8" ht="12.75">
      <c r="A15" s="175" t="s">
        <v>255</v>
      </c>
      <c r="B15" s="63"/>
      <c r="C15" s="63"/>
      <c r="D15" s="63"/>
      <c r="E15" s="63"/>
      <c r="F15" s="63"/>
      <c r="G15" s="115"/>
      <c r="H15" s="64"/>
    </row>
    <row r="16" spans="1:8" ht="12.75">
      <c r="A16" s="175" t="s">
        <v>333</v>
      </c>
      <c r="B16" s="63"/>
      <c r="C16" s="63"/>
      <c r="D16" s="63"/>
      <c r="E16" s="63"/>
      <c r="F16" s="63"/>
      <c r="G16" s="115"/>
      <c r="H16" s="64"/>
    </row>
    <row r="17" spans="1:8" ht="12.75">
      <c r="A17" s="175" t="s">
        <v>334</v>
      </c>
      <c r="B17" s="63"/>
      <c r="C17" s="63"/>
      <c r="D17" s="63"/>
      <c r="E17" s="63"/>
      <c r="F17" s="63"/>
      <c r="G17" s="115"/>
      <c r="H17" s="64"/>
    </row>
    <row r="18" spans="1:8" ht="12.75">
      <c r="A18" s="175" t="s">
        <v>335</v>
      </c>
      <c r="B18" s="214"/>
      <c r="C18" s="214"/>
      <c r="D18" s="214"/>
      <c r="E18" s="214"/>
      <c r="F18" s="214"/>
      <c r="G18" s="215"/>
      <c r="H18" s="216"/>
    </row>
    <row r="19" spans="1:8" ht="12.75">
      <c r="A19" s="175" t="s">
        <v>336</v>
      </c>
      <c r="B19" s="63"/>
      <c r="C19" s="63"/>
      <c r="D19" s="63"/>
      <c r="E19" s="63"/>
      <c r="F19" s="63"/>
      <c r="G19" s="115"/>
      <c r="H19" s="64"/>
    </row>
    <row r="20" spans="1:8" ht="12.75">
      <c r="A20" s="175" t="s">
        <v>337</v>
      </c>
      <c r="B20" s="214"/>
      <c r="C20" s="214"/>
      <c r="D20" s="214"/>
      <c r="E20" s="214"/>
      <c r="F20" s="214"/>
      <c r="G20" s="215"/>
      <c r="H20" s="216"/>
    </row>
    <row r="21" spans="1:8" ht="12.75">
      <c r="A21" s="175" t="s">
        <v>338</v>
      </c>
      <c r="B21" s="63"/>
      <c r="C21" s="63"/>
      <c r="D21" s="63"/>
      <c r="E21" s="63"/>
      <c r="F21" s="63"/>
      <c r="G21" s="115"/>
      <c r="H21" s="64"/>
    </row>
    <row r="22" spans="1:8" ht="12.75">
      <c r="A22" s="175" t="s">
        <v>339</v>
      </c>
      <c r="B22" s="93"/>
      <c r="C22" s="93"/>
      <c r="D22" s="93"/>
      <c r="E22" s="93"/>
      <c r="F22" s="93"/>
      <c r="G22" s="213"/>
      <c r="H22" s="94"/>
    </row>
    <row r="23" spans="1:8" ht="12.75">
      <c r="A23" s="175"/>
      <c r="B23" s="86"/>
      <c r="C23" s="86"/>
      <c r="D23" s="86"/>
      <c r="E23" s="86"/>
      <c r="F23" s="86"/>
      <c r="G23" s="116"/>
      <c r="H23" s="87"/>
    </row>
    <row r="24" spans="1:8" ht="12.75">
      <c r="A24" s="183" t="s">
        <v>340</v>
      </c>
      <c r="B24" s="63"/>
      <c r="C24" s="63"/>
      <c r="D24" s="63"/>
      <c r="E24" s="63"/>
      <c r="F24" s="63"/>
      <c r="G24" s="115"/>
      <c r="H24" s="64"/>
    </row>
    <row r="25" spans="1:8" ht="12.75">
      <c r="A25" s="183" t="s">
        <v>341</v>
      </c>
      <c r="B25" s="63"/>
      <c r="C25" s="63"/>
      <c r="D25" s="63"/>
      <c r="E25" s="63"/>
      <c r="F25" s="63"/>
      <c r="G25" s="115"/>
      <c r="H25" s="64"/>
    </row>
    <row r="26" spans="1:8" ht="12.75">
      <c r="A26" s="183"/>
      <c r="B26" s="86"/>
      <c r="C26" s="86"/>
      <c r="D26" s="86"/>
      <c r="E26" s="86"/>
      <c r="F26" s="86"/>
      <c r="G26" s="116"/>
      <c r="H26" s="87"/>
    </row>
    <row r="27" spans="1:8" ht="12.75">
      <c r="A27" s="183" t="s">
        <v>342</v>
      </c>
      <c r="B27" s="95"/>
      <c r="C27" s="95"/>
      <c r="D27" s="95"/>
      <c r="E27" s="95"/>
      <c r="F27" s="95"/>
      <c r="G27" s="217"/>
      <c r="H27" s="96"/>
    </row>
    <row r="28" spans="1:14" ht="12.75">
      <c r="A28" s="191" t="s">
        <v>343</v>
      </c>
      <c r="B28" s="32"/>
      <c r="C28" s="32"/>
      <c r="D28" s="32"/>
      <c r="E28" s="32"/>
      <c r="F28" s="32"/>
      <c r="G28" s="218"/>
      <c r="H28" s="53"/>
      <c r="I28" s="175"/>
      <c r="J28" s="175"/>
      <c r="K28" s="175"/>
      <c r="L28" s="175"/>
      <c r="M28" s="175"/>
      <c r="N28" s="175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7.7109375" style="175" customWidth="1"/>
    <col min="2" max="7" width="14.8515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7" ht="15.75">
      <c r="A3" s="205" t="s">
        <v>344</v>
      </c>
      <c r="B3" s="206"/>
      <c r="C3" s="206"/>
      <c r="D3" s="206"/>
      <c r="E3" s="206"/>
      <c r="F3" s="206"/>
      <c r="G3" s="208"/>
    </row>
    <row r="4" spans="1:7" ht="12.75">
      <c r="A4" s="219"/>
      <c r="B4" s="220" t="s">
        <v>47</v>
      </c>
      <c r="C4" s="220" t="s">
        <v>48</v>
      </c>
      <c r="D4" s="220" t="s">
        <v>89</v>
      </c>
      <c r="E4" s="220" t="s">
        <v>90</v>
      </c>
      <c r="F4" s="220" t="s">
        <v>91</v>
      </c>
      <c r="G4" s="221" t="s">
        <v>92</v>
      </c>
    </row>
    <row r="5" spans="1:7" ht="12.75">
      <c r="A5" s="222" t="s">
        <v>345</v>
      </c>
      <c r="B5" s="223"/>
      <c r="C5" s="223"/>
      <c r="D5" s="223"/>
      <c r="E5" s="223"/>
      <c r="F5" s="223"/>
      <c r="G5" s="224"/>
    </row>
    <row r="6" spans="1:7" ht="12.75">
      <c r="A6" s="189" t="s">
        <v>346</v>
      </c>
      <c r="B6" s="86"/>
      <c r="C6" s="86"/>
      <c r="D6" s="86"/>
      <c r="E6" s="86"/>
      <c r="F6" s="86"/>
      <c r="G6" s="87"/>
    </row>
    <row r="7" spans="1:7" ht="12.75">
      <c r="A7" s="209" t="s">
        <v>347</v>
      </c>
      <c r="B7" s="214"/>
      <c r="C7" s="214"/>
      <c r="D7" s="214"/>
      <c r="E7" s="214"/>
      <c r="F7" s="214"/>
      <c r="G7" s="216"/>
    </row>
    <row r="8" spans="1:7" ht="12.75">
      <c r="A8" s="209" t="s">
        <v>348</v>
      </c>
      <c r="B8" s="63"/>
      <c r="C8" s="63"/>
      <c r="D8" s="63"/>
      <c r="E8" s="63"/>
      <c r="F8" s="63"/>
      <c r="G8" s="64"/>
    </row>
    <row r="9" spans="1:7" ht="12.75">
      <c r="A9" s="189" t="s">
        <v>349</v>
      </c>
      <c r="B9" s="214"/>
      <c r="C9" s="214"/>
      <c r="D9" s="214"/>
      <c r="E9" s="214"/>
      <c r="F9" s="214"/>
      <c r="G9" s="216"/>
    </row>
    <row r="10" spans="1:7" ht="12.75">
      <c r="A10" s="189" t="s">
        <v>350</v>
      </c>
      <c r="B10" s="63"/>
      <c r="C10" s="63"/>
      <c r="D10" s="63"/>
      <c r="E10" s="63"/>
      <c r="F10" s="63"/>
      <c r="G10" s="64"/>
    </row>
    <row r="11" spans="1:7" ht="12.75">
      <c r="A11" s="189" t="s">
        <v>351</v>
      </c>
      <c r="B11" s="93"/>
      <c r="C11" s="93"/>
      <c r="D11" s="93"/>
      <c r="E11" s="93"/>
      <c r="F11" s="93"/>
      <c r="G11" s="94"/>
    </row>
    <row r="12" spans="1:7" ht="12.75">
      <c r="A12" s="189" t="s">
        <v>352</v>
      </c>
      <c r="B12" s="93"/>
      <c r="C12" s="93"/>
      <c r="D12" s="93"/>
      <c r="E12" s="93"/>
      <c r="F12" s="93"/>
      <c r="G12" s="94"/>
    </row>
    <row r="13" spans="1:7" ht="12.75">
      <c r="A13" s="189" t="s">
        <v>353</v>
      </c>
      <c r="B13" s="225"/>
      <c r="C13" s="225"/>
      <c r="D13" s="225"/>
      <c r="E13" s="225"/>
      <c r="F13" s="225"/>
      <c r="G13" s="226"/>
    </row>
    <row r="14" spans="1:7" ht="12.75">
      <c r="A14" s="209" t="s">
        <v>354</v>
      </c>
      <c r="B14" s="63"/>
      <c r="C14" s="63"/>
      <c r="D14" s="63"/>
      <c r="E14" s="63"/>
      <c r="F14" s="63"/>
      <c r="G14" s="64"/>
    </row>
    <row r="15" spans="1:7" ht="12.75">
      <c r="A15" s="209" t="s">
        <v>355</v>
      </c>
      <c r="B15" s="214"/>
      <c r="C15" s="214"/>
      <c r="D15" s="214"/>
      <c r="E15" s="214"/>
      <c r="F15" s="214"/>
      <c r="G15" s="216"/>
    </row>
    <row r="16" spans="1:7" ht="12.75">
      <c r="A16" s="209" t="s">
        <v>356</v>
      </c>
      <c r="B16" s="63"/>
      <c r="C16" s="63"/>
      <c r="D16" s="63"/>
      <c r="E16" s="63"/>
      <c r="F16" s="63"/>
      <c r="G16" s="64"/>
    </row>
    <row r="17" spans="1:7" ht="12.75">
      <c r="A17" s="209" t="s">
        <v>357</v>
      </c>
      <c r="B17" s="63"/>
      <c r="C17" s="63"/>
      <c r="D17" s="63"/>
      <c r="E17" s="63"/>
      <c r="F17" s="63"/>
      <c r="G17" s="64"/>
    </row>
    <row r="18" spans="1:7" ht="12.75">
      <c r="A18" s="189" t="s">
        <v>81</v>
      </c>
      <c r="B18" s="214"/>
      <c r="C18" s="214"/>
      <c r="D18" s="214"/>
      <c r="E18" s="214"/>
      <c r="F18" s="214"/>
      <c r="G18" s="216"/>
    </row>
    <row r="19" spans="1:7" ht="12.75">
      <c r="A19" s="209" t="s">
        <v>354</v>
      </c>
      <c r="B19" s="63"/>
      <c r="C19" s="63"/>
      <c r="D19" s="63"/>
      <c r="E19" s="63"/>
      <c r="F19" s="63"/>
      <c r="G19" s="64"/>
    </row>
    <row r="20" spans="1:7" ht="12.75">
      <c r="A20" s="209" t="s">
        <v>358</v>
      </c>
      <c r="B20" s="63"/>
      <c r="C20" s="63"/>
      <c r="D20" s="63"/>
      <c r="E20" s="63"/>
      <c r="F20" s="63"/>
      <c r="G20" s="64"/>
    </row>
    <row r="21" spans="1:7" ht="12.75">
      <c r="A21" s="209" t="s">
        <v>359</v>
      </c>
      <c r="B21" s="63"/>
      <c r="C21" s="63"/>
      <c r="D21" s="63"/>
      <c r="E21" s="63"/>
      <c r="F21" s="63"/>
      <c r="G21" s="64"/>
    </row>
    <row r="22" spans="1:7" ht="12.75">
      <c r="A22" s="209" t="s">
        <v>357</v>
      </c>
      <c r="B22" s="214"/>
      <c r="C22" s="214"/>
      <c r="D22" s="214"/>
      <c r="E22" s="214"/>
      <c r="F22" s="214"/>
      <c r="G22" s="216"/>
    </row>
    <row r="23" spans="1:7" ht="12.75">
      <c r="A23" s="189" t="s">
        <v>360</v>
      </c>
      <c r="B23" s="214"/>
      <c r="C23" s="214"/>
      <c r="D23" s="214"/>
      <c r="E23" s="214"/>
      <c r="F23" s="214"/>
      <c r="G23" s="216"/>
    </row>
    <row r="24" spans="1:7" ht="12.75">
      <c r="A24" s="189" t="s">
        <v>361</v>
      </c>
      <c r="B24" s="214"/>
      <c r="C24" s="214"/>
      <c r="D24" s="214"/>
      <c r="E24" s="214"/>
      <c r="F24" s="214"/>
      <c r="G24" s="216"/>
    </row>
    <row r="25" spans="1:7" ht="12.75">
      <c r="A25" s="189" t="s">
        <v>362</v>
      </c>
      <c r="B25" s="214"/>
      <c r="C25" s="214"/>
      <c r="D25" s="214"/>
      <c r="E25" s="214"/>
      <c r="F25" s="214"/>
      <c r="G25" s="216"/>
    </row>
    <row r="26" spans="1:7" ht="12.75">
      <c r="A26" s="189" t="s">
        <v>363</v>
      </c>
      <c r="B26" s="214"/>
      <c r="C26" s="214"/>
      <c r="D26" s="214"/>
      <c r="E26" s="214"/>
      <c r="F26" s="214"/>
      <c r="G26" s="216"/>
    </row>
    <row r="27" spans="1:7" ht="12.75">
      <c r="A27" s="189" t="s">
        <v>364</v>
      </c>
      <c r="B27" s="63"/>
      <c r="C27" s="63"/>
      <c r="D27" s="63"/>
      <c r="E27" s="63"/>
      <c r="F27" s="63"/>
      <c r="G27" s="64"/>
    </row>
    <row r="28" spans="1:7" ht="12.75">
      <c r="A28" s="189" t="s">
        <v>365</v>
      </c>
      <c r="B28" s="63"/>
      <c r="C28" s="63"/>
      <c r="D28" s="63"/>
      <c r="E28" s="63"/>
      <c r="F28" s="63"/>
      <c r="G28" s="64"/>
    </row>
    <row r="29" spans="1:7" ht="12.75">
      <c r="A29" s="189" t="s">
        <v>364</v>
      </c>
      <c r="B29" s="214"/>
      <c r="C29" s="214"/>
      <c r="D29" s="214"/>
      <c r="E29" s="214"/>
      <c r="F29" s="214"/>
      <c r="G29" s="216"/>
    </row>
    <row r="30" spans="1:7" ht="12.75">
      <c r="A30" s="189" t="s">
        <v>366</v>
      </c>
      <c r="B30" s="63"/>
      <c r="C30" s="63"/>
      <c r="D30" s="63"/>
      <c r="E30" s="63"/>
      <c r="F30" s="63"/>
      <c r="G30" s="64"/>
    </row>
    <row r="31" spans="1:7" ht="12.75">
      <c r="A31" s="189" t="s">
        <v>367</v>
      </c>
      <c r="B31" s="63"/>
      <c r="C31" s="63"/>
      <c r="D31" s="63"/>
      <c r="E31" s="63"/>
      <c r="F31" s="63"/>
      <c r="G31" s="64"/>
    </row>
    <row r="32" spans="1:7" ht="12.75">
      <c r="A32" s="189" t="s">
        <v>368</v>
      </c>
      <c r="B32" s="63"/>
      <c r="C32" s="63"/>
      <c r="D32" s="63"/>
      <c r="E32" s="63"/>
      <c r="F32" s="63"/>
      <c r="G32" s="64"/>
    </row>
    <row r="33" spans="1:7" ht="12.75">
      <c r="A33" s="189" t="s">
        <v>369</v>
      </c>
      <c r="B33" s="214"/>
      <c r="C33" s="214"/>
      <c r="D33" s="214"/>
      <c r="E33" s="214"/>
      <c r="F33" s="214"/>
      <c r="G33" s="216"/>
    </row>
    <row r="34" spans="1:7" ht="12.75">
      <c r="A34" s="189" t="s">
        <v>370</v>
      </c>
      <c r="B34" s="63"/>
      <c r="C34" s="63"/>
      <c r="D34" s="63"/>
      <c r="E34" s="63"/>
      <c r="F34" s="63"/>
      <c r="G34" s="64"/>
    </row>
    <row r="35" spans="1:7" ht="12.75">
      <c r="A35" s="191" t="s">
        <v>371</v>
      </c>
      <c r="B35" s="32"/>
      <c r="C35" s="32"/>
      <c r="D35" s="32"/>
      <c r="E35" s="32"/>
      <c r="F35" s="32"/>
      <c r="G35" s="53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00390625" style="175" customWidth="1"/>
    <col min="2" max="14" width="14.8515625" style="175" customWidth="1"/>
    <col min="15" max="15" width="17.421875" style="175" customWidth="1"/>
    <col min="16" max="16384" width="11.421875" style="175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14" ht="15.75">
      <c r="A3" s="176" t="s">
        <v>372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25.5">
      <c r="A4" s="196" t="s">
        <v>232</v>
      </c>
      <c r="B4" s="197" t="s">
        <v>332</v>
      </c>
      <c r="C4" s="197" t="s">
        <v>373</v>
      </c>
      <c r="D4" s="197" t="s">
        <v>235</v>
      </c>
      <c r="E4" s="197" t="s">
        <v>3</v>
      </c>
      <c r="F4" s="197" t="s">
        <v>236</v>
      </c>
      <c r="G4" s="197" t="s">
        <v>237</v>
      </c>
      <c r="H4" s="197" t="s">
        <v>374</v>
      </c>
      <c r="I4" s="197" t="s">
        <v>375</v>
      </c>
      <c r="J4" s="197" t="s">
        <v>96</v>
      </c>
      <c r="K4" s="197" t="s">
        <v>239</v>
      </c>
      <c r="L4" s="197" t="s">
        <v>240</v>
      </c>
      <c r="M4" s="227" t="s">
        <v>241</v>
      </c>
      <c r="N4" s="228" t="s">
        <v>242</v>
      </c>
    </row>
    <row r="5" spans="1:14" ht="12.75">
      <c r="A5" s="229">
        <v>0</v>
      </c>
      <c r="B5" s="135"/>
      <c r="C5" s="61"/>
      <c r="D5" s="61"/>
      <c r="E5" s="61"/>
      <c r="F5" s="61"/>
      <c r="G5" s="61"/>
      <c r="H5" s="61"/>
      <c r="I5" s="61"/>
      <c r="J5" s="61"/>
      <c r="K5" s="61"/>
      <c r="L5" s="61"/>
      <c r="M5" s="136"/>
      <c r="N5" s="62"/>
    </row>
    <row r="6" spans="1:14" ht="12.75">
      <c r="A6" s="230">
        <v>1</v>
      </c>
      <c r="B6" s="126"/>
      <c r="C6" s="63"/>
      <c r="D6" s="63"/>
      <c r="E6" s="63"/>
      <c r="F6" s="63"/>
      <c r="G6" s="63"/>
      <c r="H6" s="63"/>
      <c r="I6" s="63"/>
      <c r="J6" s="63"/>
      <c r="K6" s="63"/>
      <c r="L6" s="63"/>
      <c r="M6" s="115"/>
      <c r="N6" s="64"/>
    </row>
    <row r="7" spans="1:14" ht="12.75">
      <c r="A7" s="230">
        <v>2</v>
      </c>
      <c r="B7" s="126"/>
      <c r="C7" s="63"/>
      <c r="D7" s="63"/>
      <c r="E7" s="63"/>
      <c r="F7" s="63"/>
      <c r="G7" s="63"/>
      <c r="H7" s="63"/>
      <c r="I7" s="63"/>
      <c r="J7" s="63"/>
      <c r="K7" s="63"/>
      <c r="L7" s="63"/>
      <c r="M7" s="115"/>
      <c r="N7" s="64"/>
    </row>
    <row r="8" spans="1:14" ht="12.75">
      <c r="A8" s="230">
        <v>3</v>
      </c>
      <c r="B8" s="126"/>
      <c r="C8" s="63"/>
      <c r="D8" s="63"/>
      <c r="E8" s="63"/>
      <c r="F8" s="63"/>
      <c r="G8" s="63"/>
      <c r="H8" s="63"/>
      <c r="I8" s="63"/>
      <c r="J8" s="63"/>
      <c r="K8" s="63"/>
      <c r="L8" s="63"/>
      <c r="M8" s="115"/>
      <c r="N8" s="64"/>
    </row>
    <row r="9" spans="1:14" ht="12.75">
      <c r="A9" s="230">
        <v>4</v>
      </c>
      <c r="B9" s="126"/>
      <c r="C9" s="63"/>
      <c r="D9" s="63"/>
      <c r="E9" s="63"/>
      <c r="F9" s="63"/>
      <c r="G9" s="63"/>
      <c r="H9" s="63"/>
      <c r="I9" s="63"/>
      <c r="J9" s="63"/>
      <c r="K9" s="63"/>
      <c r="L9" s="63"/>
      <c r="M9" s="115"/>
      <c r="N9" s="64"/>
    </row>
    <row r="10" spans="1:14" ht="12.75">
      <c r="A10" s="230">
        <v>5</v>
      </c>
      <c r="B10" s="12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5"/>
      <c r="N10" s="64"/>
    </row>
    <row r="11" spans="1:14" ht="12.75">
      <c r="A11" s="230"/>
      <c r="B11" s="12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6"/>
      <c r="N11" s="87"/>
    </row>
    <row r="12" spans="1:14" ht="12.75">
      <c r="A12" s="231" t="s">
        <v>243</v>
      </c>
      <c r="B12" s="13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17"/>
      <c r="N12" s="70"/>
    </row>
    <row r="14" spans="3:4" ht="12.75">
      <c r="C14" s="232" t="s">
        <v>244</v>
      </c>
      <c r="D14" s="140"/>
    </row>
    <row r="15" spans="1:5" ht="12.75">
      <c r="A15" s="183"/>
      <c r="C15" s="232" t="s">
        <v>245</v>
      </c>
      <c r="D15" s="141"/>
      <c r="E15" s="175" t="s">
        <v>246</v>
      </c>
    </row>
    <row r="16" spans="3:4" ht="12.75">
      <c r="C16" s="232" t="s">
        <v>376</v>
      </c>
      <c r="D16" s="142"/>
    </row>
    <row r="17" spans="1:15" ht="12.75">
      <c r="A17" s="233"/>
      <c r="B17" s="234"/>
      <c r="C17" s="234"/>
      <c r="D17" s="234"/>
      <c r="E17" s="235"/>
      <c r="F17" s="236"/>
      <c r="G17" s="236"/>
      <c r="H17" s="236"/>
      <c r="I17" s="236"/>
      <c r="J17" s="234"/>
      <c r="K17" s="236"/>
      <c r="L17" s="236"/>
      <c r="M17" s="236"/>
      <c r="N17" s="236"/>
      <c r="O17" s="234"/>
    </row>
    <row r="18" spans="1:14" ht="15.75">
      <c r="A18" s="237"/>
      <c r="B18" s="236"/>
      <c r="C18" s="238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</row>
    <row r="20" ht="12.75">
      <c r="A20" s="240"/>
    </row>
    <row r="21" spans="1:8" ht="15.75">
      <c r="A21" s="176" t="s">
        <v>377</v>
      </c>
      <c r="B21" s="177"/>
      <c r="C21" s="177"/>
      <c r="D21" s="177"/>
      <c r="E21" s="177"/>
      <c r="F21" s="177"/>
      <c r="G21" s="177"/>
      <c r="H21" s="178"/>
    </row>
    <row r="22" spans="1:8" ht="38.25">
      <c r="A22" s="196" t="s">
        <v>232</v>
      </c>
      <c r="B22" s="197" t="s">
        <v>378</v>
      </c>
      <c r="C22" s="197" t="s">
        <v>237</v>
      </c>
      <c r="D22" s="197" t="s">
        <v>337</v>
      </c>
      <c r="E22" s="197" t="s">
        <v>379</v>
      </c>
      <c r="F22" s="197" t="s">
        <v>240</v>
      </c>
      <c r="G22" s="227" t="s">
        <v>241</v>
      </c>
      <c r="H22" s="228" t="s">
        <v>242</v>
      </c>
    </row>
    <row r="23" spans="1:8" ht="12.75">
      <c r="A23" s="229">
        <v>0</v>
      </c>
      <c r="B23" s="135"/>
      <c r="C23" s="61"/>
      <c r="D23" s="61"/>
      <c r="E23" s="61"/>
      <c r="F23" s="61"/>
      <c r="G23" s="136"/>
      <c r="H23" s="62"/>
    </row>
    <row r="24" spans="1:8" ht="12.75">
      <c r="A24" s="230">
        <v>1</v>
      </c>
      <c r="B24" s="126"/>
      <c r="C24" s="63"/>
      <c r="D24" s="63"/>
      <c r="E24" s="63"/>
      <c r="F24" s="63"/>
      <c r="G24" s="115"/>
      <c r="H24" s="64"/>
    </row>
    <row r="25" spans="1:8" ht="12.75">
      <c r="A25" s="230">
        <v>2</v>
      </c>
      <c r="B25" s="126"/>
      <c r="C25" s="63"/>
      <c r="D25" s="63"/>
      <c r="E25" s="63"/>
      <c r="F25" s="63"/>
      <c r="G25" s="115"/>
      <c r="H25" s="64"/>
    </row>
    <row r="26" spans="1:8" ht="12.75">
      <c r="A26" s="230">
        <v>3</v>
      </c>
      <c r="B26" s="126"/>
      <c r="C26" s="63"/>
      <c r="D26" s="63"/>
      <c r="E26" s="63"/>
      <c r="F26" s="63"/>
      <c r="G26" s="115"/>
      <c r="H26" s="64"/>
    </row>
    <row r="27" spans="1:8" ht="12.75">
      <c r="A27" s="230">
        <v>4</v>
      </c>
      <c r="B27" s="126"/>
      <c r="C27" s="63"/>
      <c r="D27" s="63"/>
      <c r="E27" s="63"/>
      <c r="F27" s="63"/>
      <c r="G27" s="115"/>
      <c r="H27" s="64"/>
    </row>
    <row r="28" spans="1:8" ht="12.75">
      <c r="A28" s="230">
        <v>5</v>
      </c>
      <c r="B28" s="126"/>
      <c r="C28" s="63"/>
      <c r="D28" s="63"/>
      <c r="E28" s="63"/>
      <c r="F28" s="63"/>
      <c r="G28" s="115"/>
      <c r="H28" s="64"/>
    </row>
    <row r="29" spans="1:8" ht="12.75">
      <c r="A29" s="230"/>
      <c r="B29" s="128"/>
      <c r="C29" s="86"/>
      <c r="D29" s="86"/>
      <c r="E29" s="86"/>
      <c r="F29" s="86"/>
      <c r="G29" s="116"/>
      <c r="H29" s="87"/>
    </row>
    <row r="30" spans="1:8" ht="12.75">
      <c r="A30" s="231" t="s">
        <v>243</v>
      </c>
      <c r="B30" s="131"/>
      <c r="C30" s="69"/>
      <c r="D30" s="69"/>
      <c r="E30" s="69"/>
      <c r="F30" s="69"/>
      <c r="G30" s="117"/>
      <c r="H30" s="70"/>
    </row>
    <row r="33" spans="3:5" ht="12.75">
      <c r="C33" s="232" t="s">
        <v>244</v>
      </c>
      <c r="D33" s="140"/>
      <c r="E33" s="175" t="s">
        <v>380</v>
      </c>
    </row>
    <row r="34" spans="3:5" ht="12.75">
      <c r="C34" s="232" t="s">
        <v>245</v>
      </c>
      <c r="D34" s="141"/>
      <c r="E34" s="175" t="s">
        <v>381</v>
      </c>
    </row>
    <row r="35" spans="3:4" ht="12.75">
      <c r="C35" s="232" t="s">
        <v>382</v>
      </c>
      <c r="D35" s="14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2"/>
  <sheetViews>
    <sheetView zoomScalePageLayoutView="0" workbookViewId="0" topLeftCell="D19">
      <selection activeCell="I6" sqref="I6"/>
    </sheetView>
  </sheetViews>
  <sheetFormatPr defaultColWidth="11.421875" defaultRowHeight="12.75"/>
  <cols>
    <col min="2" max="2" width="17.140625" style="0" customWidth="1"/>
    <col min="3" max="3" width="17.8515625" style="0" bestFit="1" customWidth="1"/>
    <col min="4" max="4" width="15.57421875" style="0" bestFit="1" customWidth="1"/>
    <col min="5" max="5" width="14.00390625" style="0" customWidth="1"/>
    <col min="6" max="6" width="14.57421875" style="0" customWidth="1"/>
    <col min="7" max="7" width="7.00390625" style="0" customWidth="1"/>
    <col min="8" max="8" width="29.00390625" style="0" bestFit="1" customWidth="1"/>
    <col min="9" max="11" width="13.8515625" style="0" bestFit="1" customWidth="1"/>
    <col min="12" max="12" width="14.8515625" style="0" bestFit="1" customWidth="1"/>
    <col min="13" max="13" width="13.8515625" style="0" bestFit="1" customWidth="1"/>
    <col min="16" max="16" width="12.28125" style="0" bestFit="1" customWidth="1"/>
  </cols>
  <sheetData>
    <row r="3" spans="8:13" ht="12.75">
      <c r="H3" s="250"/>
      <c r="I3" s="250" t="s">
        <v>385</v>
      </c>
      <c r="J3" s="250" t="s">
        <v>386</v>
      </c>
      <c r="K3" s="250" t="s">
        <v>387</v>
      </c>
      <c r="L3" s="250" t="s">
        <v>388</v>
      </c>
      <c r="M3" s="250" t="s">
        <v>389</v>
      </c>
    </row>
    <row r="4" spans="2:13" ht="12.75">
      <c r="B4" s="244" t="s">
        <v>400</v>
      </c>
      <c r="C4" s="244" t="s">
        <v>403</v>
      </c>
      <c r="D4" s="244" t="s">
        <v>393</v>
      </c>
      <c r="E4" s="244" t="s">
        <v>401</v>
      </c>
      <c r="G4" s="335" t="s">
        <v>407</v>
      </c>
      <c r="H4" s="244" t="s">
        <v>403</v>
      </c>
      <c r="I4" s="244">
        <v>4750</v>
      </c>
      <c r="J4" s="244">
        <f>+J12</f>
        <v>5000</v>
      </c>
      <c r="K4" s="244">
        <f>+K12</f>
        <v>5000</v>
      </c>
      <c r="L4" s="244">
        <f>+L12</f>
        <v>5000</v>
      </c>
      <c r="M4" s="244">
        <f>+M12</f>
        <v>5000</v>
      </c>
    </row>
    <row r="5" spans="2:13" ht="12.75">
      <c r="B5" s="244" t="s">
        <v>390</v>
      </c>
      <c r="C5" s="262" t="str">
        <f>FIXED(1/5,2,0)</f>
        <v>0,20</v>
      </c>
      <c r="D5" s="245">
        <v>60</v>
      </c>
      <c r="E5" s="256">
        <f>+D5*C5</f>
        <v>12</v>
      </c>
      <c r="G5" s="335"/>
      <c r="H5" s="244" t="s">
        <v>405</v>
      </c>
      <c r="I5" s="244">
        <f>0.15*I4</f>
        <v>712.5</v>
      </c>
      <c r="J5" s="244">
        <f>0.15*J4</f>
        <v>750</v>
      </c>
      <c r="K5" s="244">
        <f>0.15*K4</f>
        <v>750</v>
      </c>
      <c r="L5" s="244">
        <f>0.15*L4</f>
        <v>750</v>
      </c>
      <c r="M5" s="244">
        <f>0.15*M4</f>
        <v>750</v>
      </c>
    </row>
    <row r="6" spans="2:13" ht="12.75">
      <c r="B6" s="244" t="s">
        <v>391</v>
      </c>
      <c r="C6" s="262" t="str">
        <f>FIXED(1/4)</f>
        <v>0,25</v>
      </c>
      <c r="D6" s="245">
        <v>150</v>
      </c>
      <c r="E6" s="256">
        <f aca="true" t="shared" si="0" ref="E6:E12">+D6*C6</f>
        <v>37.5</v>
      </c>
      <c r="G6" s="335"/>
      <c r="H6" s="244" t="s">
        <v>384</v>
      </c>
      <c r="I6" s="244">
        <f>+I4-I5</f>
        <v>4037.5</v>
      </c>
      <c r="J6" s="244">
        <f>+J4-J5</f>
        <v>4250</v>
      </c>
      <c r="K6" s="244">
        <f>+K4-K5</f>
        <v>4250</v>
      </c>
      <c r="L6" s="244">
        <f>+L4-L5</f>
        <v>4250</v>
      </c>
      <c r="M6" s="244">
        <f>+M4-M5</f>
        <v>4250</v>
      </c>
    </row>
    <row r="7" spans="2:13" ht="12.75">
      <c r="B7" s="244" t="s">
        <v>394</v>
      </c>
      <c r="C7" s="244">
        <f>1/100</f>
        <v>0.01</v>
      </c>
      <c r="D7" s="245">
        <v>9.5</v>
      </c>
      <c r="E7" s="256">
        <f t="shared" si="0"/>
        <v>0.095</v>
      </c>
      <c r="G7" s="335" t="s">
        <v>406</v>
      </c>
      <c r="H7" s="244" t="s">
        <v>403</v>
      </c>
      <c r="I7" s="253">
        <f aca="true" t="shared" si="1" ref="I7:M9">+I4*$E$13</f>
        <v>1425000</v>
      </c>
      <c r="J7" s="253">
        <f t="shared" si="1"/>
        <v>1500000</v>
      </c>
      <c r="K7" s="253">
        <f t="shared" si="1"/>
        <v>1500000</v>
      </c>
      <c r="L7" s="253">
        <f t="shared" si="1"/>
        <v>1500000</v>
      </c>
      <c r="M7" s="253">
        <f t="shared" si="1"/>
        <v>1500000</v>
      </c>
    </row>
    <row r="8" spans="2:13" ht="12.75">
      <c r="B8" s="244" t="s">
        <v>395</v>
      </c>
      <c r="C8" s="244">
        <v>1</v>
      </c>
      <c r="D8" s="245">
        <v>75</v>
      </c>
      <c r="E8" s="256">
        <f t="shared" si="0"/>
        <v>75</v>
      </c>
      <c r="G8" s="335"/>
      <c r="H8" s="244" t="s">
        <v>405</v>
      </c>
      <c r="I8" s="253">
        <f t="shared" si="1"/>
        <v>213750</v>
      </c>
      <c r="J8" s="253">
        <f t="shared" si="1"/>
        <v>225000</v>
      </c>
      <c r="K8" s="253">
        <f t="shared" si="1"/>
        <v>225000</v>
      </c>
      <c r="L8" s="253">
        <f t="shared" si="1"/>
        <v>225000</v>
      </c>
      <c r="M8" s="253">
        <f t="shared" si="1"/>
        <v>225000</v>
      </c>
    </row>
    <row r="9" spans="2:13" ht="12.75">
      <c r="B9" s="244" t="s">
        <v>396</v>
      </c>
      <c r="C9" s="244">
        <v>1</v>
      </c>
      <c r="D9" s="245">
        <v>120</v>
      </c>
      <c r="E9" s="256">
        <f t="shared" si="0"/>
        <v>120</v>
      </c>
      <c r="G9" s="335"/>
      <c r="H9" s="244" t="s">
        <v>384</v>
      </c>
      <c r="I9" s="253">
        <f t="shared" si="1"/>
        <v>1211250</v>
      </c>
      <c r="J9" s="253">
        <f t="shared" si="1"/>
        <v>1275000</v>
      </c>
      <c r="K9" s="253">
        <f t="shared" si="1"/>
        <v>1275000</v>
      </c>
      <c r="L9" s="253">
        <f t="shared" si="1"/>
        <v>1275000</v>
      </c>
      <c r="M9" s="253">
        <f t="shared" si="1"/>
        <v>1275000</v>
      </c>
    </row>
    <row r="10" spans="2:5" ht="12.75">
      <c r="B10" s="244" t="s">
        <v>397</v>
      </c>
      <c r="C10" s="244">
        <v>1</v>
      </c>
      <c r="D10" s="245">
        <v>5</v>
      </c>
      <c r="E10" s="256">
        <f t="shared" si="0"/>
        <v>5</v>
      </c>
    </row>
    <row r="11" spans="2:6" ht="12.75">
      <c r="B11" s="244" t="s">
        <v>398</v>
      </c>
      <c r="C11" s="244">
        <v>1</v>
      </c>
      <c r="D11" s="245">
        <v>0.4</v>
      </c>
      <c r="E11" s="256">
        <f t="shared" si="0"/>
        <v>0.4</v>
      </c>
      <c r="F11" s="334" t="s">
        <v>404</v>
      </c>
    </row>
    <row r="12" spans="2:13" ht="12.75">
      <c r="B12" s="244" t="s">
        <v>399</v>
      </c>
      <c r="C12" s="244">
        <v>1</v>
      </c>
      <c r="D12" s="245">
        <v>50</v>
      </c>
      <c r="E12" s="256">
        <f t="shared" si="0"/>
        <v>50</v>
      </c>
      <c r="F12" s="334"/>
      <c r="H12" s="244" t="s">
        <v>412</v>
      </c>
      <c r="I12" s="259">
        <v>4550</v>
      </c>
      <c r="J12" s="259">
        <v>5000</v>
      </c>
      <c r="K12" s="259">
        <v>5000</v>
      </c>
      <c r="L12" s="259">
        <v>5000</v>
      </c>
      <c r="M12" s="259">
        <v>5000</v>
      </c>
    </row>
    <row r="13" spans="4:13" ht="12.75">
      <c r="D13" t="s">
        <v>410</v>
      </c>
      <c r="E13" s="258" t="str">
        <f>+FIXED(SUM(E5:E12),2,)</f>
        <v>300,00</v>
      </c>
      <c r="F13" s="249">
        <v>0.15</v>
      </c>
      <c r="H13" s="261" t="s">
        <v>413</v>
      </c>
      <c r="I13" s="260">
        <v>4500</v>
      </c>
      <c r="J13" s="260">
        <v>5000</v>
      </c>
      <c r="K13" s="260">
        <v>5000</v>
      </c>
      <c r="L13" s="260">
        <v>5000</v>
      </c>
      <c r="M13" s="260">
        <v>5000</v>
      </c>
    </row>
    <row r="14" spans="8:9" ht="12.75">
      <c r="H14" s="261" t="s">
        <v>414</v>
      </c>
      <c r="I14" s="244">
        <v>50</v>
      </c>
    </row>
    <row r="15" spans="2:5" ht="54.75" customHeight="1">
      <c r="B15" s="333" t="s">
        <v>402</v>
      </c>
      <c r="C15" s="333"/>
      <c r="D15" s="333"/>
      <c r="E15" s="333"/>
    </row>
    <row r="16" spans="8:21" ht="15.75" customHeight="1">
      <c r="H16" s="264" t="s">
        <v>423</v>
      </c>
      <c r="I16" s="264" t="s">
        <v>428</v>
      </c>
      <c r="J16" s="265"/>
      <c r="K16" s="265"/>
      <c r="L16" s="265"/>
      <c r="M16" s="336" t="s">
        <v>467</v>
      </c>
      <c r="N16" s="336"/>
      <c r="O16" s="336"/>
      <c r="P16" s="336"/>
      <c r="R16" s="336" t="s">
        <v>467</v>
      </c>
      <c r="S16" s="336"/>
      <c r="T16" s="336"/>
      <c r="U16" s="336"/>
    </row>
    <row r="17" spans="1:21" ht="15.75" customHeight="1">
      <c r="A17" s="248" t="s">
        <v>415</v>
      </c>
      <c r="B17" s="248" t="s">
        <v>406</v>
      </c>
      <c r="C17" s="248" t="s">
        <v>425</v>
      </c>
      <c r="D17" s="248" t="s">
        <v>419</v>
      </c>
      <c r="E17" s="248" t="s">
        <v>420</v>
      </c>
      <c r="F17" s="248" t="s">
        <v>421</v>
      </c>
      <c r="H17" s="337" t="s">
        <v>424</v>
      </c>
      <c r="I17" s="337"/>
      <c r="J17" s="337"/>
      <c r="K17" s="337"/>
      <c r="L17" s="301"/>
      <c r="M17" s="336"/>
      <c r="N17" s="336"/>
      <c r="O17" s="336"/>
      <c r="P17" s="336"/>
      <c r="R17" s="336"/>
      <c r="S17" s="336"/>
      <c r="T17" s="336"/>
      <c r="U17" s="336"/>
    </row>
    <row r="18" spans="1:21" ht="15.75" customHeight="1">
      <c r="A18" s="248" t="s">
        <v>416</v>
      </c>
      <c r="B18" s="248">
        <v>15000</v>
      </c>
      <c r="C18" s="248">
        <v>2</v>
      </c>
      <c r="D18" s="248">
        <v>6</v>
      </c>
      <c r="E18" s="248">
        <v>4</v>
      </c>
      <c r="F18" s="244">
        <v>5</v>
      </c>
      <c r="J18" s="331" t="s">
        <v>392</v>
      </c>
      <c r="K18" s="331"/>
      <c r="O18" s="331" t="s">
        <v>466</v>
      </c>
      <c r="P18" s="331"/>
      <c r="T18" s="331" t="s">
        <v>470</v>
      </c>
      <c r="U18" s="331"/>
    </row>
    <row r="19" spans="1:21" ht="15.75" customHeight="1">
      <c r="A19" s="248" t="s">
        <v>417</v>
      </c>
      <c r="B19" s="248">
        <v>20000</v>
      </c>
      <c r="C19" s="248">
        <v>1</v>
      </c>
      <c r="D19" s="248">
        <v>0</v>
      </c>
      <c r="E19" s="248">
        <v>2</v>
      </c>
      <c r="F19" s="244">
        <v>2</v>
      </c>
      <c r="J19" s="244" t="s">
        <v>437</v>
      </c>
      <c r="K19" s="244" t="s">
        <v>436</v>
      </c>
      <c r="O19" s="244" t="s">
        <v>437</v>
      </c>
      <c r="P19" s="244" t="s">
        <v>436</v>
      </c>
      <c r="T19" s="244" t="s">
        <v>437</v>
      </c>
      <c r="U19" s="244" t="s">
        <v>436</v>
      </c>
    </row>
    <row r="20" spans="1:21" ht="15.75" customHeight="1">
      <c r="A20" s="248" t="s">
        <v>418</v>
      </c>
      <c r="B20" s="248">
        <v>25000</v>
      </c>
      <c r="C20" s="248"/>
      <c r="D20" s="248"/>
      <c r="E20" s="248">
        <v>1</v>
      </c>
      <c r="F20" s="244"/>
      <c r="H20" s="283" t="s">
        <v>429</v>
      </c>
      <c r="I20" s="244" t="s">
        <v>430</v>
      </c>
      <c r="J20" s="253">
        <f>0.01*0.9*'E-Inv AF y Am'!B21</f>
        <v>67125.15000000001</v>
      </c>
      <c r="K20" s="285"/>
      <c r="M20" s="283" t="s">
        <v>429</v>
      </c>
      <c r="N20" s="244" t="s">
        <v>430</v>
      </c>
      <c r="O20" s="253">
        <f>0.01*0.05*'E-Inv AF y Am'!$B$21</f>
        <v>3729.175</v>
      </c>
      <c r="P20" s="253">
        <f>0.01*0.05*'E-Inv AF y Am'!B21</f>
        <v>3729.175</v>
      </c>
      <c r="R20" s="283" t="s">
        <v>429</v>
      </c>
      <c r="S20" s="244" t="s">
        <v>430</v>
      </c>
      <c r="T20" s="253">
        <f>0.01*0.05*'E-Inv AF y Am'!$B$21</f>
        <v>3729.175</v>
      </c>
      <c r="U20" s="253">
        <f>0.01*0.05*'E-Inv AF y Am'!$B$21</f>
        <v>3729.175</v>
      </c>
    </row>
    <row r="21" spans="1:21" ht="15.75" customHeight="1">
      <c r="A21" s="248"/>
      <c r="B21" s="248"/>
      <c r="C21" s="271">
        <f>+B18*C18+B19*C19+B20*C20</f>
        <v>50000</v>
      </c>
      <c r="D21" s="271">
        <f>+B18*D18+B19*D19+C20*D20</f>
        <v>90000</v>
      </c>
      <c r="E21" s="263">
        <f>+B$18*E18+B$19*E19+B$20*E20</f>
        <v>125000</v>
      </c>
      <c r="F21" s="263">
        <f>+B$18*F18+B$19*F19+B$20*F20</f>
        <v>115000</v>
      </c>
      <c r="H21" s="283" t="s">
        <v>431</v>
      </c>
      <c r="I21" s="244" t="s">
        <v>432</v>
      </c>
      <c r="J21" s="253">
        <f>0.02*'E-Inv AF y Am'!B12</f>
        <v>19400</v>
      </c>
      <c r="K21" s="285"/>
      <c r="M21" s="283" t="s">
        <v>468</v>
      </c>
      <c r="N21" s="244" t="s">
        <v>469</v>
      </c>
      <c r="O21" s="253">
        <f>0.01*J13*3000</f>
        <v>150000</v>
      </c>
      <c r="P21" s="253">
        <f>0.01*I13*3000</f>
        <v>135000</v>
      </c>
      <c r="R21" s="283" t="s">
        <v>468</v>
      </c>
      <c r="S21" s="244" t="s">
        <v>469</v>
      </c>
      <c r="T21" s="253">
        <f>0.01*O13*3000</f>
        <v>0</v>
      </c>
      <c r="U21" s="253">
        <f>0.01*N13*3000</f>
        <v>0</v>
      </c>
    </row>
    <row r="22" spans="1:21" ht="15.75" customHeight="1">
      <c r="A22" s="248" t="s">
        <v>440</v>
      </c>
      <c r="B22" s="248" t="s">
        <v>422</v>
      </c>
      <c r="C22" s="272">
        <f>+C21*13</f>
        <v>650000</v>
      </c>
      <c r="D22" s="272">
        <f>+D21*13</f>
        <v>1170000</v>
      </c>
      <c r="E22" s="263">
        <f>+E21*13</f>
        <v>1625000</v>
      </c>
      <c r="F22" s="263">
        <f>+F21*13</f>
        <v>1495000</v>
      </c>
      <c r="H22" s="283" t="s">
        <v>411</v>
      </c>
      <c r="I22" s="244" t="s">
        <v>433</v>
      </c>
      <c r="J22" s="253">
        <f>0.2*J7</f>
        <v>300000</v>
      </c>
      <c r="K22" s="285"/>
      <c r="M22" s="283" t="s">
        <v>434</v>
      </c>
      <c r="N22" s="244" t="s">
        <v>435</v>
      </c>
      <c r="O22" s="253">
        <f>0.03*E22</f>
        <v>48750</v>
      </c>
      <c r="P22" s="253">
        <f>0.03*E22</f>
        <v>48750</v>
      </c>
      <c r="R22" s="283" t="s">
        <v>434</v>
      </c>
      <c r="S22" s="244" t="s">
        <v>435</v>
      </c>
      <c r="T22" s="253">
        <f>0.03*J22</f>
        <v>9000</v>
      </c>
      <c r="U22" s="253">
        <f>0.03*J22</f>
        <v>9000</v>
      </c>
    </row>
    <row r="23" spans="1:21" ht="15.75" customHeight="1">
      <c r="A23" s="275" t="s">
        <v>438</v>
      </c>
      <c r="B23" s="248" t="s">
        <v>439</v>
      </c>
      <c r="C23" s="276">
        <f>+C22/5000</f>
        <v>130</v>
      </c>
      <c r="D23" s="276">
        <f>+D22/5000</f>
        <v>234</v>
      </c>
      <c r="E23" s="276">
        <f>+E22/5000</f>
        <v>325</v>
      </c>
      <c r="F23" s="276">
        <f>+F22/5000</f>
        <v>299</v>
      </c>
      <c r="H23" s="283" t="s">
        <v>434</v>
      </c>
      <c r="I23" s="244" t="s">
        <v>435</v>
      </c>
      <c r="J23" s="253">
        <f>0.03*(C22+D22)</f>
        <v>54600</v>
      </c>
      <c r="K23" s="244" t="s">
        <v>452</v>
      </c>
      <c r="N23" s="284" t="s">
        <v>448</v>
      </c>
      <c r="O23" s="274">
        <f>+SUM(O20:O22)</f>
        <v>202479.175</v>
      </c>
      <c r="P23" s="253">
        <f>1.1*O23</f>
        <v>222727.0925</v>
      </c>
      <c r="R23" s="251" t="s">
        <v>472</v>
      </c>
      <c r="S23" s="251" t="s">
        <v>473</v>
      </c>
      <c r="T23">
        <f>40*J12</f>
        <v>200000</v>
      </c>
      <c r="U23">
        <f>40*I12</f>
        <v>182000</v>
      </c>
    </row>
    <row r="24" spans="1:21" ht="15.75" customHeight="1">
      <c r="A24" s="332" t="s">
        <v>48</v>
      </c>
      <c r="B24" s="248" t="s">
        <v>441</v>
      </c>
      <c r="C24" s="277">
        <f>4500*C23</f>
        <v>585000</v>
      </c>
      <c r="D24" s="277">
        <f>4500*D23</f>
        <v>1053000</v>
      </c>
      <c r="E24" s="277">
        <f>5000*E23</f>
        <v>1625000</v>
      </c>
      <c r="F24" s="277">
        <f>5000*F23</f>
        <v>1495000</v>
      </c>
      <c r="I24" s="284" t="s">
        <v>448</v>
      </c>
      <c r="J24" s="274">
        <f>+SUM(J20:J23)</f>
        <v>441125.15</v>
      </c>
      <c r="K24" s="252">
        <f>1.1*J24</f>
        <v>485237.66500000004</v>
      </c>
      <c r="S24" s="284" t="s">
        <v>448</v>
      </c>
      <c r="T24" s="274">
        <f>+SUM(T20:T23)</f>
        <v>212729.175</v>
      </c>
      <c r="U24" s="274">
        <f>+SUM(U20:U23)</f>
        <v>194729.175</v>
      </c>
    </row>
    <row r="25" spans="1:11" ht="15.75" customHeight="1">
      <c r="A25" s="332"/>
      <c r="B25" s="248" t="s">
        <v>442</v>
      </c>
      <c r="C25" s="277"/>
      <c r="D25" s="277">
        <f>50*D23</f>
        <v>11700</v>
      </c>
      <c r="E25" s="277"/>
      <c r="F25" s="277"/>
      <c r="I25" s="244" t="s">
        <v>410</v>
      </c>
      <c r="J25" s="274">
        <f>+J24/5000</f>
        <v>88.22503</v>
      </c>
      <c r="K25" s="285"/>
    </row>
    <row r="26" spans="1:11" ht="15.75" customHeight="1">
      <c r="A26" s="332"/>
      <c r="B26" s="248" t="s">
        <v>443</v>
      </c>
      <c r="C26" s="278">
        <f>+C22-C24-C25</f>
        <v>65000</v>
      </c>
      <c r="D26" s="278">
        <f>+D22-D24-D25</f>
        <v>105300</v>
      </c>
      <c r="E26" s="278">
        <f>+E22-E24-E25</f>
        <v>0</v>
      </c>
      <c r="F26" s="278">
        <f>+F22-F24-F25</f>
        <v>0</v>
      </c>
      <c r="I26" s="244" t="s">
        <v>449</v>
      </c>
      <c r="J26" s="252">
        <f>50*J25</f>
        <v>4411.2515</v>
      </c>
      <c r="K26" s="285"/>
    </row>
    <row r="27" spans="1:11" ht="15.75" customHeight="1">
      <c r="A27" s="244"/>
      <c r="B27" s="248"/>
      <c r="C27" s="274">
        <f>+C22</f>
        <v>650000</v>
      </c>
      <c r="D27" s="274">
        <f>+D22</f>
        <v>1170000</v>
      </c>
      <c r="E27" s="274">
        <f>+E22</f>
        <v>1625000</v>
      </c>
      <c r="F27" s="274">
        <f>+F22</f>
        <v>1495000</v>
      </c>
      <c r="I27" s="244" t="s">
        <v>450</v>
      </c>
      <c r="J27" s="285"/>
      <c r="K27" s="252">
        <f>4500*J25</f>
        <v>397012.635</v>
      </c>
    </row>
    <row r="28" spans="1:11" ht="15.75" customHeight="1">
      <c r="A28" s="105"/>
      <c r="B28" s="279"/>
      <c r="C28" s="280"/>
      <c r="D28" s="280"/>
      <c r="E28" s="280"/>
      <c r="F28" s="280"/>
      <c r="I28" s="244" t="s">
        <v>449</v>
      </c>
      <c r="J28" s="285"/>
      <c r="K28" s="252">
        <f>50*J25</f>
        <v>4411.2515</v>
      </c>
    </row>
    <row r="29" spans="2:11" ht="15.75" customHeight="1">
      <c r="B29" s="247"/>
      <c r="C29" s="247">
        <v>1</v>
      </c>
      <c r="D29" s="281" t="s">
        <v>445</v>
      </c>
      <c r="E29" s="281" t="s">
        <v>446</v>
      </c>
      <c r="I29" s="244" t="s">
        <v>451</v>
      </c>
      <c r="J29" s="285"/>
      <c r="K29" s="252">
        <f>+K24-K27-K28</f>
        <v>83813.77850000003</v>
      </c>
    </row>
    <row r="30" spans="2:18" ht="15.75" customHeight="1">
      <c r="B30" s="248" t="s">
        <v>444</v>
      </c>
      <c r="C30" s="272">
        <f>+'E-Inv AF y Am'!$D$59</f>
        <v>426946.6666666667</v>
      </c>
      <c r="D30" s="272">
        <f>+'E-Inv AF y Am'!$D59</f>
        <v>426946.6666666667</v>
      </c>
      <c r="E30" s="272">
        <f>+'E-Inv AF y Am'!E59</f>
        <v>416946.6666666667</v>
      </c>
      <c r="M30" s="331" t="s">
        <v>411</v>
      </c>
      <c r="N30" s="331"/>
      <c r="O30" s="331" t="s">
        <v>457</v>
      </c>
      <c r="P30" s="331"/>
      <c r="Q30" s="331" t="s">
        <v>457</v>
      </c>
      <c r="R30" s="331"/>
    </row>
    <row r="31" spans="2:18" ht="15.75" customHeight="1">
      <c r="B31" s="275" t="s">
        <v>438</v>
      </c>
      <c r="C31" s="276">
        <f>+C30/I12</f>
        <v>93.83443223443224</v>
      </c>
      <c r="D31" s="276">
        <f>+D30/J12</f>
        <v>85.38933333333334</v>
      </c>
      <c r="E31" s="276">
        <f>+E30/K12</f>
        <v>83.38933333333334</v>
      </c>
      <c r="M31" s="244" t="s">
        <v>437</v>
      </c>
      <c r="N31" s="244" t="s">
        <v>436</v>
      </c>
      <c r="O31" s="244" t="s">
        <v>437</v>
      </c>
      <c r="P31" s="244" t="s">
        <v>436</v>
      </c>
      <c r="Q31" s="244" t="s">
        <v>437</v>
      </c>
      <c r="R31" s="244" t="s">
        <v>436</v>
      </c>
    </row>
    <row r="32" spans="2:18" ht="15.75" customHeight="1">
      <c r="B32" s="282" t="s">
        <v>447</v>
      </c>
      <c r="C32" s="277">
        <f>50*C31</f>
        <v>4691.721611721612</v>
      </c>
      <c r="D32" s="277">
        <f>50*D31</f>
        <v>4269.466666666667</v>
      </c>
      <c r="E32" s="277">
        <f>50*E31</f>
        <v>4169.466666666667</v>
      </c>
      <c r="J32" s="244" t="s">
        <v>411</v>
      </c>
      <c r="K32" s="244" t="s">
        <v>457</v>
      </c>
      <c r="L32" s="244" t="s">
        <v>458</v>
      </c>
      <c r="M32" s="299">
        <f>(+'E-Inv AF y Am'!B44+'E-Inv AF y Am'!B45)*0.02*0.9</f>
        <v>90000</v>
      </c>
      <c r="N32" s="300">
        <f>+M32</f>
        <v>90000</v>
      </c>
      <c r="O32" s="299">
        <f>(+'E-Inv AF y Am'!B44+'E-Inv AF y Am'!B45)*0.02*0.05</f>
        <v>5000</v>
      </c>
      <c r="P32" s="300">
        <f>+O32</f>
        <v>5000</v>
      </c>
      <c r="Q32" s="299">
        <f>(+'E-Inv AF y Am'!B44+'E-Inv AF y Am'!B45)*0.02*0.05</f>
        <v>5000</v>
      </c>
      <c r="R32" s="300">
        <f>+Q32</f>
        <v>5000</v>
      </c>
    </row>
    <row r="33" spans="8:18" ht="12.75">
      <c r="H33" s="283" t="s">
        <v>453</v>
      </c>
      <c r="I33" s="283" t="s">
        <v>455</v>
      </c>
      <c r="J33" s="249">
        <v>0.9</v>
      </c>
      <c r="K33" s="249">
        <v>0.05</v>
      </c>
      <c r="L33" s="249">
        <v>0.05</v>
      </c>
      <c r="M33" s="285"/>
      <c r="N33" s="285"/>
      <c r="O33" s="285"/>
      <c r="P33" s="285"/>
      <c r="Q33" s="299">
        <f>+R33</f>
        <v>15000</v>
      </c>
      <c r="R33" s="300">
        <f>0.03*'E-Inv AF y Am'!B49</f>
        <v>15000</v>
      </c>
    </row>
    <row r="34" spans="8:18" ht="12.75">
      <c r="H34" s="283" t="s">
        <v>454</v>
      </c>
      <c r="I34" s="283" t="s">
        <v>456</v>
      </c>
      <c r="J34" s="244"/>
      <c r="K34" s="244"/>
      <c r="L34" s="249">
        <v>1</v>
      </c>
      <c r="M34" s="286">
        <f>+SUM(M32:M33)</f>
        <v>90000</v>
      </c>
      <c r="N34" s="287">
        <f>+M34</f>
        <v>90000</v>
      </c>
      <c r="O34" s="286">
        <f>+SUM(O32:O33)</f>
        <v>5000</v>
      </c>
      <c r="P34" s="287">
        <f>+O34</f>
        <v>5000</v>
      </c>
      <c r="Q34" s="286">
        <f>+SUM(Q32:Q33)</f>
        <v>20000</v>
      </c>
      <c r="R34" s="287">
        <f>+Q34</f>
        <v>20000</v>
      </c>
    </row>
    <row r="35" spans="2:16" ht="12.75">
      <c r="B35" t="s">
        <v>459</v>
      </c>
      <c r="L35" s="284" t="s">
        <v>448</v>
      </c>
      <c r="M35" s="274">
        <f>+M34/5000</f>
        <v>18</v>
      </c>
      <c r="N35" s="274">
        <f>+N34/4550</f>
        <v>19.78021978021978</v>
      </c>
      <c r="O35" s="274"/>
      <c r="P35" s="274"/>
    </row>
    <row r="36" spans="5:16" ht="12.75">
      <c r="E36" s="257"/>
      <c r="L36" s="244" t="s">
        <v>410</v>
      </c>
      <c r="M36" s="252">
        <f>50*M35</f>
        <v>900</v>
      </c>
      <c r="N36" s="252">
        <f>50*N35</f>
        <v>989.0109890109891</v>
      </c>
      <c r="O36" s="252"/>
      <c r="P36" s="252"/>
    </row>
    <row r="37" spans="3:12" ht="12.75">
      <c r="C37" t="s">
        <v>436</v>
      </c>
      <c r="D37" t="s">
        <v>464</v>
      </c>
      <c r="E37" t="s">
        <v>465</v>
      </c>
      <c r="L37" s="244" t="s">
        <v>449</v>
      </c>
    </row>
    <row r="38" spans="2:5" ht="12.75">
      <c r="B38" t="s">
        <v>460</v>
      </c>
      <c r="C38">
        <f>+'E-Costos'!B7</f>
        <v>1425000</v>
      </c>
      <c r="D38">
        <f>+'E-Costos'!C7</f>
        <v>1500000</v>
      </c>
      <c r="E38">
        <f>+'E-Costos'!D7</f>
        <v>1500000</v>
      </c>
    </row>
    <row r="39" spans="2:5" ht="12.75">
      <c r="B39" t="s">
        <v>419</v>
      </c>
      <c r="C39" s="273">
        <f>+D22</f>
        <v>1170000</v>
      </c>
      <c r="D39" s="273">
        <f>+D22</f>
        <v>1170000</v>
      </c>
      <c r="E39" s="273">
        <f>+D22</f>
        <v>1170000</v>
      </c>
    </row>
    <row r="40" spans="2:5" ht="25.5">
      <c r="B40" s="246" t="s">
        <v>461</v>
      </c>
      <c r="C40">
        <f>+SUM('E-Costos'!B10:B14)</f>
        <v>1639489.665</v>
      </c>
      <c r="D40">
        <f>+SUM('E-Costos'!C10:C14)</f>
        <v>1595377.15</v>
      </c>
      <c r="E40">
        <f>+SUM('E-Costos'!E10:E14)</f>
        <v>1586377.15</v>
      </c>
    </row>
    <row r="41" spans="2:5" ht="12.75">
      <c r="B41" s="246" t="s">
        <v>462</v>
      </c>
      <c r="C41" s="291">
        <f>+C38+C39+C40</f>
        <v>4234489.665</v>
      </c>
      <c r="D41" s="291">
        <f>+D38+D39+D40</f>
        <v>4265377.15</v>
      </c>
      <c r="E41" s="291">
        <f>+E38+E39+E40</f>
        <v>4256377.15</v>
      </c>
    </row>
    <row r="42" spans="2:5" ht="12.75">
      <c r="B42" t="s">
        <v>463</v>
      </c>
      <c r="C42">
        <f>0.02*C41</f>
        <v>84689.7933</v>
      </c>
      <c r="D42">
        <f>0.02*D41</f>
        <v>85307.543</v>
      </c>
      <c r="E42">
        <f>0.02*E41</f>
        <v>85127.543</v>
      </c>
    </row>
  </sheetData>
  <sheetProtection/>
  <mergeCells count="14">
    <mergeCell ref="B15:E15"/>
    <mergeCell ref="F11:F12"/>
    <mergeCell ref="G7:G9"/>
    <mergeCell ref="G4:G6"/>
    <mergeCell ref="M16:P17"/>
    <mergeCell ref="R16:U17"/>
    <mergeCell ref="H17:K17"/>
    <mergeCell ref="T18:U18"/>
    <mergeCell ref="A24:A26"/>
    <mergeCell ref="M30:N30"/>
    <mergeCell ref="O30:P30"/>
    <mergeCell ref="Q30:R30"/>
    <mergeCell ref="J18:K18"/>
    <mergeCell ref="O18:P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1"/>
  <sheetViews>
    <sheetView zoomScalePageLayoutView="0" workbookViewId="0" topLeftCell="A19">
      <selection activeCell="C32" sqref="C32"/>
    </sheetView>
  </sheetViews>
  <sheetFormatPr defaultColWidth="11.421875" defaultRowHeight="12.75"/>
  <cols>
    <col min="1" max="1" width="45.421875" style="16" customWidth="1"/>
    <col min="2" max="7" width="14.8515625" style="16" customWidth="1"/>
    <col min="8" max="8" width="11.421875" style="16" customWidth="1"/>
    <col min="9" max="16384" width="11.421875" style="16" customWidth="1"/>
  </cols>
  <sheetData>
    <row r="1" spans="1:5" ht="12.75">
      <c r="A1" s="1" t="s">
        <v>43</v>
      </c>
      <c r="B1"/>
      <c r="C1"/>
      <c r="D1"/>
      <c r="E1" s="2">
        <f>InfoInicial!E1</f>
        <v>0</v>
      </c>
    </row>
    <row r="3" spans="1:5" ht="15.75">
      <c r="A3" s="17" t="s">
        <v>44</v>
      </c>
      <c r="B3" s="338" t="s">
        <v>45</v>
      </c>
      <c r="C3" s="338"/>
      <c r="D3" s="339" t="s">
        <v>46</v>
      </c>
      <c r="E3" s="339"/>
    </row>
    <row r="4" spans="1:5" ht="15.75">
      <c r="A4" s="20"/>
      <c r="B4" s="21" t="s">
        <v>47</v>
      </c>
      <c r="C4" s="21" t="s">
        <v>48</v>
      </c>
      <c r="D4" s="21" t="s">
        <v>47</v>
      </c>
      <c r="E4" s="22" t="s">
        <v>48</v>
      </c>
    </row>
    <row r="5" spans="1:5" ht="12.75">
      <c r="A5" s="23"/>
      <c r="B5" s="24"/>
      <c r="C5" s="24"/>
      <c r="D5" s="24"/>
      <c r="E5" s="24"/>
    </row>
    <row r="6" spans="1:5" ht="12.75">
      <c r="A6" s="25" t="s">
        <v>49</v>
      </c>
      <c r="B6" s="26"/>
      <c r="C6" s="26"/>
      <c r="D6" s="26"/>
      <c r="E6" s="26"/>
    </row>
    <row r="7" spans="1:6" ht="12.75">
      <c r="A7" s="27" t="s">
        <v>50</v>
      </c>
      <c r="B7" s="288">
        <v>4800000</v>
      </c>
      <c r="C7" s="26"/>
      <c r="D7" s="28" t="s">
        <v>408</v>
      </c>
      <c r="E7" s="28" t="s">
        <v>408</v>
      </c>
      <c r="F7" s="16">
        <v>4800000</v>
      </c>
    </row>
    <row r="8" spans="1:6" ht="12.75">
      <c r="A8" s="27" t="s">
        <v>51</v>
      </c>
      <c r="B8" s="288">
        <v>200000</v>
      </c>
      <c r="C8" s="26"/>
      <c r="D8" s="28" t="s">
        <v>408</v>
      </c>
      <c r="E8" s="28" t="s">
        <v>408</v>
      </c>
      <c r="F8" s="16">
        <v>200000</v>
      </c>
    </row>
    <row r="9" spans="1:6" ht="12.75">
      <c r="A9" s="27" t="s">
        <v>52</v>
      </c>
      <c r="B9" s="28">
        <v>100000</v>
      </c>
      <c r="C9" s="26"/>
      <c r="D9" s="28" t="s">
        <v>408</v>
      </c>
      <c r="E9" s="28" t="s">
        <v>408</v>
      </c>
      <c r="F9" s="16">
        <v>100000</v>
      </c>
    </row>
    <row r="10" spans="1:5" ht="12.75">
      <c r="A10" s="27" t="s">
        <v>53</v>
      </c>
      <c r="B10" s="28"/>
      <c r="C10" s="26"/>
      <c r="D10" s="28" t="s">
        <v>408</v>
      </c>
      <c r="E10" s="28" t="s">
        <v>408</v>
      </c>
    </row>
    <row r="11" spans="1:5" ht="12.75">
      <c r="A11" s="27" t="s">
        <v>54</v>
      </c>
      <c r="B11" s="28"/>
      <c r="C11" s="26"/>
      <c r="D11" s="28" t="s">
        <v>408</v>
      </c>
      <c r="E11" s="28" t="s">
        <v>408</v>
      </c>
    </row>
    <row r="12" spans="1:6" ht="12.75">
      <c r="A12" s="27" t="s">
        <v>55</v>
      </c>
      <c r="B12" s="28">
        <v>970000</v>
      </c>
      <c r="C12" s="26"/>
      <c r="D12" s="28" t="s">
        <v>408</v>
      </c>
      <c r="E12" s="28" t="s">
        <v>408</v>
      </c>
      <c r="F12" s="16">
        <v>970000</v>
      </c>
    </row>
    <row r="13" spans="1:5" ht="12.75">
      <c r="A13" s="29" t="s">
        <v>56</v>
      </c>
      <c r="B13" s="28" t="s">
        <v>408</v>
      </c>
      <c r="C13" s="26"/>
      <c r="D13" s="28" t="s">
        <v>408</v>
      </c>
      <c r="E13" s="28" t="s">
        <v>408</v>
      </c>
    </row>
    <row r="14" spans="1:5" ht="12.75">
      <c r="A14" s="27" t="s">
        <v>57</v>
      </c>
      <c r="B14" s="28">
        <v>100000</v>
      </c>
      <c r="C14" s="26"/>
      <c r="D14" s="28" t="s">
        <v>408</v>
      </c>
      <c r="E14" s="28" t="s">
        <v>408</v>
      </c>
    </row>
    <row r="15" spans="1:6" ht="12.75">
      <c r="A15" s="27" t="s">
        <v>58</v>
      </c>
      <c r="B15" s="28">
        <v>500000</v>
      </c>
      <c r="C15" s="26"/>
      <c r="D15" s="28" t="s">
        <v>408</v>
      </c>
      <c r="E15" s="28" t="s">
        <v>408</v>
      </c>
      <c r="F15" s="16">
        <v>500000</v>
      </c>
    </row>
    <row r="16" spans="1:6" ht="12.75">
      <c r="A16" s="27" t="s">
        <v>59</v>
      </c>
      <c r="B16" s="28">
        <v>95000</v>
      </c>
      <c r="C16" s="26"/>
      <c r="D16" s="28" t="s">
        <v>408</v>
      </c>
      <c r="E16" s="28" t="s">
        <v>408</v>
      </c>
      <c r="F16" s="16">
        <v>95000</v>
      </c>
    </row>
    <row r="17" spans="1:6" ht="12.75">
      <c r="A17" s="27" t="s">
        <v>60</v>
      </c>
      <c r="B17" s="28">
        <v>50000</v>
      </c>
      <c r="C17" s="26"/>
      <c r="D17" s="28" t="s">
        <v>408</v>
      </c>
      <c r="E17" s="28" t="s">
        <v>408</v>
      </c>
      <c r="F17" s="16">
        <v>613350</v>
      </c>
    </row>
    <row r="18" spans="1:6" ht="12.75">
      <c r="A18" s="27" t="s">
        <v>15</v>
      </c>
      <c r="B18" s="28">
        <v>613350</v>
      </c>
      <c r="C18" s="26"/>
      <c r="D18" s="28" t="s">
        <v>408</v>
      </c>
      <c r="E18" s="28" t="s">
        <v>408</v>
      </c>
      <c r="F18" s="16">
        <v>30000</v>
      </c>
    </row>
    <row r="19" spans="1:5" ht="12.75">
      <c r="A19" s="27" t="s">
        <v>82</v>
      </c>
      <c r="B19" s="28">
        <v>30000</v>
      </c>
      <c r="C19" s="26"/>
      <c r="D19" s="28"/>
      <c r="E19" s="28"/>
    </row>
    <row r="20" spans="1:5" ht="12.75">
      <c r="A20" s="27"/>
      <c r="B20" s="28"/>
      <c r="C20" s="28"/>
      <c r="D20" s="28"/>
      <c r="E20" s="28"/>
    </row>
    <row r="21" spans="1:5" ht="12.75">
      <c r="A21" s="25" t="s">
        <v>61</v>
      </c>
      <c r="B21" s="28">
        <f>+SUM(B7:B19)</f>
        <v>7458350</v>
      </c>
      <c r="C21" s="28" t="s">
        <v>408</v>
      </c>
      <c r="D21" s="28" t="s">
        <v>408</v>
      </c>
      <c r="E21" s="28" t="s">
        <v>408</v>
      </c>
    </row>
    <row r="22" spans="1:5" ht="12.75">
      <c r="A22" s="27"/>
      <c r="B22" s="30"/>
      <c r="C22" s="30"/>
      <c r="D22" s="30"/>
      <c r="E22" s="30"/>
    </row>
    <row r="23" spans="1:5" ht="12.75">
      <c r="A23" s="25" t="s">
        <v>62</v>
      </c>
      <c r="B23" s="30"/>
      <c r="C23" s="30"/>
      <c r="D23" s="30"/>
      <c r="E23" s="30"/>
    </row>
    <row r="24" spans="1:5" ht="12.75">
      <c r="A24" s="27" t="s">
        <v>63</v>
      </c>
      <c r="B24" s="28">
        <v>50000</v>
      </c>
      <c r="C24" s="28" t="s">
        <v>408</v>
      </c>
      <c r="D24" s="28" t="s">
        <v>408</v>
      </c>
      <c r="E24" s="28" t="s">
        <v>408</v>
      </c>
    </row>
    <row r="25" spans="1:5" ht="12.75">
      <c r="A25" s="27" t="s">
        <v>64</v>
      </c>
      <c r="B25" s="28">
        <v>45000</v>
      </c>
      <c r="C25" s="28" t="s">
        <v>408</v>
      </c>
      <c r="D25" s="28" t="s">
        <v>408</v>
      </c>
      <c r="E25" s="28" t="s">
        <v>408</v>
      </c>
    </row>
    <row r="26" spans="1:5" ht="12.75">
      <c r="A26" s="27" t="s">
        <v>65</v>
      </c>
      <c r="B26" s="28">
        <v>50000</v>
      </c>
      <c r="C26" s="28" t="s">
        <v>408</v>
      </c>
      <c r="D26" s="28" t="s">
        <v>408</v>
      </c>
      <c r="E26" s="28" t="s">
        <v>408</v>
      </c>
    </row>
    <row r="27" spans="1:5" ht="12.75">
      <c r="A27" s="29" t="s">
        <v>66</v>
      </c>
      <c r="B27" s="28" t="s">
        <v>408</v>
      </c>
      <c r="C27" s="28">
        <f>+'E-Costos'!G35</f>
        <v>249232.45981868132</v>
      </c>
      <c r="D27" s="28" t="s">
        <v>408</v>
      </c>
      <c r="E27" s="28" t="s">
        <v>408</v>
      </c>
    </row>
    <row r="28" spans="1:5" ht="12.75">
      <c r="A28" s="29" t="s">
        <v>67</v>
      </c>
      <c r="B28" s="28" t="s">
        <v>408</v>
      </c>
      <c r="C28" s="28" t="s">
        <v>408</v>
      </c>
      <c r="D28" s="28" t="s">
        <v>408</v>
      </c>
      <c r="E28" s="28" t="s">
        <v>408</v>
      </c>
    </row>
    <row r="29" spans="1:5" ht="12.75">
      <c r="A29" s="29" t="s">
        <v>68</v>
      </c>
      <c r="B29" s="28" t="s">
        <v>408</v>
      </c>
      <c r="C29" s="28" t="s">
        <v>408</v>
      </c>
      <c r="D29" s="28" t="s">
        <v>408</v>
      </c>
      <c r="E29" s="28" t="s">
        <v>408</v>
      </c>
    </row>
    <row r="30" spans="1:5" ht="12.75">
      <c r="A30" s="27" t="s">
        <v>15</v>
      </c>
      <c r="B30" s="28">
        <v>13050</v>
      </c>
      <c r="C30" s="28">
        <v>13500</v>
      </c>
      <c r="D30" s="28" t="s">
        <v>408</v>
      </c>
      <c r="E30" s="28" t="s">
        <v>408</v>
      </c>
    </row>
    <row r="31" spans="1:5" ht="12.75">
      <c r="A31" s="27"/>
      <c r="B31" s="28"/>
      <c r="C31" s="28"/>
      <c r="D31" s="28"/>
      <c r="E31" s="28"/>
    </row>
    <row r="32" spans="1:5" ht="12.75">
      <c r="A32" s="25" t="s">
        <v>69</v>
      </c>
      <c r="B32" s="28">
        <f>+SUM(B24:B30)</f>
        <v>158050</v>
      </c>
      <c r="C32" s="28">
        <f>+SUM(C24:C30)</f>
        <v>262732.45981868135</v>
      </c>
      <c r="D32" s="28" t="s">
        <v>408</v>
      </c>
      <c r="E32" s="28" t="s">
        <v>408</v>
      </c>
    </row>
    <row r="33" spans="1:5" ht="12.75">
      <c r="A33" s="27"/>
      <c r="B33" s="30"/>
      <c r="C33" s="30"/>
      <c r="D33" s="30"/>
      <c r="E33" s="30"/>
    </row>
    <row r="34" spans="1:5" ht="12.75">
      <c r="A34" s="25" t="s">
        <v>70</v>
      </c>
      <c r="B34" s="28">
        <f>+B21+B32</f>
        <v>7616400</v>
      </c>
      <c r="C34" s="28">
        <f>+C32</f>
        <v>262732.45981868135</v>
      </c>
      <c r="D34" s="28" t="s">
        <v>408</v>
      </c>
      <c r="E34" s="28" t="s">
        <v>408</v>
      </c>
    </row>
    <row r="35" spans="1:5" ht="12.75">
      <c r="A35" s="25" t="s">
        <v>71</v>
      </c>
      <c r="B35" s="28">
        <f>0.21*(B34+C34)</f>
        <v>1654617.8165619231</v>
      </c>
      <c r="C35" s="28"/>
      <c r="D35" s="28"/>
      <c r="E35" s="28"/>
    </row>
    <row r="36" spans="1:5" ht="12.75">
      <c r="A36" s="27"/>
      <c r="B36" s="30"/>
      <c r="C36" s="30"/>
      <c r="D36" s="30"/>
      <c r="E36" s="30"/>
    </row>
    <row r="37" spans="1:5" ht="13.5" thickBot="1">
      <c r="A37" s="31" t="s">
        <v>72</v>
      </c>
      <c r="B37" s="32">
        <f>+B34+B35</f>
        <v>9271017.816561922</v>
      </c>
      <c r="C37" s="32"/>
      <c r="D37" s="32"/>
      <c r="E37" s="32"/>
    </row>
    <row r="38" ht="13.5" thickTop="1"/>
    <row r="40" spans="1:7" ht="12.75">
      <c r="A40" s="33" t="s">
        <v>73</v>
      </c>
      <c r="B40" s="18" t="s">
        <v>74</v>
      </c>
      <c r="C40" s="18" t="s">
        <v>75</v>
      </c>
      <c r="D40" s="338" t="s">
        <v>76</v>
      </c>
      <c r="E40" s="338"/>
      <c r="F40" s="338"/>
      <c r="G40" s="34" t="s">
        <v>77</v>
      </c>
    </row>
    <row r="41" spans="1:7" ht="12.75">
      <c r="A41" s="35"/>
      <c r="B41" s="21" t="s">
        <v>78</v>
      </c>
      <c r="C41" s="21"/>
      <c r="D41" s="21" t="s">
        <v>79</v>
      </c>
      <c r="E41" s="21" t="s">
        <v>80</v>
      </c>
      <c r="F41" s="21"/>
      <c r="G41" s="36"/>
    </row>
    <row r="42" spans="1:7" ht="13.5" thickTop="1">
      <c r="A42" s="37" t="s">
        <v>81</v>
      </c>
      <c r="B42" s="38"/>
      <c r="C42" s="38"/>
      <c r="D42" s="38"/>
      <c r="E42" s="38"/>
      <c r="F42" s="39"/>
      <c r="G42" s="40"/>
    </row>
    <row r="43" spans="1:7" ht="12.75">
      <c r="A43" s="41"/>
      <c r="B43" s="42"/>
      <c r="C43" s="42"/>
      <c r="D43" s="42"/>
      <c r="E43" s="42"/>
      <c r="F43" s="43"/>
      <c r="G43" s="44"/>
    </row>
    <row r="44" spans="1:7" ht="12.75">
      <c r="A44" s="27" t="s">
        <v>50</v>
      </c>
      <c r="B44" s="289">
        <v>4800000</v>
      </c>
      <c r="C44" s="266" t="s">
        <v>408</v>
      </c>
      <c r="D44" s="266" t="s">
        <v>408</v>
      </c>
      <c r="E44" s="266" t="s">
        <v>408</v>
      </c>
      <c r="F44" s="266"/>
      <c r="G44" s="290">
        <f>+B44</f>
        <v>4800000</v>
      </c>
    </row>
    <row r="45" spans="1:7" ht="12.75">
      <c r="A45" s="27" t="s">
        <v>51</v>
      </c>
      <c r="B45" s="289">
        <v>200000</v>
      </c>
      <c r="C45" s="266">
        <v>0.03333333333333333</v>
      </c>
      <c r="D45" s="289">
        <f aca="true" t="shared" si="0" ref="D45:D53">+B45*C45</f>
        <v>6666.666666666667</v>
      </c>
      <c r="E45" s="289">
        <f aca="true" t="shared" si="1" ref="E45:E52">+B45*C45</f>
        <v>6666.666666666667</v>
      </c>
      <c r="F45" s="266"/>
      <c r="G45" s="290">
        <f aca="true" t="shared" si="2" ref="G45:G51">+B45-D45*3-E45*2</f>
        <v>166666.66666666666</v>
      </c>
    </row>
    <row r="46" spans="1:7" ht="12.75">
      <c r="A46" s="27" t="s">
        <v>52</v>
      </c>
      <c r="B46" s="289">
        <v>100000</v>
      </c>
      <c r="C46" s="266">
        <v>0.1</v>
      </c>
      <c r="D46" s="289">
        <f t="shared" si="0"/>
        <v>10000</v>
      </c>
      <c r="E46" s="289">
        <f t="shared" si="1"/>
        <v>10000</v>
      </c>
      <c r="F46" s="266"/>
      <c r="G46" s="290">
        <f t="shared" si="2"/>
        <v>50000</v>
      </c>
    </row>
    <row r="47" spans="1:7" ht="12.75">
      <c r="A47" s="29" t="s">
        <v>53</v>
      </c>
      <c r="B47" s="289">
        <v>970000</v>
      </c>
      <c r="C47" s="266">
        <v>0.1</v>
      </c>
      <c r="D47" s="289">
        <f t="shared" si="0"/>
        <v>97000</v>
      </c>
      <c r="E47" s="289">
        <f t="shared" si="1"/>
        <v>97000</v>
      </c>
      <c r="F47" s="266"/>
      <c r="G47" s="290">
        <f t="shared" si="2"/>
        <v>485000</v>
      </c>
    </row>
    <row r="48" spans="1:7" ht="12.75">
      <c r="A48" s="27" t="s">
        <v>57</v>
      </c>
      <c r="B48" s="28">
        <v>100000</v>
      </c>
      <c r="C48" s="26">
        <v>0.2</v>
      </c>
      <c r="D48" s="289">
        <f>+B48*C48</f>
        <v>20000</v>
      </c>
      <c r="E48" s="289">
        <f>+B48*C48</f>
        <v>20000</v>
      </c>
      <c r="G48" s="290">
        <f t="shared" si="2"/>
        <v>0</v>
      </c>
    </row>
    <row r="49" spans="1:7" ht="12.75">
      <c r="A49" s="29" t="s">
        <v>58</v>
      </c>
      <c r="B49" s="289">
        <v>500000</v>
      </c>
      <c r="C49" s="266">
        <v>0.2</v>
      </c>
      <c r="D49" s="289">
        <f t="shared" si="0"/>
        <v>100000</v>
      </c>
      <c r="E49" s="289">
        <f t="shared" si="1"/>
        <v>100000</v>
      </c>
      <c r="F49" s="266"/>
      <c r="G49" s="290">
        <f t="shared" si="2"/>
        <v>0</v>
      </c>
    </row>
    <row r="50" spans="1:7" ht="12.75">
      <c r="A50" s="29" t="s">
        <v>59</v>
      </c>
      <c r="B50" s="289">
        <v>95000</v>
      </c>
      <c r="C50" s="266">
        <v>0.2</v>
      </c>
      <c r="D50" s="289">
        <f t="shared" si="0"/>
        <v>19000</v>
      </c>
      <c r="E50" s="289">
        <f t="shared" si="1"/>
        <v>19000</v>
      </c>
      <c r="F50" s="266"/>
      <c r="G50" s="290">
        <f t="shared" si="2"/>
        <v>0</v>
      </c>
    </row>
    <row r="51" spans="1:7" ht="12.75">
      <c r="A51" s="27" t="s">
        <v>60</v>
      </c>
      <c r="B51" s="28">
        <v>50000</v>
      </c>
      <c r="C51" s="26">
        <v>0.2</v>
      </c>
      <c r="D51" s="289">
        <f>+B51*C51</f>
        <v>10000</v>
      </c>
      <c r="E51" s="289">
        <f>+B51*C51</f>
        <v>10000</v>
      </c>
      <c r="G51" s="290">
        <f t="shared" si="2"/>
        <v>0</v>
      </c>
    </row>
    <row r="52" spans="1:7" ht="12.75">
      <c r="A52" s="29" t="s">
        <v>15</v>
      </c>
      <c r="B52" s="289">
        <v>613350</v>
      </c>
      <c r="C52" s="266">
        <v>0.2</v>
      </c>
      <c r="D52" s="289">
        <f t="shared" si="0"/>
        <v>122670</v>
      </c>
      <c r="E52" s="289">
        <f t="shared" si="1"/>
        <v>122670</v>
      </c>
      <c r="F52" s="266"/>
      <c r="G52" s="267" t="s">
        <v>408</v>
      </c>
    </row>
    <row r="53" spans="1:7" ht="12.75">
      <c r="A53" s="29" t="s">
        <v>82</v>
      </c>
      <c r="B53" s="289">
        <v>30000</v>
      </c>
      <c r="C53" s="266">
        <v>0.3333333333333333</v>
      </c>
      <c r="D53" s="289">
        <f t="shared" si="0"/>
        <v>10000</v>
      </c>
      <c r="E53" s="289"/>
      <c r="F53" s="266"/>
      <c r="G53" s="267" t="s">
        <v>408</v>
      </c>
    </row>
    <row r="54" spans="1:8" s="74" customFormat="1" ht="12.75">
      <c r="A54" s="46" t="s">
        <v>83</v>
      </c>
      <c r="B54" s="289">
        <f>+SUM(B44:B53)</f>
        <v>7458350</v>
      </c>
      <c r="C54" s="268"/>
      <c r="D54" s="289">
        <f>+SUM(D44:D53)</f>
        <v>395336.6666666667</v>
      </c>
      <c r="E54" s="289">
        <f>+SUM(E44:E53)</f>
        <v>385336.6666666667</v>
      </c>
      <c r="F54" s="268"/>
      <c r="G54" s="315">
        <f>+SUM(G44:G53)</f>
        <v>5501666.666666667</v>
      </c>
      <c r="H54" s="16"/>
    </row>
    <row r="55" spans="1:7" ht="12.75">
      <c r="A55" s="25"/>
      <c r="B55" s="50"/>
      <c r="C55" s="50"/>
      <c r="D55" s="269"/>
      <c r="E55" s="269"/>
      <c r="F55" s="269"/>
      <c r="G55" s="270"/>
    </row>
    <row r="56" spans="1:7" s="74" customFormat="1" ht="12.75">
      <c r="A56" s="46" t="s">
        <v>84</v>
      </c>
      <c r="B56" s="289">
        <v>158050</v>
      </c>
      <c r="C56" s="268">
        <v>0.2</v>
      </c>
      <c r="D56" s="289">
        <f>+B56*C56</f>
        <v>31610</v>
      </c>
      <c r="E56" s="289">
        <f>+C56*B56</f>
        <v>31610</v>
      </c>
      <c r="F56" s="268"/>
      <c r="G56" s="290">
        <f>+B56-D56*3-E56*2</f>
        <v>0</v>
      </c>
    </row>
    <row r="57" spans="1:7" ht="12.75">
      <c r="A57" s="46"/>
      <c r="B57" s="28"/>
      <c r="C57" s="28" t="s">
        <v>409</v>
      </c>
      <c r="D57" s="28"/>
      <c r="E57" s="28"/>
      <c r="F57" s="28"/>
      <c r="G57" s="45"/>
    </row>
    <row r="58" spans="1:9" ht="12.75">
      <c r="A58" s="25"/>
      <c r="B58" s="26"/>
      <c r="C58" s="26"/>
      <c r="D58" s="49"/>
      <c r="E58" s="50"/>
      <c r="F58" s="50"/>
      <c r="G58" s="51"/>
      <c r="H58" s="52"/>
      <c r="I58" s="52"/>
    </row>
    <row r="59" spans="1:9" s="74" customFormat="1" ht="13.5" thickBot="1">
      <c r="A59" s="31" t="s">
        <v>85</v>
      </c>
      <c r="B59" s="254">
        <f>+B56+B54</f>
        <v>7616400</v>
      </c>
      <c r="C59" s="254"/>
      <c r="D59" s="254">
        <f>+D56+D54</f>
        <v>426946.6666666667</v>
      </c>
      <c r="E59" s="254">
        <f>+E56+E54</f>
        <v>416946.6666666667</v>
      </c>
      <c r="F59" s="254" t="s">
        <v>408</v>
      </c>
      <c r="G59" s="255">
        <f>+G54+G56</f>
        <v>5501666.666666667</v>
      </c>
      <c r="H59" s="54"/>
      <c r="I59" s="54"/>
    </row>
    <row r="60" ht="13.5" thickTop="1"/>
    <row r="61" ht="12.75">
      <c r="D61" s="316"/>
    </row>
  </sheetData>
  <sheetProtection selectLockedCells="1" selectUnlockedCells="1"/>
  <mergeCells count="3">
    <mergeCell ref="B3:C3"/>
    <mergeCell ref="D3:E3"/>
    <mergeCell ref="D40:F40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1"/>
  <sheetViews>
    <sheetView tabSelected="1" zoomScalePageLayoutView="0" workbookViewId="0" topLeftCell="B162">
      <selection activeCell="C220" sqref="C219:C220"/>
    </sheetView>
  </sheetViews>
  <sheetFormatPr defaultColWidth="11.421875" defaultRowHeight="12.75"/>
  <cols>
    <col min="1" max="1" width="41.00390625" style="16" customWidth="1"/>
    <col min="2" max="6" width="14.8515625" style="16" customWidth="1"/>
    <col min="7" max="7" width="17.421875" style="16" customWidth="1"/>
    <col min="8" max="16384" width="11.421875" style="16" customWidth="1"/>
  </cols>
  <sheetData>
    <row r="3" spans="1:5" ht="12.75">
      <c r="A3" s="1" t="s">
        <v>0</v>
      </c>
      <c r="B3"/>
      <c r="C3"/>
      <c r="D3"/>
      <c r="E3" s="2">
        <f>InfoInicial!E1</f>
        <v>0</v>
      </c>
    </row>
    <row r="4" spans="1:6" ht="15.75">
      <c r="A4" s="55" t="s">
        <v>86</v>
      </c>
      <c r="B4" s="56"/>
      <c r="C4" s="56"/>
      <c r="D4" s="56"/>
      <c r="E4" s="56"/>
      <c r="F4" s="57"/>
    </row>
    <row r="5" spans="1:6" ht="12.75">
      <c r="A5" s="58"/>
      <c r="B5" s="59" t="s">
        <v>87</v>
      </c>
      <c r="C5" s="59"/>
      <c r="D5" s="59"/>
      <c r="E5" s="59"/>
      <c r="F5" s="60"/>
    </row>
    <row r="6" spans="1:6" ht="12.75">
      <c r="A6" s="58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</row>
    <row r="7" spans="1:6" ht="12.75">
      <c r="A7" s="23" t="s">
        <v>93</v>
      </c>
      <c r="B7" s="292">
        <f>+'Adicional A'!I7</f>
        <v>1425000</v>
      </c>
      <c r="C7" s="292">
        <f>+'Adicional A'!J7</f>
        <v>1500000</v>
      </c>
      <c r="D7" s="292">
        <f>+'Adicional A'!K7</f>
        <v>1500000</v>
      </c>
      <c r="E7" s="292">
        <f>+'Adicional A'!L7</f>
        <v>1500000</v>
      </c>
      <c r="F7" s="292">
        <f>+'Adicional A'!M7</f>
        <v>1500000</v>
      </c>
    </row>
    <row r="8" spans="1:6" ht="12.75">
      <c r="A8" s="27" t="s">
        <v>94</v>
      </c>
      <c r="B8" s="293">
        <f>+'Adicional A'!$D$22</f>
        <v>1170000</v>
      </c>
      <c r="C8" s="293">
        <f>+'Adicional A'!$D$22</f>
        <v>1170000</v>
      </c>
      <c r="D8" s="293">
        <f>+'Adicional A'!$D$22</f>
        <v>1170000</v>
      </c>
      <c r="E8" s="293">
        <f>+'Adicional A'!$D$22</f>
        <v>1170000</v>
      </c>
      <c r="F8" s="293">
        <f>+'Adicional A'!$D$22</f>
        <v>1170000</v>
      </c>
    </row>
    <row r="9" spans="1:6" ht="12.75">
      <c r="A9" s="27" t="s">
        <v>95</v>
      </c>
      <c r="B9" s="293"/>
      <c r="C9" s="293"/>
      <c r="D9" s="293"/>
      <c r="E9" s="293"/>
      <c r="F9" s="293"/>
    </row>
    <row r="10" spans="1:11" ht="12.75">
      <c r="A10" s="27" t="s">
        <v>96</v>
      </c>
      <c r="B10" s="293">
        <f>0.9*'E-Inv AF y Am'!$D$59</f>
        <v>384252</v>
      </c>
      <c r="C10" s="293">
        <f>0.9*'E-Inv AF y Am'!$D$59</f>
        <v>384252</v>
      </c>
      <c r="D10" s="293">
        <f>0.9*'E-Inv AF y Am'!$D$59</f>
        <v>384252</v>
      </c>
      <c r="E10" s="293">
        <f>0.9*'E-Inv AF y Am'!$E$59</f>
        <v>375252</v>
      </c>
      <c r="F10" s="293">
        <f>0.9*'E-Inv AF y Am'!$E$59</f>
        <v>375252</v>
      </c>
      <c r="G10" s="340" t="s">
        <v>424</v>
      </c>
      <c r="H10" s="340"/>
      <c r="I10" s="340"/>
      <c r="J10" s="340"/>
      <c r="K10" s="340"/>
    </row>
    <row r="11" spans="1:6" ht="12.75">
      <c r="A11" s="27" t="s">
        <v>97</v>
      </c>
      <c r="B11" s="293">
        <f>+'Adicional A'!$C$22</f>
        <v>650000</v>
      </c>
      <c r="C11" s="293">
        <f>+'Adicional A'!$C$22</f>
        <v>650000</v>
      </c>
      <c r="D11" s="293">
        <f>+'Adicional A'!$C$22</f>
        <v>650000</v>
      </c>
      <c r="E11" s="293">
        <f>+'Adicional A'!$C$22</f>
        <v>650000</v>
      </c>
      <c r="F11" s="293">
        <f>+'Adicional A'!$C$22</f>
        <v>650000</v>
      </c>
    </row>
    <row r="12" spans="1:7" ht="12.75">
      <c r="A12" s="27" t="s">
        <v>98</v>
      </c>
      <c r="B12" s="293">
        <v>120000</v>
      </c>
      <c r="C12" s="293">
        <v>120000</v>
      </c>
      <c r="D12" s="293">
        <v>120000</v>
      </c>
      <c r="E12" s="293">
        <v>120000</v>
      </c>
      <c r="F12" s="293">
        <v>120000</v>
      </c>
      <c r="G12" s="16" t="s">
        <v>426</v>
      </c>
    </row>
    <row r="13" spans="1:6" ht="12.75">
      <c r="A13" s="27" t="s">
        <v>99</v>
      </c>
      <c r="B13" s="293">
        <v>0</v>
      </c>
      <c r="C13" s="293">
        <v>0</v>
      </c>
      <c r="D13" s="293">
        <v>0</v>
      </c>
      <c r="E13" s="293">
        <v>0</v>
      </c>
      <c r="F13" s="293">
        <v>0</v>
      </c>
    </row>
    <row r="14" spans="1:11" ht="12.75">
      <c r="A14" s="27" t="s">
        <v>428</v>
      </c>
      <c r="B14" s="293">
        <f>+'Adicional A'!K24</f>
        <v>485237.66500000004</v>
      </c>
      <c r="C14" s="293">
        <f>+'Adicional A'!$J$24</f>
        <v>441125.15</v>
      </c>
      <c r="D14" s="293">
        <f>+'Adicional A'!$J$24</f>
        <v>441125.15</v>
      </c>
      <c r="E14" s="293">
        <f>+'Adicional A'!$J$24</f>
        <v>441125.15</v>
      </c>
      <c r="F14" s="293">
        <f>+'Adicional A'!$J$24</f>
        <v>441125.15</v>
      </c>
      <c r="G14" s="340"/>
      <c r="H14" s="340"/>
      <c r="I14" s="340"/>
      <c r="J14" s="340"/>
      <c r="K14" s="340"/>
    </row>
    <row r="15" spans="1:6" ht="12.75">
      <c r="A15" s="27" t="s">
        <v>100</v>
      </c>
      <c r="B15" s="293">
        <f>+'Adicional A'!$M$34</f>
        <v>90000</v>
      </c>
      <c r="C15" s="293">
        <f>+'Adicional A'!$M$34</f>
        <v>90000</v>
      </c>
      <c r="D15" s="293">
        <f>+'Adicional A'!$M$34</f>
        <v>90000</v>
      </c>
      <c r="E15" s="293">
        <f>+'Adicional A'!$M$34</f>
        <v>90000</v>
      </c>
      <c r="F15" s="293">
        <f>+'Adicional A'!$M$34</f>
        <v>90000</v>
      </c>
    </row>
    <row r="16" spans="1:6" ht="12.75">
      <c r="A16" s="27" t="s">
        <v>15</v>
      </c>
      <c r="B16" s="293">
        <f>+'Adicional A'!C42</f>
        <v>84689.7933</v>
      </c>
      <c r="C16" s="293">
        <f>+'Adicional A'!D42</f>
        <v>85307.543</v>
      </c>
      <c r="D16" s="293">
        <f>+'Adicional A'!D42</f>
        <v>85307.543</v>
      </c>
      <c r="E16" s="293">
        <f>+'Adicional A'!E42</f>
        <v>85127.543</v>
      </c>
      <c r="F16" s="293">
        <f>+'Adicional A'!E42</f>
        <v>85127.543</v>
      </c>
    </row>
    <row r="17" spans="1:6" ht="12.75">
      <c r="A17" s="25" t="s">
        <v>101</v>
      </c>
      <c r="B17" s="95">
        <f>+SUM(B7:B16)</f>
        <v>4409179.4583</v>
      </c>
      <c r="C17" s="95">
        <f>+SUM(C7:C16)</f>
        <v>4440684.693</v>
      </c>
      <c r="D17" s="95">
        <f>+SUM(D7:D16)</f>
        <v>4440684.693</v>
      </c>
      <c r="E17" s="95">
        <f>+SUM(E7:E16)</f>
        <v>4431504.693</v>
      </c>
      <c r="F17" s="95">
        <f>+SUM(F7:F16)</f>
        <v>4431504.693</v>
      </c>
    </row>
    <row r="18" spans="1:6" ht="12.75">
      <c r="A18" s="65"/>
      <c r="B18" s="66"/>
      <c r="C18" s="66"/>
      <c r="D18" s="66"/>
      <c r="E18" s="66"/>
      <c r="F18" s="67"/>
    </row>
    <row r="19" spans="1:6" ht="12.75">
      <c r="A19" s="68" t="s">
        <v>102</v>
      </c>
      <c r="B19" s="294">
        <f>+SUM(B10:B16)/B17</f>
        <v>0.4114551189076513</v>
      </c>
      <c r="C19" s="294">
        <f>+SUM(C10:C16)/C17</f>
        <v>0.39874136882341354</v>
      </c>
      <c r="D19" s="294">
        <f>+SUM(D10:D16)/D17</f>
        <v>0.39874136882341354</v>
      </c>
      <c r="E19" s="294">
        <f>+SUM(E10:E16)/E17</f>
        <v>0.39749584284147793</v>
      </c>
      <c r="F19" s="294">
        <f>+SUM(F10:F16)/F17</f>
        <v>0.39749584284147793</v>
      </c>
    </row>
    <row r="20" spans="1:6" ht="12.75">
      <c r="A20" s="35" t="s">
        <v>103</v>
      </c>
      <c r="B20" s="295">
        <f>+SUM(B7:B8)/B17</f>
        <v>0.5885448810923487</v>
      </c>
      <c r="C20" s="295">
        <f>+SUM(C7:C8)/C17</f>
        <v>0.6012586311765864</v>
      </c>
      <c r="D20" s="295">
        <f>+SUM(D7:D8)/D17</f>
        <v>0.6012586311765864</v>
      </c>
      <c r="E20" s="295">
        <f>+SUM(E7:E8)/E17</f>
        <v>0.602504157158522</v>
      </c>
      <c r="F20" s="295">
        <f>+SUM(F7:F8)/F17</f>
        <v>0.602504157158522</v>
      </c>
    </row>
    <row r="22" spans="1:7" ht="12.75">
      <c r="A22" s="71"/>
      <c r="B22" s="18" t="s">
        <v>104</v>
      </c>
      <c r="C22" s="18"/>
      <c r="D22" s="18"/>
      <c r="E22" s="18"/>
      <c r="F22" s="18"/>
      <c r="G22" s="19"/>
    </row>
    <row r="23" spans="1:7" ht="12.75">
      <c r="A23" s="58"/>
      <c r="B23" s="59" t="s">
        <v>105</v>
      </c>
      <c r="C23" s="59"/>
      <c r="D23" s="59"/>
      <c r="E23" s="59"/>
      <c r="F23" s="59"/>
      <c r="G23" s="60" t="s">
        <v>106</v>
      </c>
    </row>
    <row r="24" spans="1:7" ht="12.75">
      <c r="A24" s="58" t="s">
        <v>88</v>
      </c>
      <c r="B24" s="72" t="s">
        <v>48</v>
      </c>
      <c r="C24" s="72" t="s">
        <v>89</v>
      </c>
      <c r="D24" s="72" t="s">
        <v>90</v>
      </c>
      <c r="E24" s="72" t="s">
        <v>91</v>
      </c>
      <c r="F24" s="72" t="s">
        <v>92</v>
      </c>
      <c r="G24" s="73" t="s">
        <v>48</v>
      </c>
    </row>
    <row r="25" spans="1:7" ht="12.75">
      <c r="A25" s="23" t="s">
        <v>93</v>
      </c>
      <c r="B25" s="292">
        <f>+'Adicional A'!$I$14*'Adicional A'!$E$13</f>
        <v>15000</v>
      </c>
      <c r="C25" s="292">
        <f>+'Adicional A'!$I$14*'Adicional A'!$E$13</f>
        <v>15000</v>
      </c>
      <c r="D25" s="292">
        <f>+'Adicional A'!$I$14*'Adicional A'!$E$13</f>
        <v>15000</v>
      </c>
      <c r="E25" s="292">
        <f>+'Adicional A'!$I$14*'Adicional A'!$E$13</f>
        <v>15000</v>
      </c>
      <c r="F25" s="292">
        <f>+'Adicional A'!$I$14*'Adicional A'!$E$13</f>
        <v>15000</v>
      </c>
      <c r="G25" s="296">
        <f>+('Adicional A'!I4-'Adicional A'!I12)*'Adicional A'!E13</f>
        <v>60000</v>
      </c>
    </row>
    <row r="26" spans="1:7" ht="12.75">
      <c r="A26" s="27" t="s">
        <v>94</v>
      </c>
      <c r="B26" s="293">
        <f>+'Adicional A'!$D$25</f>
        <v>11700</v>
      </c>
      <c r="C26" s="293">
        <f>+'Adicional A'!$D$25</f>
        <v>11700</v>
      </c>
      <c r="D26" s="293">
        <f>+'Adicional A'!$D$25</f>
        <v>11700</v>
      </c>
      <c r="E26" s="293">
        <f>+'Adicional A'!$D$25</f>
        <v>11700</v>
      </c>
      <c r="F26" s="293">
        <f>+'Adicional A'!$D$25</f>
        <v>11700</v>
      </c>
      <c r="G26" s="297">
        <f>+'Adicional A'!D26</f>
        <v>105300</v>
      </c>
    </row>
    <row r="27" spans="1:7" ht="12.75">
      <c r="A27" s="27" t="s">
        <v>95</v>
      </c>
      <c r="B27" s="288"/>
      <c r="C27" s="288"/>
      <c r="D27" s="288"/>
      <c r="E27" s="288"/>
      <c r="F27" s="288"/>
      <c r="G27" s="298"/>
    </row>
    <row r="28" spans="1:7" ht="12.75">
      <c r="A28" s="27" t="s">
        <v>96</v>
      </c>
      <c r="B28" s="293">
        <f>+'Adicional A'!N36</f>
        <v>989.0109890109891</v>
      </c>
      <c r="C28" s="293">
        <f>+'Adicional A'!$M$36</f>
        <v>900</v>
      </c>
      <c r="D28" s="293">
        <f>+'Adicional A'!$M$36</f>
        <v>900</v>
      </c>
      <c r="E28" s="293">
        <f>+'Adicional A'!$M$36</f>
        <v>900</v>
      </c>
      <c r="F28" s="293">
        <f>+'Adicional A'!$M$36</f>
        <v>900</v>
      </c>
      <c r="G28" s="293"/>
    </row>
    <row r="29" spans="1:7" ht="12.75">
      <c r="A29" s="27" t="s">
        <v>97</v>
      </c>
      <c r="B29" s="293">
        <f>+'Adicional A'!$C$25</f>
        <v>0</v>
      </c>
      <c r="C29" s="293">
        <f>+'Adicional A'!$C$25</f>
        <v>0</v>
      </c>
      <c r="D29" s="293">
        <f>+'Adicional A'!$C$25</f>
        <v>0</v>
      </c>
      <c r="E29" s="293">
        <f>+'Adicional A'!$C$25</f>
        <v>0</v>
      </c>
      <c r="F29" s="293">
        <f>+'Adicional A'!$C$25</f>
        <v>0</v>
      </c>
      <c r="G29" s="297"/>
    </row>
    <row r="30" spans="1:7" ht="12.75">
      <c r="A30" s="27" t="s">
        <v>107</v>
      </c>
      <c r="B30" s="293">
        <f>+'Adicional A'!K28</f>
        <v>4411.2515</v>
      </c>
      <c r="C30" s="293">
        <f>+'Adicional A'!$J$26</f>
        <v>4411.2515</v>
      </c>
      <c r="D30" s="293">
        <f>+'Adicional A'!$J$26</f>
        <v>4411.2515</v>
      </c>
      <c r="E30" s="293">
        <f>+'Adicional A'!$J$26</f>
        <v>4411.2515</v>
      </c>
      <c r="F30" s="293">
        <f>+'Adicional A'!$J$26</f>
        <v>4411.2515</v>
      </c>
      <c r="G30" s="297">
        <f>+'Adicional A'!K29</f>
        <v>83813.77850000003</v>
      </c>
    </row>
    <row r="31" spans="1:7" ht="12.75">
      <c r="A31" s="27" t="s">
        <v>108</v>
      </c>
      <c r="B31" s="293">
        <f>+(+B12*0.010989010989011)</f>
        <v>1318.6813186813188</v>
      </c>
      <c r="C31" s="293">
        <f>+C12*50/5000</f>
        <v>1200</v>
      </c>
      <c r="D31" s="293">
        <f aca="true" t="shared" si="0" ref="D31:F32">+D12*50/5000</f>
        <v>1200</v>
      </c>
      <c r="E31" s="293">
        <f t="shared" si="0"/>
        <v>1200</v>
      </c>
      <c r="F31" s="293">
        <f t="shared" si="0"/>
        <v>1200</v>
      </c>
      <c r="G31" s="297">
        <f>(+B12*50/4550)-C12*50/5000</f>
        <v>118.68131868131877</v>
      </c>
    </row>
    <row r="32" spans="1:7" ht="12.75">
      <c r="A32" s="27" t="s">
        <v>109</v>
      </c>
      <c r="B32" s="293">
        <f>+C32</f>
        <v>0</v>
      </c>
      <c r="C32" s="293">
        <f>+C13*50/5000</f>
        <v>0</v>
      </c>
      <c r="D32" s="293">
        <f>+D13*50/5000</f>
        <v>0</v>
      </c>
      <c r="E32" s="293">
        <f t="shared" si="0"/>
        <v>0</v>
      </c>
      <c r="F32" s="293">
        <f t="shared" si="0"/>
        <v>0</v>
      </c>
      <c r="G32" s="297">
        <f>(+B13*50/4550)-C13*50/5000</f>
        <v>0</v>
      </c>
    </row>
    <row r="33" spans="1:7" ht="12.75">
      <c r="A33" s="27" t="s">
        <v>110</v>
      </c>
      <c r="B33" s="63">
        <f>+'Adicional A'!N36</f>
        <v>989.0109890109891</v>
      </c>
      <c r="C33" s="63">
        <f>+'Adicional A'!$M$36</f>
        <v>900</v>
      </c>
      <c r="D33" s="63">
        <f>+'Adicional A'!$M$36</f>
        <v>900</v>
      </c>
      <c r="E33" s="63">
        <f>+'Adicional A'!$M$36</f>
        <v>900</v>
      </c>
      <c r="F33" s="63">
        <f>+'Adicional A'!$M$36</f>
        <v>900</v>
      </c>
      <c r="G33" s="64"/>
    </row>
    <row r="34" spans="1:7" ht="12.75">
      <c r="A34" s="27" t="s">
        <v>111</v>
      </c>
      <c r="B34" s="63">
        <f>+'Adicional A'!C42</f>
        <v>84689.7933</v>
      </c>
      <c r="C34" s="63">
        <f>+'Adicional A'!$D$42</f>
        <v>85307.543</v>
      </c>
      <c r="D34" s="63">
        <f>+'Adicional A'!$D$42</f>
        <v>85307.543</v>
      </c>
      <c r="E34" s="293">
        <f>+'Adicional A'!$E$42</f>
        <v>85127.543</v>
      </c>
      <c r="F34" s="293">
        <f>+'Adicional A'!$E$42</f>
        <v>85127.543</v>
      </c>
      <c r="G34" s="64"/>
    </row>
    <row r="35" spans="1:7" ht="12.75">
      <c r="A35" s="35" t="s">
        <v>112</v>
      </c>
      <c r="B35" s="147">
        <f aca="true" t="shared" si="1" ref="B35:G35">+SUM(B25:B34)</f>
        <v>119097.74809670329</v>
      </c>
      <c r="C35" s="147">
        <f t="shared" si="1"/>
        <v>119418.7945</v>
      </c>
      <c r="D35" s="147">
        <f t="shared" si="1"/>
        <v>119418.7945</v>
      </c>
      <c r="E35" s="147">
        <f t="shared" si="1"/>
        <v>119238.7945</v>
      </c>
      <c r="F35" s="147">
        <f t="shared" si="1"/>
        <v>119238.7945</v>
      </c>
      <c r="G35" s="147">
        <f t="shared" si="1"/>
        <v>249232.45981868132</v>
      </c>
    </row>
    <row r="36" spans="1:7" ht="12.75">
      <c r="A36" s="74"/>
      <c r="B36" s="75"/>
      <c r="C36" s="75"/>
      <c r="D36" s="75"/>
      <c r="E36" s="75"/>
      <c r="F36" s="75"/>
      <c r="G36" s="75"/>
    </row>
    <row r="37" spans="1:6" ht="12.75">
      <c r="A37" s="37"/>
      <c r="B37" s="76" t="s">
        <v>113</v>
      </c>
      <c r="C37" s="76"/>
      <c r="D37" s="76"/>
      <c r="E37" s="76"/>
      <c r="F37" s="77"/>
    </row>
    <row r="38" spans="1:7" ht="12.75">
      <c r="A38" s="35"/>
      <c r="B38" s="72" t="s">
        <v>48</v>
      </c>
      <c r="C38" s="72" t="s">
        <v>89</v>
      </c>
      <c r="D38" s="72" t="s">
        <v>90</v>
      </c>
      <c r="E38" s="72" t="s">
        <v>91</v>
      </c>
      <c r="F38" s="22" t="s">
        <v>92</v>
      </c>
      <c r="G38" s="75"/>
    </row>
    <row r="39" spans="1:7" ht="12.75">
      <c r="A39" s="41" t="s">
        <v>101</v>
      </c>
      <c r="B39" s="61">
        <f>+B17</f>
        <v>4409179.4583</v>
      </c>
      <c r="C39" s="61">
        <f>+C17</f>
        <v>4440684.693</v>
      </c>
      <c r="D39" s="61">
        <f>+D17</f>
        <v>4440684.693</v>
      </c>
      <c r="E39" s="61">
        <f>+E17</f>
        <v>4431504.693</v>
      </c>
      <c r="F39" s="61">
        <f>+F17</f>
        <v>4431504.693</v>
      </c>
      <c r="G39" s="75"/>
    </row>
    <row r="40" spans="1:7" ht="12.75">
      <c r="A40" s="27" t="s">
        <v>114</v>
      </c>
      <c r="B40" s="63"/>
      <c r="C40" s="63"/>
      <c r="D40" s="63"/>
      <c r="E40" s="63"/>
      <c r="F40" s="45"/>
      <c r="G40" s="75"/>
    </row>
    <row r="41" spans="1:7" ht="12.75">
      <c r="A41" s="27" t="s">
        <v>115</v>
      </c>
      <c r="B41" s="63">
        <f>+G35</f>
        <v>249232.45981868132</v>
      </c>
      <c r="C41" s="63"/>
      <c r="D41" s="63"/>
      <c r="E41" s="63"/>
      <c r="F41" s="45"/>
      <c r="G41" s="75"/>
    </row>
    <row r="42" spans="1:7" ht="12.75">
      <c r="A42" s="27" t="s">
        <v>116</v>
      </c>
      <c r="B42" s="63">
        <f>+B35</f>
        <v>119097.74809670329</v>
      </c>
      <c r="C42" s="63">
        <f>+C35-B35</f>
        <v>321.04640329671383</v>
      </c>
      <c r="D42" s="63">
        <f>+D35-C35</f>
        <v>0</v>
      </c>
      <c r="E42" s="63">
        <f>+E35-D35</f>
        <v>-180</v>
      </c>
      <c r="F42" s="63">
        <f>+F35-E35</f>
        <v>0</v>
      </c>
      <c r="G42" s="75"/>
    </row>
    <row r="43" spans="1:7" ht="12.75">
      <c r="A43" s="25" t="s">
        <v>117</v>
      </c>
      <c r="B43" s="63">
        <f>+B39-B41-B42</f>
        <v>4040849.2503846157</v>
      </c>
      <c r="C43" s="63">
        <f>+C39-C41-C42</f>
        <v>4440363.646596704</v>
      </c>
      <c r="D43" s="63">
        <f>+D39-D41-D42</f>
        <v>4440684.693</v>
      </c>
      <c r="E43" s="63">
        <f>+E39-E41-E42</f>
        <v>4431684.693</v>
      </c>
      <c r="F43" s="63">
        <f>+F39-F41-F42</f>
        <v>4431504.693</v>
      </c>
      <c r="G43" s="75"/>
    </row>
    <row r="44" spans="1:7" ht="12.75">
      <c r="A44" s="68" t="s">
        <v>118</v>
      </c>
      <c r="B44" s="78">
        <f>+B43/'Adicional A'!I12</f>
        <v>888.0987363482672</v>
      </c>
      <c r="C44" s="78">
        <f>+C43/'Adicional A'!J12</f>
        <v>888.0727293193407</v>
      </c>
      <c r="D44" s="78">
        <f>+D43/'Adicional A'!K12</f>
        <v>888.1369386</v>
      </c>
      <c r="E44" s="78">
        <f>+E43/'Adicional A'!L12</f>
        <v>886.3369385999999</v>
      </c>
      <c r="F44" s="78">
        <f>+F43/'Adicional A'!M12</f>
        <v>886.3009386</v>
      </c>
      <c r="G44" s="75"/>
    </row>
    <row r="45" spans="1:7" ht="12.75">
      <c r="A45" s="68"/>
      <c r="B45" s="78"/>
      <c r="C45" s="78"/>
      <c r="D45" s="78"/>
      <c r="E45" s="78"/>
      <c r="F45" s="79"/>
      <c r="G45" s="75"/>
    </row>
    <row r="46" spans="1:7" ht="12.75">
      <c r="A46" s="68" t="s">
        <v>102</v>
      </c>
      <c r="B46" s="80">
        <f>+B19</f>
        <v>0.4114551189076513</v>
      </c>
      <c r="C46" s="80">
        <f aca="true" t="shared" si="2" ref="C46:F47">+C19</f>
        <v>0.39874136882341354</v>
      </c>
      <c r="D46" s="80">
        <f t="shared" si="2"/>
        <v>0.39874136882341354</v>
      </c>
      <c r="E46" s="80">
        <f t="shared" si="2"/>
        <v>0.39749584284147793</v>
      </c>
      <c r="F46" s="80">
        <f t="shared" si="2"/>
        <v>0.39749584284147793</v>
      </c>
      <c r="G46" s="75"/>
    </row>
    <row r="47" spans="1:7" ht="12.75">
      <c r="A47" s="35" t="s">
        <v>103</v>
      </c>
      <c r="B47" s="80">
        <f>+B20</f>
        <v>0.5885448810923487</v>
      </c>
      <c r="C47" s="80">
        <f t="shared" si="2"/>
        <v>0.6012586311765864</v>
      </c>
      <c r="D47" s="80">
        <f t="shared" si="2"/>
        <v>0.6012586311765864</v>
      </c>
      <c r="E47" s="80">
        <f t="shared" si="2"/>
        <v>0.602504157158522</v>
      </c>
      <c r="F47" s="80">
        <f t="shared" si="2"/>
        <v>0.602504157158522</v>
      </c>
      <c r="G47" s="75"/>
    </row>
    <row r="50" spans="1:6" ht="12.75">
      <c r="A50" s="33"/>
      <c r="B50" s="18" t="s">
        <v>119</v>
      </c>
      <c r="C50" s="18"/>
      <c r="D50" s="18"/>
      <c r="E50" s="18"/>
      <c r="F50" s="19"/>
    </row>
    <row r="51" spans="1:6" ht="12.75">
      <c r="A51" s="83" t="s">
        <v>88</v>
      </c>
      <c r="B51" s="21" t="s">
        <v>48</v>
      </c>
      <c r="C51" s="21" t="s">
        <v>89</v>
      </c>
      <c r="D51" s="21" t="s">
        <v>90</v>
      </c>
      <c r="E51" s="21" t="s">
        <v>91</v>
      </c>
      <c r="F51" s="22" t="s">
        <v>92</v>
      </c>
    </row>
    <row r="52" spans="1:6" ht="12.75">
      <c r="A52" s="71" t="s">
        <v>120</v>
      </c>
      <c r="B52" s="302">
        <f>+'Adicional A'!E24</f>
        <v>1625000</v>
      </c>
      <c r="C52" s="302">
        <f>+'Adicional A'!$E$22</f>
        <v>1625000</v>
      </c>
      <c r="D52" s="302">
        <f>+'Adicional A'!$E$22</f>
        <v>1625000</v>
      </c>
      <c r="E52" s="302">
        <f>+'Adicional A'!$E$22</f>
        <v>1625000</v>
      </c>
      <c r="F52" s="302">
        <f>+'Adicional A'!$E$22</f>
        <v>1625000</v>
      </c>
    </row>
    <row r="53" spans="1:6" ht="12.75">
      <c r="A53" s="27" t="s">
        <v>121</v>
      </c>
      <c r="B53" s="293">
        <f>0.05*'E-Inv AF y Am'!$D$59</f>
        <v>21347.333333333336</v>
      </c>
      <c r="C53" s="293">
        <f>0.05*'E-Inv AF y Am'!$D$59</f>
        <v>21347.333333333336</v>
      </c>
      <c r="D53" s="293">
        <f>0.05*'E-Inv AF y Am'!$D$59</f>
        <v>21347.333333333336</v>
      </c>
      <c r="E53" s="293">
        <f>0.05*'E-Inv AF y Am'!$E$59</f>
        <v>20847.333333333336</v>
      </c>
      <c r="F53" s="293">
        <f>0.05*'E-Inv AF y Am'!$E$59</f>
        <v>20847.333333333336</v>
      </c>
    </row>
    <row r="54" spans="1:6" ht="12.75">
      <c r="A54" s="27" t="s">
        <v>107</v>
      </c>
      <c r="B54" s="293">
        <f>+'Adicional A'!P23</f>
        <v>222727.0925</v>
      </c>
      <c r="C54" s="293">
        <f>+'Adicional A'!$O$23</f>
        <v>202479.175</v>
      </c>
      <c r="D54" s="293">
        <f>+'Adicional A'!$O$23</f>
        <v>202479.175</v>
      </c>
      <c r="E54" s="293">
        <f>+'Adicional A'!$O$23</f>
        <v>202479.175</v>
      </c>
      <c r="F54" s="293">
        <f>+'Adicional A'!$O$23</f>
        <v>202479.175</v>
      </c>
    </row>
    <row r="55" spans="1:7" ht="12.75">
      <c r="A55" s="27" t="s">
        <v>122</v>
      </c>
      <c r="B55" s="293">
        <f>0.02*B12</f>
        <v>2400</v>
      </c>
      <c r="C55" s="293">
        <f>0.02*C12</f>
        <v>2400</v>
      </c>
      <c r="D55" s="293">
        <f>0.02*D12</f>
        <v>2400</v>
      </c>
      <c r="E55" s="293">
        <f>0.02*E12</f>
        <v>2400</v>
      </c>
      <c r="F55" s="293">
        <f>0.02*F12</f>
        <v>2400</v>
      </c>
      <c r="G55" s="16" t="s">
        <v>475</v>
      </c>
    </row>
    <row r="56" spans="1:6" ht="12.75">
      <c r="A56" s="27" t="s">
        <v>123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</row>
    <row r="57" spans="1:6" ht="12.75">
      <c r="A57" s="27" t="s">
        <v>124</v>
      </c>
      <c r="B57" s="293">
        <v>5000</v>
      </c>
      <c r="C57" s="293">
        <v>5000</v>
      </c>
      <c r="D57" s="293">
        <v>5000</v>
      </c>
      <c r="E57" s="293">
        <v>5000</v>
      </c>
      <c r="F57" s="293">
        <v>5000</v>
      </c>
    </row>
    <row r="58" spans="1:6" ht="12.75">
      <c r="A58" s="27" t="s">
        <v>100</v>
      </c>
      <c r="B58" s="293">
        <f>+'Adicional A'!$O$32</f>
        <v>5000</v>
      </c>
      <c r="C58" s="293">
        <f>+'Adicional A'!$O$32</f>
        <v>5000</v>
      </c>
      <c r="D58" s="293">
        <f>+'Adicional A'!$O$32</f>
        <v>5000</v>
      </c>
      <c r="E58" s="293">
        <f>+'Adicional A'!$O$32</f>
        <v>5000</v>
      </c>
      <c r="F58" s="293">
        <f>+'Adicional A'!$O$32</f>
        <v>5000</v>
      </c>
    </row>
    <row r="59" spans="1:7" ht="12.75">
      <c r="A59" s="27" t="s">
        <v>15</v>
      </c>
      <c r="B59" s="293">
        <f>+SUM(B52:B58)*0.02</f>
        <v>37629.488516666665</v>
      </c>
      <c r="C59" s="293">
        <f>+SUM(C52:C58)*0.02</f>
        <v>37224.530166666664</v>
      </c>
      <c r="D59" s="293">
        <f>+SUM(D52:D58)*0.02</f>
        <v>37224.530166666664</v>
      </c>
      <c r="E59" s="293">
        <f>+SUM(E52:E58)*0.02</f>
        <v>37214.530166666664</v>
      </c>
      <c r="F59" s="293">
        <f>+SUM(F52:F58)*0.02</f>
        <v>37214.530166666664</v>
      </c>
      <c r="G59" s="16" t="s">
        <v>474</v>
      </c>
    </row>
    <row r="60" spans="1:6" ht="12.75">
      <c r="A60" s="27"/>
      <c r="B60" s="47"/>
      <c r="C60" s="47"/>
      <c r="D60" s="47"/>
      <c r="E60" s="47"/>
      <c r="F60" s="48"/>
    </row>
    <row r="61" spans="1:6" ht="12.75">
      <c r="A61" s="25" t="s">
        <v>125</v>
      </c>
      <c r="B61" s="293">
        <f>+SUM(B52:B59)</f>
        <v>1919103.91435</v>
      </c>
      <c r="C61" s="293">
        <f>+SUM(C52:C59)</f>
        <v>1898451.0385</v>
      </c>
      <c r="D61" s="293">
        <f>+SUM(D52:D59)</f>
        <v>1898451.0385</v>
      </c>
      <c r="E61" s="293">
        <f>+SUM(E52:E59)</f>
        <v>1897941.0385</v>
      </c>
      <c r="F61" s="293">
        <f>+SUM(F52:F59)</f>
        <v>1897941.0385</v>
      </c>
    </row>
    <row r="62" spans="1:7" ht="12.75">
      <c r="A62" s="25"/>
      <c r="B62" s="86"/>
      <c r="C62" s="86"/>
      <c r="D62" s="86"/>
      <c r="E62" s="86"/>
      <c r="F62" s="87"/>
      <c r="G62" s="75"/>
    </row>
    <row r="63" spans="1:7" ht="12.75">
      <c r="A63" s="68" t="s">
        <v>102</v>
      </c>
      <c r="B63" s="88">
        <v>1</v>
      </c>
      <c r="C63" s="88">
        <v>1</v>
      </c>
      <c r="D63" s="88">
        <v>1</v>
      </c>
      <c r="E63" s="88">
        <v>1</v>
      </c>
      <c r="F63" s="88">
        <v>1</v>
      </c>
      <c r="G63" s="75"/>
    </row>
    <row r="64" spans="1:7" ht="12.75">
      <c r="A64" s="35" t="s">
        <v>103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75"/>
    </row>
    <row r="67" spans="1:6" ht="12.75">
      <c r="A67" s="33"/>
      <c r="B67" s="18" t="s">
        <v>126</v>
      </c>
      <c r="C67" s="18"/>
      <c r="D67" s="18"/>
      <c r="E67" s="18"/>
      <c r="F67" s="19"/>
    </row>
    <row r="68" spans="1:6" ht="12.75">
      <c r="A68" s="83" t="s">
        <v>88</v>
      </c>
      <c r="B68" s="21" t="s">
        <v>48</v>
      </c>
      <c r="C68" s="21" t="s">
        <v>89</v>
      </c>
      <c r="D68" s="21" t="s">
        <v>90</v>
      </c>
      <c r="E68" s="21" t="s">
        <v>91</v>
      </c>
      <c r="F68" s="22" t="s">
        <v>92</v>
      </c>
    </row>
    <row r="69" spans="1:6" ht="12.75">
      <c r="A69" s="23" t="s">
        <v>120</v>
      </c>
      <c r="B69" s="292">
        <f>+'Adicional A'!$F$24</f>
        <v>1495000</v>
      </c>
      <c r="C69" s="292">
        <f>+'Adicional A'!$F$24</f>
        <v>1495000</v>
      </c>
      <c r="D69" s="292">
        <f>+'Adicional A'!$F$24</f>
        <v>1495000</v>
      </c>
      <c r="E69" s="292">
        <f>+'Adicional A'!$F$24</f>
        <v>1495000</v>
      </c>
      <c r="F69" s="292">
        <f>+'Adicional A'!$F$24</f>
        <v>1495000</v>
      </c>
    </row>
    <row r="70" spans="1:6" ht="12.75">
      <c r="A70" s="27" t="s">
        <v>121</v>
      </c>
      <c r="B70" s="293">
        <f>0.05*'E-Inv AF y Am'!$D$59</f>
        <v>21347.333333333336</v>
      </c>
      <c r="C70" s="293">
        <f>0.05*'E-Inv AF y Am'!$D$59</f>
        <v>21347.333333333336</v>
      </c>
      <c r="D70" s="293">
        <f>0.05*'E-Inv AF y Am'!$D$59</f>
        <v>21347.333333333336</v>
      </c>
      <c r="E70" s="293">
        <f>0.05*'E-Inv AF y Am'!$E$59</f>
        <v>20847.333333333336</v>
      </c>
      <c r="F70" s="293">
        <f>0.05*'E-Inv AF y Am'!$E$59</f>
        <v>20847.333333333336</v>
      </c>
    </row>
    <row r="71" spans="1:6" ht="12.75">
      <c r="A71" s="27" t="s">
        <v>107</v>
      </c>
      <c r="B71" s="293">
        <f>+'Adicional A'!U24</f>
        <v>194729.175</v>
      </c>
      <c r="C71" s="293">
        <f>+'Adicional A'!$T$24</f>
        <v>212729.175</v>
      </c>
      <c r="D71" s="293">
        <f>+'Adicional A'!$T$24</f>
        <v>212729.175</v>
      </c>
      <c r="E71" s="293">
        <f>+'Adicional A'!$T$24</f>
        <v>212729.175</v>
      </c>
      <c r="F71" s="293">
        <f>+'Adicional A'!$T$24</f>
        <v>212729.175</v>
      </c>
    </row>
    <row r="72" spans="1:7" ht="12.75">
      <c r="A72" s="27" t="s">
        <v>127</v>
      </c>
      <c r="B72" s="63">
        <f>0.02*B12</f>
        <v>2400</v>
      </c>
      <c r="C72" s="63">
        <f>0.02*C12</f>
        <v>2400</v>
      </c>
      <c r="D72" s="63">
        <f>0.02*D12</f>
        <v>2400</v>
      </c>
      <c r="E72" s="63">
        <f>0.02*E12</f>
        <v>2400</v>
      </c>
      <c r="F72" s="63">
        <f>0.02*F12</f>
        <v>2400</v>
      </c>
      <c r="G72" s="16" t="s">
        <v>471</v>
      </c>
    </row>
    <row r="73" spans="1:7" ht="12.75">
      <c r="A73" s="27" t="s">
        <v>123</v>
      </c>
      <c r="B73" s="293">
        <v>10000</v>
      </c>
      <c r="C73" s="293">
        <v>10000</v>
      </c>
      <c r="D73" s="293">
        <v>10000</v>
      </c>
      <c r="E73" s="293">
        <v>10000</v>
      </c>
      <c r="F73" s="293">
        <v>10000</v>
      </c>
      <c r="G73" s="16" t="s">
        <v>427</v>
      </c>
    </row>
    <row r="74" spans="1:6" ht="12.75">
      <c r="A74" s="27" t="s">
        <v>124</v>
      </c>
      <c r="B74" s="293">
        <v>5000</v>
      </c>
      <c r="C74" s="293">
        <v>5000</v>
      </c>
      <c r="D74" s="293">
        <v>5000</v>
      </c>
      <c r="E74" s="293">
        <v>5000</v>
      </c>
      <c r="F74" s="293">
        <v>5000</v>
      </c>
    </row>
    <row r="75" spans="1:6" ht="12.75">
      <c r="A75" s="27" t="s">
        <v>100</v>
      </c>
      <c r="B75" s="63">
        <f>+'Adicional A'!$Q$34</f>
        <v>20000</v>
      </c>
      <c r="C75" s="63">
        <f>+'Adicional A'!$Q$34</f>
        <v>20000</v>
      </c>
      <c r="D75" s="63">
        <f>+'Adicional A'!$Q$34</f>
        <v>20000</v>
      </c>
      <c r="E75" s="63">
        <f>+'Adicional A'!$Q$34</f>
        <v>20000</v>
      </c>
      <c r="F75" s="63">
        <f>+'Adicional A'!$Q$34</f>
        <v>20000</v>
      </c>
    </row>
    <row r="76" spans="1:7" ht="12.75">
      <c r="A76" s="27" t="s">
        <v>15</v>
      </c>
      <c r="B76" s="293">
        <f>+SUM(B69:B75)*0.02</f>
        <v>34969.530166666664</v>
      </c>
      <c r="C76" s="293">
        <f>+SUM(C69:C75)*0.02</f>
        <v>35329.530166666664</v>
      </c>
      <c r="D76" s="293">
        <f>+SUM(D69:D75)*0.02</f>
        <v>35329.530166666664</v>
      </c>
      <c r="E76" s="293">
        <f>+SUM(E69:E75)*0.02</f>
        <v>35319.530166666664</v>
      </c>
      <c r="F76" s="293">
        <f>+SUM(F69:F75)*0.02</f>
        <v>35319.530166666664</v>
      </c>
      <c r="G76" s="16" t="s">
        <v>474</v>
      </c>
    </row>
    <row r="77" spans="1:6" ht="12.75">
      <c r="A77" s="27"/>
      <c r="B77" s="47"/>
      <c r="C77" s="47"/>
      <c r="D77" s="47"/>
      <c r="E77" s="47"/>
      <c r="F77" s="48"/>
    </row>
    <row r="78" spans="1:6" ht="12.75">
      <c r="A78" s="25" t="s">
        <v>128</v>
      </c>
      <c r="B78" s="293">
        <f>+SUM(B69:B76)</f>
        <v>1783446.0385</v>
      </c>
      <c r="C78" s="293">
        <f>+SUM(C69:C76)</f>
        <v>1801806.0385</v>
      </c>
      <c r="D78" s="293">
        <f>+SUM(D69:D76)</f>
        <v>1801806.0385</v>
      </c>
      <c r="E78" s="293">
        <f>+SUM(E69:E76)</f>
        <v>1801296.0385</v>
      </c>
      <c r="F78" s="293">
        <f>+SUM(F69:F76)</f>
        <v>1801296.0385</v>
      </c>
    </row>
    <row r="79" spans="1:6" ht="12.75">
      <c r="A79" s="25"/>
      <c r="B79" s="86"/>
      <c r="C79" s="86"/>
      <c r="D79" s="86"/>
      <c r="E79" s="86"/>
      <c r="F79" s="87"/>
    </row>
    <row r="80" spans="1:6" ht="12.75">
      <c r="A80" s="68" t="s">
        <v>102</v>
      </c>
      <c r="B80" s="88">
        <v>1</v>
      </c>
      <c r="C80" s="88">
        <v>1</v>
      </c>
      <c r="D80" s="88">
        <v>1</v>
      </c>
      <c r="E80" s="88">
        <v>1</v>
      </c>
      <c r="F80" s="88">
        <v>1</v>
      </c>
    </row>
    <row r="81" spans="1:6" ht="12.75">
      <c r="A81" s="35" t="s">
        <v>103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</row>
    <row r="84" spans="1:6" ht="15.75">
      <c r="A84" s="90" t="s">
        <v>129</v>
      </c>
      <c r="B84" s="91"/>
      <c r="C84" s="91"/>
      <c r="D84" s="91"/>
      <c r="E84" s="91"/>
      <c r="F84" s="92"/>
    </row>
    <row r="85" spans="1:6" ht="12.75">
      <c r="A85" s="27"/>
      <c r="B85" s="59" t="s">
        <v>48</v>
      </c>
      <c r="C85" s="59" t="s">
        <v>89</v>
      </c>
      <c r="D85" s="59" t="s">
        <v>90</v>
      </c>
      <c r="E85" s="59" t="s">
        <v>91</v>
      </c>
      <c r="F85" s="22" t="s">
        <v>92</v>
      </c>
    </row>
    <row r="86" spans="1:6" ht="12.75">
      <c r="A86" s="27" t="s">
        <v>130</v>
      </c>
      <c r="B86" s="303">
        <f>+'Adicional A'!I13</f>
        <v>4500</v>
      </c>
      <c r="C86" s="303">
        <f>+'Adicional A'!J13</f>
        <v>5000</v>
      </c>
      <c r="D86" s="303">
        <f>+'Adicional A'!K13</f>
        <v>5000</v>
      </c>
      <c r="E86" s="303">
        <f>+'Adicional A'!L13</f>
        <v>5000</v>
      </c>
      <c r="F86" s="303">
        <f>+'Adicional A'!M13</f>
        <v>5000</v>
      </c>
    </row>
    <row r="87" spans="1:6" ht="12.75">
      <c r="A87" s="27" t="s">
        <v>131</v>
      </c>
      <c r="B87" s="63">
        <v>3000</v>
      </c>
      <c r="C87" s="63">
        <v>3000</v>
      </c>
      <c r="D87" s="63">
        <v>3000</v>
      </c>
      <c r="E87" s="63">
        <v>3000</v>
      </c>
      <c r="F87" s="63">
        <v>3000</v>
      </c>
    </row>
    <row r="88" spans="1:6" ht="12.75">
      <c r="A88" s="25" t="s">
        <v>132</v>
      </c>
      <c r="B88" s="293">
        <f>+B86*B87</f>
        <v>13500000</v>
      </c>
      <c r="C88" s="293">
        <f>+C86*C87</f>
        <v>15000000</v>
      </c>
      <c r="D88" s="293">
        <f>+D86*D87</f>
        <v>15000000</v>
      </c>
      <c r="E88" s="293">
        <f>+E86*E87</f>
        <v>15000000</v>
      </c>
      <c r="F88" s="293">
        <f>+F86*F87</f>
        <v>15000000</v>
      </c>
    </row>
    <row r="89" spans="1:6" ht="12.75">
      <c r="A89" s="27"/>
      <c r="B89" s="86"/>
      <c r="C89" s="86"/>
      <c r="D89" s="86"/>
      <c r="E89" s="86"/>
      <c r="F89" s="87"/>
    </row>
    <row r="90" spans="1:6" ht="12.75">
      <c r="A90" s="27" t="s">
        <v>133</v>
      </c>
      <c r="B90" s="63">
        <f aca="true" t="shared" si="3" ref="B90:F91">+B7</f>
        <v>1425000</v>
      </c>
      <c r="C90" s="63">
        <f t="shared" si="3"/>
        <v>1500000</v>
      </c>
      <c r="D90" s="63">
        <f t="shared" si="3"/>
        <v>1500000</v>
      </c>
      <c r="E90" s="63">
        <f t="shared" si="3"/>
        <v>1500000</v>
      </c>
      <c r="F90" s="63">
        <f t="shared" si="3"/>
        <v>1500000</v>
      </c>
    </row>
    <row r="91" spans="1:6" ht="12.75">
      <c r="A91" s="27" t="s">
        <v>94</v>
      </c>
      <c r="B91" s="63">
        <f t="shared" si="3"/>
        <v>1170000</v>
      </c>
      <c r="C91" s="63">
        <f t="shared" si="3"/>
        <v>1170000</v>
      </c>
      <c r="D91" s="63">
        <f t="shared" si="3"/>
        <v>1170000</v>
      </c>
      <c r="E91" s="63">
        <f t="shared" si="3"/>
        <v>1170000</v>
      </c>
      <c r="F91" s="63">
        <f t="shared" si="3"/>
        <v>1170000</v>
      </c>
    </row>
    <row r="92" spans="1:6" ht="12.75">
      <c r="A92" s="27" t="s">
        <v>134</v>
      </c>
      <c r="B92" s="63">
        <f>+SUM(B10:B16)</f>
        <v>1814179.4583</v>
      </c>
      <c r="C92" s="63">
        <f>+SUM(C10:C16)</f>
        <v>1770684.693</v>
      </c>
      <c r="D92" s="63">
        <f>+SUM(D10:D16)</f>
        <v>1770684.693</v>
      </c>
      <c r="E92" s="63">
        <f>+SUM(E10:E16)</f>
        <v>1761504.693</v>
      </c>
      <c r="F92" s="63">
        <f>+SUM(F10:F16)</f>
        <v>1761504.693</v>
      </c>
    </row>
    <row r="93" spans="1:6" ht="12.75">
      <c r="A93" s="27"/>
      <c r="B93" s="86"/>
      <c r="C93" s="86"/>
      <c r="D93" s="86"/>
      <c r="E93" s="86"/>
      <c r="F93" s="87"/>
    </row>
    <row r="94" spans="1:6" ht="12.75">
      <c r="A94" s="27" t="s">
        <v>135</v>
      </c>
      <c r="B94" s="304">
        <f>+SUM(B90:B92)</f>
        <v>4409179.4583</v>
      </c>
      <c r="C94" s="304">
        <f>+SUM(C90:C92)</f>
        <v>4440684.693</v>
      </c>
      <c r="D94" s="304">
        <f>+SUM(D90:D92)</f>
        <v>4440684.693</v>
      </c>
      <c r="E94" s="304">
        <f>+SUM(E90:E92)</f>
        <v>4431504.693</v>
      </c>
      <c r="F94" s="304">
        <f>+SUM(F90:F92)</f>
        <v>4431504.693</v>
      </c>
    </row>
    <row r="95" spans="1:6" ht="12.75">
      <c r="A95" s="27"/>
      <c r="B95" s="86"/>
      <c r="C95" s="86"/>
      <c r="D95" s="86"/>
      <c r="E95" s="86"/>
      <c r="F95" s="87"/>
    </row>
    <row r="96" spans="1:6" ht="12.75">
      <c r="A96" s="27" t="s">
        <v>114</v>
      </c>
      <c r="B96" s="86"/>
      <c r="C96" s="86"/>
      <c r="D96" s="86"/>
      <c r="E96" s="86"/>
      <c r="F96" s="87"/>
    </row>
    <row r="97" spans="1:6" ht="12.75">
      <c r="A97" s="29" t="s">
        <v>106</v>
      </c>
      <c r="B97" s="63">
        <f>+G35</f>
        <v>249232.45981868132</v>
      </c>
      <c r="C97" s="63"/>
      <c r="D97" s="63"/>
      <c r="E97" s="63"/>
      <c r="F97" s="64"/>
    </row>
    <row r="98" spans="1:6" ht="12.75">
      <c r="A98" s="29" t="s">
        <v>116</v>
      </c>
      <c r="B98" s="63">
        <f>+B42</f>
        <v>119097.74809670329</v>
      </c>
      <c r="C98" s="63">
        <f>+C42</f>
        <v>321.04640329671383</v>
      </c>
      <c r="D98" s="63">
        <f>+D42</f>
        <v>0</v>
      </c>
      <c r="E98" s="63">
        <f>+E42</f>
        <v>-180</v>
      </c>
      <c r="F98" s="63">
        <f>+F42</f>
        <v>0</v>
      </c>
    </row>
    <row r="99" spans="1:6" ht="12.75">
      <c r="A99" s="27"/>
      <c r="B99" s="86"/>
      <c r="C99" s="86"/>
      <c r="D99" s="86"/>
      <c r="E99" s="86"/>
      <c r="F99" s="87"/>
    </row>
    <row r="100" spans="1:6" ht="12.75">
      <c r="A100" s="25" t="s">
        <v>136</v>
      </c>
      <c r="B100" s="293">
        <f>+B94-B97-B98</f>
        <v>4040849.2503846157</v>
      </c>
      <c r="C100" s="293">
        <f>+C94-C97-C98</f>
        <v>4440363.646596704</v>
      </c>
      <c r="D100" s="293">
        <f>+D94-D97-D98</f>
        <v>4440684.693</v>
      </c>
      <c r="E100" s="293">
        <f>+E94-E97-E98</f>
        <v>4431684.693</v>
      </c>
      <c r="F100" s="293">
        <f>+F94-F97-F98</f>
        <v>4431504.693</v>
      </c>
    </row>
    <row r="101" spans="1:6" ht="12.75">
      <c r="A101" s="29" t="s">
        <v>137</v>
      </c>
      <c r="B101" s="305">
        <f>+'Adicional A'!I12</f>
        <v>4550</v>
      </c>
      <c r="C101" s="305">
        <f>+'Adicional A'!J12</f>
        <v>5000</v>
      </c>
      <c r="D101" s="305">
        <f>+'Adicional A'!K12</f>
        <v>5000</v>
      </c>
      <c r="E101" s="305">
        <f>+'Adicional A'!L12</f>
        <v>5000</v>
      </c>
      <c r="F101" s="305">
        <f>+'Adicional A'!M12</f>
        <v>5000</v>
      </c>
    </row>
    <row r="102" spans="1:6" ht="12.75">
      <c r="A102" s="27" t="s">
        <v>138</v>
      </c>
      <c r="B102" s="306">
        <f>+B100/B101</f>
        <v>888.0987363482672</v>
      </c>
      <c r="C102" s="293">
        <f>+C100/C101</f>
        <v>888.0727293193407</v>
      </c>
      <c r="D102" s="293">
        <f>+D100/D101</f>
        <v>888.1369386</v>
      </c>
      <c r="E102" s="293">
        <f>+E100/E101</f>
        <v>886.3369385999999</v>
      </c>
      <c r="F102" s="293">
        <f>+F100/F101</f>
        <v>886.3009386</v>
      </c>
    </row>
    <row r="103" spans="1:6" ht="12.75">
      <c r="A103" s="27"/>
      <c r="B103" s="97"/>
      <c r="C103" s="97"/>
      <c r="D103" s="97"/>
      <c r="E103" s="97"/>
      <c r="F103" s="98"/>
    </row>
    <row r="104" spans="1:6" ht="12.75">
      <c r="A104" s="27" t="s">
        <v>114</v>
      </c>
      <c r="B104" s="97"/>
      <c r="C104" s="97"/>
      <c r="D104" s="97"/>
      <c r="E104" s="97"/>
      <c r="F104" s="98"/>
    </row>
    <row r="105" spans="1:6" ht="12.75">
      <c r="A105" s="27" t="s">
        <v>139</v>
      </c>
      <c r="B105" s="293">
        <f>50*B102</f>
        <v>44404.936817413356</v>
      </c>
      <c r="C105" s="293">
        <f>50*C102-50*B102</f>
        <v>-1.3003514463198371</v>
      </c>
      <c r="D105" s="293">
        <f>50*D102-50*C102</f>
        <v>3.2104640329635004</v>
      </c>
      <c r="E105" s="293">
        <f>50*E102-50*D102</f>
        <v>-90</v>
      </c>
      <c r="F105" s="293">
        <f>50*F102-50*E102</f>
        <v>-1.8000000000029104</v>
      </c>
    </row>
    <row r="106" spans="1:6" ht="12.75">
      <c r="A106" s="27"/>
      <c r="B106" s="307"/>
      <c r="C106" s="307"/>
      <c r="D106" s="307"/>
      <c r="E106" s="307"/>
      <c r="F106" s="308"/>
    </row>
    <row r="107" spans="1:6" ht="12.75">
      <c r="A107" s="25" t="s">
        <v>140</v>
      </c>
      <c r="B107" s="293">
        <f>+B100-B105</f>
        <v>3996444.3135672025</v>
      </c>
      <c r="C107" s="293">
        <f>+C100-C105</f>
        <v>4440364.94694815</v>
      </c>
      <c r="D107" s="293">
        <f>+D100-D105</f>
        <v>4440681.482535967</v>
      </c>
      <c r="E107" s="293">
        <f>+E100-E105</f>
        <v>4431774.693</v>
      </c>
      <c r="F107" s="293">
        <f>+F100-F105</f>
        <v>4431506.493</v>
      </c>
    </row>
    <row r="108" spans="1:6" ht="12.75">
      <c r="A108" s="27"/>
      <c r="B108" s="86"/>
      <c r="C108" s="86"/>
      <c r="D108" s="86"/>
      <c r="E108" s="86"/>
      <c r="F108" s="87"/>
    </row>
    <row r="109" spans="1:6" ht="12.75">
      <c r="A109" s="25" t="s">
        <v>141</v>
      </c>
      <c r="B109" s="293">
        <f>+B61</f>
        <v>1919103.91435</v>
      </c>
      <c r="C109" s="293">
        <f>+C61</f>
        <v>1898451.0385</v>
      </c>
      <c r="D109" s="293">
        <f>+D61</f>
        <v>1898451.0385</v>
      </c>
      <c r="E109" s="293">
        <f>+E61</f>
        <v>1897941.0385</v>
      </c>
      <c r="F109" s="293">
        <f>+F61</f>
        <v>1897941.0385</v>
      </c>
    </row>
    <row r="110" spans="1:6" ht="12.75">
      <c r="A110" s="25" t="s">
        <v>142</v>
      </c>
      <c r="B110" s="304">
        <f>+B78</f>
        <v>1783446.0385</v>
      </c>
      <c r="C110" s="304">
        <f>+C78</f>
        <v>1801806.0385</v>
      </c>
      <c r="D110" s="304">
        <f>+D78</f>
        <v>1801806.0385</v>
      </c>
      <c r="E110" s="304">
        <f>+E78</f>
        <v>1801296.0385</v>
      </c>
      <c r="F110" s="304">
        <f>+F78</f>
        <v>1801296.0385</v>
      </c>
    </row>
    <row r="111" spans="1:6" ht="12.75">
      <c r="A111" s="27"/>
      <c r="B111" s="97"/>
      <c r="C111" s="97"/>
      <c r="D111" s="97"/>
      <c r="E111" s="97"/>
      <c r="F111" s="98"/>
    </row>
    <row r="112" spans="1:6" ht="12.75">
      <c r="A112" s="25" t="s">
        <v>143</v>
      </c>
      <c r="B112" s="304">
        <f>+B107+B109+B110</f>
        <v>7698994.266417203</v>
      </c>
      <c r="C112" s="304">
        <f>+C107+C109+C110</f>
        <v>8140622.02394815</v>
      </c>
      <c r="D112" s="304">
        <f>+D107+D109+D110</f>
        <v>8140938.559535966</v>
      </c>
      <c r="E112" s="304">
        <f>+E107+E109+E110</f>
        <v>8131011.77</v>
      </c>
      <c r="F112" s="304">
        <f>+F107+F109+F110</f>
        <v>8130743.569999999</v>
      </c>
    </row>
    <row r="113" spans="1:6" ht="12.75">
      <c r="A113" s="27"/>
      <c r="B113" s="97"/>
      <c r="C113" s="97"/>
      <c r="D113" s="97"/>
      <c r="E113" s="97"/>
      <c r="F113" s="98"/>
    </row>
    <row r="114" spans="1:6" ht="12.75">
      <c r="A114" s="25" t="s">
        <v>144</v>
      </c>
      <c r="B114" s="304">
        <f>+B112/B86</f>
        <v>1710.8876147593783</v>
      </c>
      <c r="C114" s="304">
        <f>+C112/C86</f>
        <v>1628.12440478963</v>
      </c>
      <c r="D114" s="304">
        <f>+D112/D86</f>
        <v>1628.1877119071933</v>
      </c>
      <c r="E114" s="304">
        <f>+E112/E86</f>
        <v>1626.202354</v>
      </c>
      <c r="F114" s="304">
        <f>+F112/F86</f>
        <v>1626.148714</v>
      </c>
    </row>
    <row r="115" spans="1:6" ht="12.75">
      <c r="A115" s="27"/>
      <c r="B115" s="97"/>
      <c r="C115" s="97"/>
      <c r="D115" s="97"/>
      <c r="E115" s="97"/>
      <c r="F115" s="98"/>
    </row>
    <row r="116" spans="1:6" ht="12.75">
      <c r="A116" s="25" t="s">
        <v>145</v>
      </c>
      <c r="B116" s="95">
        <f>+B88-B112</f>
        <v>5801005.733582797</v>
      </c>
      <c r="C116" s="95">
        <f>+C88-C112</f>
        <v>6859377.97605185</v>
      </c>
      <c r="D116" s="95">
        <f>+D88-D112</f>
        <v>6859061.440464034</v>
      </c>
      <c r="E116" s="95">
        <f>+E88-E112</f>
        <v>6868988.23</v>
      </c>
      <c r="F116" s="95">
        <f>+F88-F112</f>
        <v>6869256.430000001</v>
      </c>
    </row>
    <row r="117" spans="1:6" ht="12.75">
      <c r="A117" s="25" t="s">
        <v>3</v>
      </c>
      <c r="B117" s="95">
        <f>+B116*InfoInicial!$B$5</f>
        <v>406070.4013507959</v>
      </c>
      <c r="C117" s="95">
        <f>+C116*InfoInicial!$B$5</f>
        <v>480156.4583236296</v>
      </c>
      <c r="D117" s="95">
        <f>+D116*InfoInicial!$B$5</f>
        <v>480134.3008324824</v>
      </c>
      <c r="E117" s="95">
        <f>+E116*InfoInicial!$B$5</f>
        <v>480829.1761000001</v>
      </c>
      <c r="F117" s="95">
        <f>+F116*InfoInicial!$B$5</f>
        <v>480847.9501000001</v>
      </c>
    </row>
    <row r="118" spans="1:6" ht="12.75">
      <c r="A118" s="46" t="s">
        <v>146</v>
      </c>
      <c r="B118" s="95">
        <f>+(B116-B117)*InfoInicial!$B$4</f>
        <v>1888227.3662812002</v>
      </c>
      <c r="C118" s="95">
        <f>+(C116-C117)*InfoInicial!$B$4</f>
        <v>2232727.531204877</v>
      </c>
      <c r="D118" s="95">
        <f>+(D116-D117)*InfoInicial!$B$4</f>
        <v>2232624.498871043</v>
      </c>
      <c r="E118" s="95">
        <f>+(E116-E117)*InfoInicial!$B$4</f>
        <v>2235855.668865</v>
      </c>
      <c r="F118" s="95">
        <f>+(F116-F117)*InfoInicial!$B$4</f>
        <v>2235942.967965</v>
      </c>
    </row>
    <row r="119" spans="1:6" ht="12.75">
      <c r="A119" s="25"/>
      <c r="B119" s="97"/>
      <c r="C119" s="97"/>
      <c r="D119" s="97"/>
      <c r="E119" s="97"/>
      <c r="F119" s="98"/>
    </row>
    <row r="120" spans="1:6" ht="12.75">
      <c r="A120" s="46" t="s">
        <v>147</v>
      </c>
      <c r="B120" s="95">
        <f>+B116-B117-B118</f>
        <v>3506707.965950801</v>
      </c>
      <c r="C120" s="95">
        <f>+C116-C117-C118</f>
        <v>4146493.9865233437</v>
      </c>
      <c r="D120" s="95">
        <f>+D116-D117-D118</f>
        <v>4146302.640760509</v>
      </c>
      <c r="E120" s="95">
        <f>+E116-E117-E118</f>
        <v>4152303.3850350007</v>
      </c>
      <c r="F120" s="95">
        <f>+F116-F117-F118</f>
        <v>4152465.511935001</v>
      </c>
    </row>
    <row r="121" spans="1:6" ht="12.75">
      <c r="A121" s="25" t="s">
        <v>148</v>
      </c>
      <c r="B121" s="99">
        <f>+B120/B88</f>
        <v>0.25975614562598526</v>
      </c>
      <c r="C121" s="99">
        <f>+C120/C88</f>
        <v>0.2764329324348896</v>
      </c>
      <c r="D121" s="99">
        <f>+D120/D88</f>
        <v>0.2764201760507006</v>
      </c>
      <c r="E121" s="99">
        <f>+E120/E88</f>
        <v>0.27682022566900005</v>
      </c>
      <c r="F121" s="99">
        <f>+F120/F88</f>
        <v>0.27683103412900006</v>
      </c>
    </row>
    <row r="122" spans="1:6" ht="12.75">
      <c r="A122" s="25"/>
      <c r="B122" s="101"/>
      <c r="C122" s="101"/>
      <c r="D122" s="101"/>
      <c r="E122" s="101"/>
      <c r="F122" s="102"/>
    </row>
    <row r="123" spans="1:6" ht="12.75">
      <c r="A123" s="25" t="s">
        <v>149</v>
      </c>
      <c r="B123" s="99"/>
      <c r="C123" s="99"/>
      <c r="D123" s="99"/>
      <c r="E123" s="99"/>
      <c r="F123" s="100"/>
    </row>
    <row r="124" spans="1:6" ht="12.75">
      <c r="A124" s="46" t="s">
        <v>150</v>
      </c>
      <c r="B124" s="309">
        <f>+B120</f>
        <v>3506707.965950801</v>
      </c>
      <c r="C124" s="309">
        <f>+C120</f>
        <v>4146493.9865233437</v>
      </c>
      <c r="D124" s="309">
        <f>+D120</f>
        <v>4146302.640760509</v>
      </c>
      <c r="E124" s="309">
        <f>+E120</f>
        <v>4152303.3850350007</v>
      </c>
      <c r="F124" s="309">
        <f>+F120</f>
        <v>4152465.511935001</v>
      </c>
    </row>
    <row r="125" spans="1:6" ht="12.75">
      <c r="A125" s="25" t="s">
        <v>151</v>
      </c>
      <c r="B125" s="289">
        <f>+'E-Inv AF y Am'!$D$59</f>
        <v>426946.6666666667</v>
      </c>
      <c r="C125" s="289">
        <f>+'E-Inv AF y Am'!$D$59</f>
        <v>426946.6666666667</v>
      </c>
      <c r="D125" s="289">
        <f>+'E-Inv AF y Am'!$D$59</f>
        <v>426946.6666666667</v>
      </c>
      <c r="E125" s="310">
        <f>+'E-Inv AF y Am'!$E$59</f>
        <v>416946.6666666667</v>
      </c>
      <c r="F125" s="310">
        <f>+'E-Inv AF y Am'!$E$59</f>
        <v>416946.6666666667</v>
      </c>
    </row>
    <row r="126" spans="1:6" ht="12.75">
      <c r="A126" s="35" t="s">
        <v>152</v>
      </c>
      <c r="B126" s="311">
        <f>+B125+B124</f>
        <v>3933654.6326174675</v>
      </c>
      <c r="C126" s="311">
        <f>+C125+C124</f>
        <v>4573440.65319001</v>
      </c>
      <c r="D126" s="311">
        <f>+D125+D124</f>
        <v>4573249.307427175</v>
      </c>
      <c r="E126" s="311">
        <f>+E125+E124</f>
        <v>4569250.051701668</v>
      </c>
      <c r="F126" s="311">
        <f>+F125+F124</f>
        <v>4569412.178601667</v>
      </c>
    </row>
    <row r="127" spans="1:6" ht="12.75">
      <c r="A127" s="25"/>
      <c r="B127" s="30"/>
      <c r="C127" s="30"/>
      <c r="D127" s="30"/>
      <c r="E127" s="30"/>
      <c r="F127" s="103"/>
    </row>
    <row r="128" spans="1:6" ht="12.75">
      <c r="A128" s="25" t="s">
        <v>153</v>
      </c>
      <c r="B128" s="28">
        <f aca="true" t="shared" si="4" ref="B128:F129">+B19*B$17</f>
        <v>1814179.4583</v>
      </c>
      <c r="C128" s="28">
        <f t="shared" si="4"/>
        <v>1770684.693</v>
      </c>
      <c r="D128" s="28">
        <f t="shared" si="4"/>
        <v>1770684.693</v>
      </c>
      <c r="E128" s="28">
        <f t="shared" si="4"/>
        <v>1761504.693</v>
      </c>
      <c r="F128" s="28">
        <f t="shared" si="4"/>
        <v>1761504.693</v>
      </c>
    </row>
    <row r="129" spans="1:6" ht="12.75">
      <c r="A129" s="46" t="s">
        <v>154</v>
      </c>
      <c r="B129" s="28">
        <f t="shared" si="4"/>
        <v>2595000</v>
      </c>
      <c r="C129" s="28">
        <f t="shared" si="4"/>
        <v>2670000</v>
      </c>
      <c r="D129" s="28">
        <f t="shared" si="4"/>
        <v>2670000</v>
      </c>
      <c r="E129" s="28">
        <f t="shared" si="4"/>
        <v>2670000</v>
      </c>
      <c r="F129" s="28">
        <f t="shared" si="4"/>
        <v>2670000</v>
      </c>
    </row>
    <row r="130" spans="1:6" ht="12.75">
      <c r="A130" s="25" t="s">
        <v>155</v>
      </c>
      <c r="B130" s="28">
        <f aca="true" t="shared" si="5" ref="B130:F131">+B63*B$61</f>
        <v>1919103.91435</v>
      </c>
      <c r="C130" s="28">
        <f t="shared" si="5"/>
        <v>1898451.0385</v>
      </c>
      <c r="D130" s="28">
        <f t="shared" si="5"/>
        <v>1898451.0385</v>
      </c>
      <c r="E130" s="28">
        <f t="shared" si="5"/>
        <v>1897941.0385</v>
      </c>
      <c r="F130" s="28">
        <f t="shared" si="5"/>
        <v>1897941.0385</v>
      </c>
    </row>
    <row r="131" spans="1:6" ht="12.75">
      <c r="A131" s="46" t="s">
        <v>156</v>
      </c>
      <c r="B131" s="28">
        <f t="shared" si="5"/>
        <v>0</v>
      </c>
      <c r="C131" s="28">
        <f t="shared" si="5"/>
        <v>0</v>
      </c>
      <c r="D131" s="28">
        <f t="shared" si="5"/>
        <v>0</v>
      </c>
      <c r="E131" s="28">
        <f t="shared" si="5"/>
        <v>0</v>
      </c>
      <c r="F131" s="28">
        <f t="shared" si="5"/>
        <v>0</v>
      </c>
    </row>
    <row r="132" spans="1:6" ht="12.75">
      <c r="A132" s="25" t="s">
        <v>157</v>
      </c>
      <c r="B132" s="28">
        <f aca="true" t="shared" si="6" ref="B132:F133">+B80*B$78</f>
        <v>1783446.0385</v>
      </c>
      <c r="C132" s="28">
        <f t="shared" si="6"/>
        <v>1801806.0385</v>
      </c>
      <c r="D132" s="28">
        <f t="shared" si="6"/>
        <v>1801806.0385</v>
      </c>
      <c r="E132" s="28">
        <f t="shared" si="6"/>
        <v>1801296.0385</v>
      </c>
      <c r="F132" s="28">
        <f t="shared" si="6"/>
        <v>1801296.0385</v>
      </c>
    </row>
    <row r="133" spans="1:6" ht="12.75">
      <c r="A133" s="46" t="s">
        <v>158</v>
      </c>
      <c r="B133" s="28">
        <f t="shared" si="6"/>
        <v>0</v>
      </c>
      <c r="C133" s="28">
        <f t="shared" si="6"/>
        <v>0</v>
      </c>
      <c r="D133" s="28">
        <f t="shared" si="6"/>
        <v>0</v>
      </c>
      <c r="E133" s="28">
        <f t="shared" si="6"/>
        <v>0</v>
      </c>
      <c r="F133" s="28">
        <f t="shared" si="6"/>
        <v>0</v>
      </c>
    </row>
    <row r="134" spans="1:6" ht="12.75">
      <c r="A134" s="25" t="s">
        <v>159</v>
      </c>
      <c r="B134" s="317">
        <f>(B87-B114)</f>
        <v>1289.1123852406217</v>
      </c>
      <c r="C134" s="317">
        <f>(C87-C114)</f>
        <v>1371.87559521037</v>
      </c>
      <c r="D134" s="317">
        <f>(D87-D114)</f>
        <v>1371.8122880928067</v>
      </c>
      <c r="E134" s="317">
        <f>(E87-E114)</f>
        <v>1373.797646</v>
      </c>
      <c r="F134" s="317">
        <f>(F87-F114)</f>
        <v>1373.851286</v>
      </c>
    </row>
    <row r="135" spans="1:6" ht="12.75">
      <c r="A135" s="35" t="s">
        <v>160</v>
      </c>
      <c r="B135" s="330">
        <f>((B128+B130+B132)/(B88-(B129+B131+B133)))</f>
        <v>0.5058899047363594</v>
      </c>
      <c r="C135" s="330">
        <f>((C128+C130+C132)/(C88-(C129+C131+C133)))</f>
        <v>0.4437097948094079</v>
      </c>
      <c r="D135" s="330">
        <f>((D128+D130+D132)/(D88-(D129+D131+D133)))</f>
        <v>0.4437097948094079</v>
      </c>
      <c r="E135" s="330">
        <f>((E128+E130+E132)/(E88-(E129+E131+E133)))</f>
        <v>0.44288254420113543</v>
      </c>
      <c r="F135" s="330">
        <f>((F128+F130+F132)/(F88-(F129+F131+F133)))</f>
        <v>0.44288254420113543</v>
      </c>
    </row>
    <row r="136" ht="15.75">
      <c r="A136" s="104" t="s">
        <v>161</v>
      </c>
    </row>
    <row r="137" ht="13.5" thickBot="1"/>
    <row r="138" spans="2:7" ht="12.75">
      <c r="B138" s="341" t="s">
        <v>479</v>
      </c>
      <c r="C138" s="342"/>
      <c r="D138" s="342"/>
      <c r="E138" s="342"/>
      <c r="F138" s="342"/>
      <c r="G138" s="343"/>
    </row>
    <row r="139" spans="2:7" ht="13.5" thickBot="1">
      <c r="B139" s="344"/>
      <c r="C139" s="345"/>
      <c r="D139" s="345"/>
      <c r="E139" s="345"/>
      <c r="F139" s="345"/>
      <c r="G139" s="346"/>
    </row>
    <row r="140" spans="2:7" ht="13.5" thickBot="1">
      <c r="B140" s="318" t="s">
        <v>253</v>
      </c>
      <c r="C140" s="318" t="s">
        <v>480</v>
      </c>
      <c r="D140" s="318" t="s">
        <v>481</v>
      </c>
      <c r="E140" s="318" t="s">
        <v>482</v>
      </c>
      <c r="F140" s="318" t="s">
        <v>483</v>
      </c>
      <c r="G140" s="318" t="s">
        <v>484</v>
      </c>
    </row>
    <row r="141" spans="2:7" ht="12.75">
      <c r="B141" s="320">
        <v>0</v>
      </c>
      <c r="C141" s="321">
        <f>($B$128+$B$130+$B$132)</f>
        <v>5516729.41115</v>
      </c>
      <c r="D141" s="321">
        <v>0</v>
      </c>
      <c r="E141" s="321">
        <f>(C141+D141)</f>
        <v>5516729.41115</v>
      </c>
      <c r="F141" s="322">
        <f>($B$88*B141)</f>
        <v>0</v>
      </c>
      <c r="G141" s="323">
        <f>(F141-E141)</f>
        <v>-5516729.41115</v>
      </c>
    </row>
    <row r="142" spans="2:7" ht="12.75">
      <c r="B142" s="324">
        <v>0.1</v>
      </c>
      <c r="C142" s="319">
        <f aca="true" t="shared" si="7" ref="C142:C151">($B$128+$B$130+$B$132)</f>
        <v>5516729.41115</v>
      </c>
      <c r="D142" s="319">
        <f>($B$129*B142)</f>
        <v>259500</v>
      </c>
      <c r="E142" s="319">
        <f aca="true" t="shared" si="8" ref="E142:E151">(C142+D142)</f>
        <v>5776229.41115</v>
      </c>
      <c r="F142" s="284">
        <f aca="true" t="shared" si="9" ref="F142:F151">($B$88*B142)</f>
        <v>1350000</v>
      </c>
      <c r="G142" s="325">
        <f aca="true" t="shared" si="10" ref="G142:G151">(F142-E142)</f>
        <v>-4426229.41115</v>
      </c>
    </row>
    <row r="143" spans="2:7" ht="12.75">
      <c r="B143" s="324">
        <v>0.2</v>
      </c>
      <c r="C143" s="319">
        <f t="shared" si="7"/>
        <v>5516729.41115</v>
      </c>
      <c r="D143" s="319">
        <f>($B$129*B143)</f>
        <v>519000</v>
      </c>
      <c r="E143" s="319">
        <f t="shared" si="8"/>
        <v>6035729.41115</v>
      </c>
      <c r="F143" s="284">
        <f t="shared" si="9"/>
        <v>2700000</v>
      </c>
      <c r="G143" s="325">
        <f t="shared" si="10"/>
        <v>-3335729.41115</v>
      </c>
    </row>
    <row r="144" spans="2:7" ht="12.75">
      <c r="B144" s="324">
        <v>0.3</v>
      </c>
      <c r="C144" s="319">
        <f t="shared" si="7"/>
        <v>5516729.41115</v>
      </c>
      <c r="D144" s="319">
        <f aca="true" t="shared" si="11" ref="D144:D151">($B$129*B144)</f>
        <v>778500</v>
      </c>
      <c r="E144" s="319">
        <f t="shared" si="8"/>
        <v>6295229.41115</v>
      </c>
      <c r="F144" s="284">
        <f t="shared" si="9"/>
        <v>4050000</v>
      </c>
      <c r="G144" s="325">
        <f t="shared" si="10"/>
        <v>-2245229.41115</v>
      </c>
    </row>
    <row r="145" spans="2:7" ht="12.75">
      <c r="B145" s="324">
        <v>0.4</v>
      </c>
      <c r="C145" s="319">
        <f t="shared" si="7"/>
        <v>5516729.41115</v>
      </c>
      <c r="D145" s="319">
        <f t="shared" si="11"/>
        <v>1038000</v>
      </c>
      <c r="E145" s="319">
        <f t="shared" si="8"/>
        <v>6554729.41115</v>
      </c>
      <c r="F145" s="284">
        <f t="shared" si="9"/>
        <v>5400000</v>
      </c>
      <c r="G145" s="325">
        <f t="shared" si="10"/>
        <v>-1154729.41115</v>
      </c>
    </row>
    <row r="146" spans="2:7" ht="12.75">
      <c r="B146" s="324">
        <v>0.5</v>
      </c>
      <c r="C146" s="319">
        <f t="shared" si="7"/>
        <v>5516729.41115</v>
      </c>
      <c r="D146" s="319">
        <f t="shared" si="11"/>
        <v>1297500</v>
      </c>
      <c r="E146" s="319">
        <f t="shared" si="8"/>
        <v>6814229.41115</v>
      </c>
      <c r="F146" s="284">
        <f t="shared" si="9"/>
        <v>6750000</v>
      </c>
      <c r="G146" s="325">
        <f t="shared" si="10"/>
        <v>-64229.41115000006</v>
      </c>
    </row>
    <row r="147" spans="2:7" ht="12.75">
      <c r="B147" s="324">
        <v>0.6</v>
      </c>
      <c r="C147" s="319">
        <f t="shared" si="7"/>
        <v>5516729.41115</v>
      </c>
      <c r="D147" s="319">
        <f t="shared" si="11"/>
        <v>1557000</v>
      </c>
      <c r="E147" s="319">
        <f t="shared" si="8"/>
        <v>7073729.41115</v>
      </c>
      <c r="F147" s="284">
        <f t="shared" si="9"/>
        <v>8100000</v>
      </c>
      <c r="G147" s="325">
        <f t="shared" si="10"/>
        <v>1026270.58885</v>
      </c>
    </row>
    <row r="148" spans="2:7" ht="12.75">
      <c r="B148" s="324">
        <v>0.7</v>
      </c>
      <c r="C148" s="319">
        <f t="shared" si="7"/>
        <v>5516729.41115</v>
      </c>
      <c r="D148" s="319">
        <f t="shared" si="11"/>
        <v>1816500</v>
      </c>
      <c r="E148" s="319">
        <f t="shared" si="8"/>
        <v>7333229.41115</v>
      </c>
      <c r="F148" s="284">
        <f t="shared" si="9"/>
        <v>9450000</v>
      </c>
      <c r="G148" s="325">
        <f t="shared" si="10"/>
        <v>2116770.58885</v>
      </c>
    </row>
    <row r="149" spans="2:7" ht="12.75">
      <c r="B149" s="324">
        <v>0.8</v>
      </c>
      <c r="C149" s="319">
        <f t="shared" si="7"/>
        <v>5516729.41115</v>
      </c>
      <c r="D149" s="319">
        <f t="shared" si="11"/>
        <v>2076000</v>
      </c>
      <c r="E149" s="319">
        <f t="shared" si="8"/>
        <v>7592729.41115</v>
      </c>
      <c r="F149" s="284">
        <f t="shared" si="9"/>
        <v>10800000</v>
      </c>
      <c r="G149" s="325">
        <f t="shared" si="10"/>
        <v>3207270.58885</v>
      </c>
    </row>
    <row r="150" spans="2:7" ht="12.75">
      <c r="B150" s="324">
        <v>0.9</v>
      </c>
      <c r="C150" s="319">
        <f t="shared" si="7"/>
        <v>5516729.41115</v>
      </c>
      <c r="D150" s="319">
        <f t="shared" si="11"/>
        <v>2335500</v>
      </c>
      <c r="E150" s="319">
        <f t="shared" si="8"/>
        <v>7852229.41115</v>
      </c>
      <c r="F150" s="284">
        <f t="shared" si="9"/>
        <v>12150000</v>
      </c>
      <c r="G150" s="325">
        <f t="shared" si="10"/>
        <v>4297770.58885</v>
      </c>
    </row>
    <row r="151" spans="2:7" ht="13.5" thickBot="1">
      <c r="B151" s="326">
        <v>1</v>
      </c>
      <c r="C151" s="327">
        <f t="shared" si="7"/>
        <v>5516729.41115</v>
      </c>
      <c r="D151" s="327">
        <f t="shared" si="11"/>
        <v>2595000</v>
      </c>
      <c r="E151" s="327">
        <f t="shared" si="8"/>
        <v>8111729.41115</v>
      </c>
      <c r="F151" s="328">
        <f t="shared" si="9"/>
        <v>13500000</v>
      </c>
      <c r="G151" s="329">
        <f t="shared" si="10"/>
        <v>5388270.58885</v>
      </c>
    </row>
    <row r="177" ht="13.5" thickBot="1"/>
    <row r="178" spans="2:7" ht="12.75">
      <c r="B178" s="341" t="s">
        <v>485</v>
      </c>
      <c r="C178" s="342"/>
      <c r="D178" s="342"/>
      <c r="E178" s="342"/>
      <c r="F178" s="342"/>
      <c r="G178" s="343"/>
    </row>
    <row r="179" spans="2:7" ht="13.5" thickBot="1">
      <c r="B179" s="344"/>
      <c r="C179" s="345"/>
      <c r="D179" s="345"/>
      <c r="E179" s="345"/>
      <c r="F179" s="345"/>
      <c r="G179" s="346"/>
    </row>
    <row r="180" spans="2:7" ht="13.5" thickBot="1">
      <c r="B180" s="318" t="s">
        <v>253</v>
      </c>
      <c r="C180" s="318" t="s">
        <v>480</v>
      </c>
      <c r="D180" s="318" t="s">
        <v>481</v>
      </c>
      <c r="E180" s="318" t="s">
        <v>482</v>
      </c>
      <c r="F180" s="318" t="s">
        <v>483</v>
      </c>
      <c r="G180" s="318" t="s">
        <v>484</v>
      </c>
    </row>
    <row r="181" spans="2:7" ht="12.75">
      <c r="B181" s="320">
        <v>0</v>
      </c>
      <c r="C181" s="321">
        <f>($F$128+$F$130+$F$132)</f>
        <v>5460741.77</v>
      </c>
      <c r="D181" s="321">
        <v>0</v>
      </c>
      <c r="E181" s="321">
        <f>(C181+D181)</f>
        <v>5460741.77</v>
      </c>
      <c r="F181" s="322">
        <f>($B$88*B181)</f>
        <v>0</v>
      </c>
      <c r="G181" s="323">
        <f>(F181-E181)</f>
        <v>-5460741.77</v>
      </c>
    </row>
    <row r="182" spans="2:7" ht="12.75">
      <c r="B182" s="324">
        <v>0.1</v>
      </c>
      <c r="C182" s="319">
        <f aca="true" t="shared" si="12" ref="C182:C191">($F$128+$F$130+$F$132)</f>
        <v>5460741.77</v>
      </c>
      <c r="D182" s="319">
        <f>($F$129*B182)</f>
        <v>267000</v>
      </c>
      <c r="E182" s="319">
        <f aca="true" t="shared" si="13" ref="E182:E191">(C182+D182)</f>
        <v>5727741.77</v>
      </c>
      <c r="F182" s="284">
        <f>($F$88*B182)</f>
        <v>1500000</v>
      </c>
      <c r="G182" s="325">
        <f aca="true" t="shared" si="14" ref="G182:G191">(F182-E182)</f>
        <v>-4227741.77</v>
      </c>
    </row>
    <row r="183" spans="2:7" ht="12.75">
      <c r="B183" s="324">
        <v>0.2</v>
      </c>
      <c r="C183" s="319">
        <f t="shared" si="12"/>
        <v>5460741.77</v>
      </c>
      <c r="D183" s="319">
        <f aca="true" t="shared" si="15" ref="D183:D191">($F$129*B183)</f>
        <v>534000</v>
      </c>
      <c r="E183" s="319">
        <f t="shared" si="13"/>
        <v>5994741.77</v>
      </c>
      <c r="F183" s="284">
        <f aca="true" t="shared" si="16" ref="F183:F191">($F$88*B183)</f>
        <v>3000000</v>
      </c>
      <c r="G183" s="325">
        <f t="shared" si="14"/>
        <v>-2994741.7699999996</v>
      </c>
    </row>
    <row r="184" spans="2:7" ht="12.75">
      <c r="B184" s="324">
        <v>0.3</v>
      </c>
      <c r="C184" s="319">
        <f t="shared" si="12"/>
        <v>5460741.77</v>
      </c>
      <c r="D184" s="319">
        <f t="shared" si="15"/>
        <v>801000</v>
      </c>
      <c r="E184" s="319">
        <f t="shared" si="13"/>
        <v>6261741.77</v>
      </c>
      <c r="F184" s="284">
        <f t="shared" si="16"/>
        <v>4500000</v>
      </c>
      <c r="G184" s="325">
        <f t="shared" si="14"/>
        <v>-1761741.7699999996</v>
      </c>
    </row>
    <row r="185" spans="2:7" ht="12.75">
      <c r="B185" s="324">
        <v>0.4</v>
      </c>
      <c r="C185" s="319">
        <f t="shared" si="12"/>
        <v>5460741.77</v>
      </c>
      <c r="D185" s="319">
        <f t="shared" si="15"/>
        <v>1068000</v>
      </c>
      <c r="E185" s="319">
        <f t="shared" si="13"/>
        <v>6528741.77</v>
      </c>
      <c r="F185" s="284">
        <f t="shared" si="16"/>
        <v>6000000</v>
      </c>
      <c r="G185" s="325">
        <f t="shared" si="14"/>
        <v>-528741.7699999996</v>
      </c>
    </row>
    <row r="186" spans="2:7" ht="12.75">
      <c r="B186" s="324">
        <v>0.5</v>
      </c>
      <c r="C186" s="319">
        <f t="shared" si="12"/>
        <v>5460741.77</v>
      </c>
      <c r="D186" s="319">
        <f t="shared" si="15"/>
        <v>1335000</v>
      </c>
      <c r="E186" s="319">
        <f t="shared" si="13"/>
        <v>6795741.77</v>
      </c>
      <c r="F186" s="284">
        <f t="shared" si="16"/>
        <v>7500000</v>
      </c>
      <c r="G186" s="325">
        <f t="shared" si="14"/>
        <v>704258.2300000004</v>
      </c>
    </row>
    <row r="187" spans="2:7" ht="12.75">
      <c r="B187" s="324">
        <v>0.6</v>
      </c>
      <c r="C187" s="319">
        <f t="shared" si="12"/>
        <v>5460741.77</v>
      </c>
      <c r="D187" s="319">
        <f t="shared" si="15"/>
        <v>1602000</v>
      </c>
      <c r="E187" s="319">
        <f t="shared" si="13"/>
        <v>7062741.77</v>
      </c>
      <c r="F187" s="284">
        <f t="shared" si="16"/>
        <v>9000000</v>
      </c>
      <c r="G187" s="325">
        <f t="shared" si="14"/>
        <v>1937258.2300000004</v>
      </c>
    </row>
    <row r="188" spans="2:7" ht="12.75">
      <c r="B188" s="324">
        <v>0.7</v>
      </c>
      <c r="C188" s="319">
        <f t="shared" si="12"/>
        <v>5460741.77</v>
      </c>
      <c r="D188" s="319">
        <f t="shared" si="15"/>
        <v>1868999.9999999998</v>
      </c>
      <c r="E188" s="319">
        <f t="shared" si="13"/>
        <v>7329741.77</v>
      </c>
      <c r="F188" s="284">
        <f t="shared" si="16"/>
        <v>10500000</v>
      </c>
      <c r="G188" s="325">
        <f t="shared" si="14"/>
        <v>3170258.2300000004</v>
      </c>
    </row>
    <row r="189" spans="2:7" ht="12.75">
      <c r="B189" s="324">
        <v>0.8</v>
      </c>
      <c r="C189" s="319">
        <f t="shared" si="12"/>
        <v>5460741.77</v>
      </c>
      <c r="D189" s="319">
        <f t="shared" si="15"/>
        <v>2136000</v>
      </c>
      <c r="E189" s="319">
        <f t="shared" si="13"/>
        <v>7596741.77</v>
      </c>
      <c r="F189" s="284">
        <f t="shared" si="16"/>
        <v>12000000</v>
      </c>
      <c r="G189" s="325">
        <f t="shared" si="14"/>
        <v>4403258.23</v>
      </c>
    </row>
    <row r="190" spans="2:7" ht="12.75">
      <c r="B190" s="324">
        <v>0.9</v>
      </c>
      <c r="C190" s="319">
        <f t="shared" si="12"/>
        <v>5460741.77</v>
      </c>
      <c r="D190" s="319">
        <f t="shared" si="15"/>
        <v>2403000</v>
      </c>
      <c r="E190" s="319">
        <f t="shared" si="13"/>
        <v>7863741.77</v>
      </c>
      <c r="F190" s="284">
        <f t="shared" si="16"/>
        <v>13500000</v>
      </c>
      <c r="G190" s="325">
        <f t="shared" si="14"/>
        <v>5636258.23</v>
      </c>
    </row>
    <row r="191" spans="2:7" ht="13.5" thickBot="1">
      <c r="B191" s="326">
        <v>1</v>
      </c>
      <c r="C191" s="327">
        <f t="shared" si="12"/>
        <v>5460741.77</v>
      </c>
      <c r="D191" s="327">
        <f t="shared" si="15"/>
        <v>2670000</v>
      </c>
      <c r="E191" s="327">
        <f t="shared" si="13"/>
        <v>8130741.77</v>
      </c>
      <c r="F191" s="328">
        <f t="shared" si="16"/>
        <v>15000000</v>
      </c>
      <c r="G191" s="329">
        <f t="shared" si="14"/>
        <v>6869258.23</v>
      </c>
    </row>
  </sheetData>
  <sheetProtection selectLockedCells="1" selectUnlockedCells="1"/>
  <mergeCells count="4">
    <mergeCell ref="G10:K10"/>
    <mergeCell ref="G14:K14"/>
    <mergeCell ref="B138:G139"/>
    <mergeCell ref="B178:G179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15" zoomScaleNormal="115" zoomScalePageLayoutView="0" workbookViewId="0" topLeftCell="A16">
      <selection activeCell="A11" sqref="A11"/>
    </sheetView>
  </sheetViews>
  <sheetFormatPr defaultColWidth="11.421875" defaultRowHeight="12.75"/>
  <cols>
    <col min="1" max="1" width="45.57421875" style="16" customWidth="1"/>
    <col min="2" max="7" width="14.8515625" style="16" customWidth="1"/>
    <col min="8" max="8" width="17.421875" style="16" customWidth="1"/>
    <col min="9" max="16384" width="11.421875" style="16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5" ht="12.75">
      <c r="A2" s="1"/>
      <c r="B2"/>
      <c r="C2"/>
      <c r="D2"/>
      <c r="E2" s="105"/>
    </row>
    <row r="3" spans="1:7" ht="15.75">
      <c r="A3" s="55" t="s">
        <v>162</v>
      </c>
      <c r="B3" s="56"/>
      <c r="C3" s="56"/>
      <c r="D3" s="56"/>
      <c r="E3" s="56"/>
      <c r="F3" s="56"/>
      <c r="G3" s="57"/>
    </row>
    <row r="4" spans="1:7" ht="12.75">
      <c r="A4" s="58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06" t="s">
        <v>163</v>
      </c>
      <c r="B5" s="107"/>
      <c r="C5" s="107"/>
      <c r="D5" s="107"/>
      <c r="E5" s="107"/>
      <c r="F5" s="107"/>
      <c r="G5" s="108"/>
    </row>
    <row r="6" spans="1:8" ht="12.75">
      <c r="A6" s="106" t="s">
        <v>164</v>
      </c>
      <c r="B6" s="63">
        <v>0</v>
      </c>
      <c r="C6" s="63">
        <f>0.02*'E-Costos'!B88</f>
        <v>270000</v>
      </c>
      <c r="D6" s="63">
        <f>0.02*'E-Costos'!C88</f>
        <v>300000</v>
      </c>
      <c r="E6" s="63">
        <f>0.02*'E-Costos'!D88</f>
        <v>300000</v>
      </c>
      <c r="F6" s="63">
        <f>0.02*'E-Costos'!E88</f>
        <v>300000</v>
      </c>
      <c r="G6" s="63">
        <f>0.02*'E-Costos'!F88</f>
        <v>300000</v>
      </c>
      <c r="H6" s="16" t="s">
        <v>476</v>
      </c>
    </row>
    <row r="7" spans="1:8" ht="12.75">
      <c r="A7" s="106" t="s">
        <v>165</v>
      </c>
      <c r="B7" s="63"/>
      <c r="C7" s="63">
        <f>+'E-Costos'!$B$87*400*1.2</f>
        <v>1440000</v>
      </c>
      <c r="D7" s="63">
        <f>+'E-Costos'!$B$87*400*1.2</f>
        <v>1440000</v>
      </c>
      <c r="E7" s="63">
        <f>+'E-Costos'!$B$87*400*1.2</f>
        <v>1440000</v>
      </c>
      <c r="F7" s="63">
        <f>+'E-Costos'!$B$87*400*1.2</f>
        <v>1440000</v>
      </c>
      <c r="G7" s="63">
        <f>+'E-Costos'!$B$87*400*1.2</f>
        <v>1440000</v>
      </c>
      <c r="H7" s="16" t="s">
        <v>477</v>
      </c>
    </row>
    <row r="8" spans="1:7" ht="12.75">
      <c r="A8" s="109"/>
      <c r="B8" s="86"/>
      <c r="C8" s="86"/>
      <c r="D8" s="86"/>
      <c r="E8" s="86"/>
      <c r="F8" s="86"/>
      <c r="G8" s="87"/>
    </row>
    <row r="9" spans="1:7" ht="12.75">
      <c r="A9" s="106" t="s">
        <v>166</v>
      </c>
      <c r="B9" s="86"/>
      <c r="C9" s="86"/>
      <c r="D9" s="86"/>
      <c r="E9" s="86"/>
      <c r="F9" s="86"/>
      <c r="G9" s="87"/>
    </row>
    <row r="10" spans="1:7" ht="12.75">
      <c r="A10" s="109" t="s">
        <v>167</v>
      </c>
      <c r="B10" s="63">
        <f>1000*'Adicional A'!E13</f>
        <v>300000</v>
      </c>
      <c r="C10" s="63"/>
      <c r="D10" s="63"/>
      <c r="E10" s="63"/>
      <c r="F10" s="63"/>
      <c r="G10" s="64"/>
    </row>
    <row r="11" spans="1:7" ht="12.75">
      <c r="A11" s="109" t="s">
        <v>168</v>
      </c>
      <c r="B11" s="63">
        <f>+'E-Costos'!C14/2+'E-Costos'!C54/12+'E-Costos'!C71/12</f>
        <v>255163.27083333334</v>
      </c>
      <c r="C11" s="63"/>
      <c r="D11" s="63"/>
      <c r="E11" s="63"/>
      <c r="F11" s="63"/>
      <c r="G11" s="64"/>
    </row>
    <row r="12" spans="1:7" ht="12.75">
      <c r="A12" s="109" t="s">
        <v>169</v>
      </c>
      <c r="B12" s="63"/>
      <c r="C12" s="63">
        <f>+'E-Costos'!B35</f>
        <v>119097.74809670329</v>
      </c>
      <c r="D12" s="63">
        <f>+'E-Costos'!C35-+'E-Costos'!B35</f>
        <v>321.04640329671383</v>
      </c>
      <c r="E12" s="63">
        <f>+'E-Costos'!D35-+'E-Costos'!C35</f>
        <v>0</v>
      </c>
      <c r="F12" s="63">
        <f>+'E-Costos'!E35-+'E-Costos'!D35</f>
        <v>-180</v>
      </c>
      <c r="G12" s="63">
        <f>+'E-Costos'!F35-+'E-Costos'!E35</f>
        <v>0</v>
      </c>
    </row>
    <row r="13" spans="1:7" ht="12.75">
      <c r="A13" s="109" t="s">
        <v>170</v>
      </c>
      <c r="B13" s="63"/>
      <c r="C13" s="63">
        <f>50*'E-Costos'!B102</f>
        <v>44404.936817413356</v>
      </c>
      <c r="D13" s="63">
        <f>50*'E-Costos'!C102-(50*'E-Costos'!B102)</f>
        <v>-1.3003514463198371</v>
      </c>
      <c r="E13" s="63">
        <f>50*'E-Costos'!D102-(50*'E-Costos'!C102)</f>
        <v>3.2104640329635004</v>
      </c>
      <c r="F13" s="63">
        <f>50*'E-Costos'!E102-(50*'E-Costos'!D102)</f>
        <v>-90</v>
      </c>
      <c r="G13" s="63">
        <f>50*'E-Costos'!F102-(50*'E-Costos'!E102)</f>
        <v>-1.8000000000029104</v>
      </c>
    </row>
    <row r="14" spans="1:7" ht="12.75">
      <c r="A14" s="109"/>
      <c r="B14" s="86"/>
      <c r="C14" s="86"/>
      <c r="D14" s="86"/>
      <c r="E14" s="86"/>
      <c r="F14" s="86"/>
      <c r="G14" s="87"/>
    </row>
    <row r="15" spans="1:7" ht="12.75">
      <c r="A15" s="106" t="s">
        <v>171</v>
      </c>
      <c r="B15" s="95">
        <f aca="true" t="shared" si="0" ref="B15:G15">+SUM(B6:B14)</f>
        <v>555163.2708333334</v>
      </c>
      <c r="C15" s="95">
        <f t="shared" si="0"/>
        <v>1873502.6849141167</v>
      </c>
      <c r="D15" s="95">
        <f t="shared" si="0"/>
        <v>1740319.7460518505</v>
      </c>
      <c r="E15" s="95">
        <f t="shared" si="0"/>
        <v>1740003.210464033</v>
      </c>
      <c r="F15" s="95">
        <f t="shared" si="0"/>
        <v>1739730</v>
      </c>
      <c r="G15" s="95">
        <f t="shared" si="0"/>
        <v>1739998.2</v>
      </c>
    </row>
    <row r="16" spans="1:7" ht="12.75">
      <c r="A16" s="106" t="s">
        <v>172</v>
      </c>
      <c r="B16" s="86"/>
      <c r="C16" s="86"/>
      <c r="D16" s="86"/>
      <c r="E16" s="86"/>
      <c r="F16" s="86"/>
      <c r="G16" s="87"/>
    </row>
    <row r="17" spans="1:7" ht="12.75">
      <c r="A17" s="109" t="s">
        <v>173</v>
      </c>
      <c r="B17" s="63">
        <v>0</v>
      </c>
      <c r="C17" s="63">
        <f>+'E-Costos'!B28</f>
        <v>989.0109890109891</v>
      </c>
      <c r="D17" s="63">
        <f>+'E-Costos'!C28</f>
        <v>900</v>
      </c>
      <c r="E17" s="63">
        <f>+'E-Costos'!D28</f>
        <v>900</v>
      </c>
      <c r="F17" s="63">
        <f>+'E-Costos'!E28</f>
        <v>900</v>
      </c>
      <c r="G17" s="63">
        <f>+'E-Costos'!F28</f>
        <v>900</v>
      </c>
    </row>
    <row r="18" spans="1:7" ht="12.75">
      <c r="A18" s="109" t="s">
        <v>174</v>
      </c>
      <c r="B18" s="63">
        <v>0</v>
      </c>
      <c r="C18" s="63">
        <f>+(('E-Costos'!B10-'E-Costos'!B28)/'Adicional A'!I12)*50</f>
        <v>4211.681197922956</v>
      </c>
      <c r="D18" s="63">
        <f>+(('E-Costos'!C10-'E-Costos'!C28)/'Adicional A'!J12)*50</f>
        <v>3833.52</v>
      </c>
      <c r="E18" s="63">
        <f>+(('E-Costos'!D10-'E-Costos'!D28)/'Adicional A'!K12)*50</f>
        <v>3833.52</v>
      </c>
      <c r="F18" s="63">
        <f>+(('E-Costos'!E10-'E-Costos'!E28)/'Adicional A'!L12)*50</f>
        <v>3743.52</v>
      </c>
      <c r="G18" s="63">
        <f>+(('E-Costos'!F10-'E-Costos'!F28)/'Adicional A'!M12)*50</f>
        <v>3743.52</v>
      </c>
    </row>
    <row r="19" spans="1:7" ht="12.75">
      <c r="A19" s="109" t="s">
        <v>175</v>
      </c>
      <c r="B19" s="63">
        <f>+'E-Costos'!B121*'E-InvAT'!B7</f>
        <v>0</v>
      </c>
      <c r="C19" s="63">
        <f>+'E-Costos'!B121*'E-InvAT'!C7</f>
        <v>374048.8497014188</v>
      </c>
      <c r="D19" s="63">
        <f>+'E-Costos'!C121*'E-InvAT'!D7</f>
        <v>398063.422706241</v>
      </c>
      <c r="E19" s="63">
        <f>+'E-Costos'!D121*'E-InvAT'!E7</f>
        <v>398045.0535130088</v>
      </c>
      <c r="F19" s="63">
        <f>+'E-Costos'!E121*'E-InvAT'!F7</f>
        <v>398621.1249633601</v>
      </c>
      <c r="G19" s="63">
        <f>+'E-Costos'!F121*'E-InvAT'!G7</f>
        <v>398636.6891457601</v>
      </c>
    </row>
    <row r="20" spans="1:7" ht="12.75">
      <c r="A20" s="109" t="s">
        <v>176</v>
      </c>
      <c r="B20" s="63"/>
      <c r="C20" s="63">
        <f>+('E-Inv AF y Am'!$D$59-'E-InvAT'!C17-'E-InvAT'!C18)/50*4</f>
        <v>33739.67795837862</v>
      </c>
      <c r="D20" s="63">
        <f>+('E-Inv AF y Am'!$D$59-'E-InvAT'!D17-'E-InvAT'!D18+C17+C18)/50*4</f>
        <v>34193.10710828805</v>
      </c>
      <c r="E20" s="63">
        <f>+('E-Inv AF y Am'!$D$59-'E-InvAT'!E17-'E-InvAT'!E18+D17+D18)/50*4</f>
        <v>34155.73333333334</v>
      </c>
      <c r="F20" s="63">
        <f>+('E-Inv AF y Am'!$E$59-'E-InvAT'!F17-'E-InvAT'!F18+E17+E18)/50*4</f>
        <v>33362.933333333334</v>
      </c>
      <c r="G20" s="63">
        <f>+('E-Inv AF y Am'!$E$59-'E-InvAT'!G17-'E-InvAT'!G18+F17+F18)/50*4</f>
        <v>33355.73333333334</v>
      </c>
    </row>
    <row r="21" spans="1:7" ht="12.75">
      <c r="A21" s="109"/>
      <c r="B21" s="86"/>
      <c r="C21" s="86"/>
      <c r="D21" s="86"/>
      <c r="E21" s="86"/>
      <c r="F21" s="86"/>
      <c r="G21" s="87"/>
    </row>
    <row r="22" spans="1:7" ht="12.75">
      <c r="A22" s="106" t="s">
        <v>177</v>
      </c>
      <c r="B22" s="95">
        <f aca="true" t="shared" si="1" ref="B22:G22">+B15-SUM(B17:B20)</f>
        <v>555163.2708333334</v>
      </c>
      <c r="C22" s="95">
        <f t="shared" si="1"/>
        <v>1460513.4650673855</v>
      </c>
      <c r="D22" s="95">
        <f t="shared" si="1"/>
        <v>1303329.6962373215</v>
      </c>
      <c r="E22" s="95">
        <f t="shared" si="1"/>
        <v>1303068.9036176908</v>
      </c>
      <c r="F22" s="95">
        <f t="shared" si="1"/>
        <v>1303102.4217033065</v>
      </c>
      <c r="G22" s="95">
        <f t="shared" si="1"/>
        <v>1303362.2575209066</v>
      </c>
    </row>
    <row r="23" spans="1:7" ht="12.75">
      <c r="A23" s="109"/>
      <c r="B23" s="86"/>
      <c r="C23" s="86"/>
      <c r="D23" s="86"/>
      <c r="E23" s="86"/>
      <c r="F23" s="86"/>
      <c r="G23" s="87"/>
    </row>
    <row r="24" spans="1:7" ht="12.75">
      <c r="A24" s="106" t="s">
        <v>178</v>
      </c>
      <c r="B24" s="63">
        <f>+B15</f>
        <v>555163.2708333334</v>
      </c>
      <c r="C24" s="63">
        <f>+C15-B15</f>
        <v>1318339.4140807833</v>
      </c>
      <c r="D24" s="63">
        <f>+D15-C15</f>
        <v>-133182.93886226625</v>
      </c>
      <c r="E24" s="63">
        <f>+E15-D15</f>
        <v>-316.5355878174305</v>
      </c>
      <c r="F24" s="63">
        <f>+F15-E15</f>
        <v>-273.21046403306536</v>
      </c>
      <c r="G24" s="63">
        <f>+G15-F15</f>
        <v>268.19999999995343</v>
      </c>
    </row>
    <row r="25" spans="1:7" ht="12.75">
      <c r="A25" s="106" t="s">
        <v>179</v>
      </c>
      <c r="B25" s="63">
        <f>+B22</f>
        <v>555163.2708333334</v>
      </c>
      <c r="C25" s="63">
        <f>+C22-B22</f>
        <v>905350.1942340521</v>
      </c>
      <c r="D25" s="63">
        <f>+D22-C22</f>
        <v>-157183.768830064</v>
      </c>
      <c r="E25" s="63">
        <f>+E22-D22</f>
        <v>-260.7926196306944</v>
      </c>
      <c r="F25" s="63">
        <f>+F22-E22</f>
        <v>33.518085615709424</v>
      </c>
      <c r="G25" s="63">
        <f>+G22-F22</f>
        <v>259.83581760013476</v>
      </c>
    </row>
    <row r="26" spans="1:7" ht="12.75">
      <c r="A26" s="109"/>
      <c r="B26" s="86"/>
      <c r="C26" s="86"/>
      <c r="D26" s="86"/>
      <c r="E26" s="86"/>
      <c r="F26" s="86"/>
      <c r="G26" s="87"/>
    </row>
    <row r="27" spans="1:7" ht="12.75">
      <c r="A27" s="106" t="s">
        <v>180</v>
      </c>
      <c r="B27" s="86"/>
      <c r="C27" s="86"/>
      <c r="D27" s="86"/>
      <c r="E27" s="86"/>
      <c r="F27" s="86"/>
      <c r="G27" s="87"/>
    </row>
    <row r="28" spans="1:7" ht="12.75">
      <c r="A28" s="109" t="s">
        <v>181</v>
      </c>
      <c r="B28" s="63"/>
      <c r="C28" s="63"/>
      <c r="D28" s="63"/>
      <c r="E28" s="63"/>
      <c r="F28" s="63"/>
      <c r="G28" s="64"/>
    </row>
    <row r="29" spans="1:7" ht="12.75">
      <c r="A29" s="109" t="s">
        <v>182</v>
      </c>
      <c r="B29" s="63"/>
      <c r="C29" s="63"/>
      <c r="D29" s="63"/>
      <c r="E29" s="63"/>
      <c r="F29" s="63"/>
      <c r="G29" s="64"/>
    </row>
    <row r="30" spans="1:7" ht="12.75">
      <c r="A30" s="109" t="s">
        <v>183</v>
      </c>
      <c r="B30" s="63">
        <f aca="true" t="shared" si="2" ref="B30:G30">0.21*B10</f>
        <v>63000</v>
      </c>
      <c r="C30" s="63">
        <f t="shared" si="2"/>
        <v>0</v>
      </c>
      <c r="D30" s="63">
        <f t="shared" si="2"/>
        <v>0</v>
      </c>
      <c r="E30" s="63">
        <f t="shared" si="2"/>
        <v>0</v>
      </c>
      <c r="F30" s="63">
        <f t="shared" si="2"/>
        <v>0</v>
      </c>
      <c r="G30" s="63">
        <f t="shared" si="2"/>
        <v>0</v>
      </c>
    </row>
    <row r="31" spans="1:7" ht="12.75">
      <c r="A31" s="109" t="s">
        <v>184</v>
      </c>
      <c r="B31" s="63">
        <f aca="true" t="shared" si="3" ref="B31:G33">0.21*B11</f>
        <v>53584.286875</v>
      </c>
      <c r="C31" s="63">
        <f t="shared" si="3"/>
        <v>0</v>
      </c>
      <c r="D31" s="63">
        <f t="shared" si="3"/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</row>
    <row r="32" spans="1:7" ht="12.75">
      <c r="A32" s="109" t="s">
        <v>185</v>
      </c>
      <c r="B32" s="63">
        <f t="shared" si="3"/>
        <v>0</v>
      </c>
      <c r="C32" s="63">
        <f t="shared" si="3"/>
        <v>25010.52710030769</v>
      </c>
      <c r="D32" s="63">
        <f t="shared" si="3"/>
        <v>67.4197446923099</v>
      </c>
      <c r="E32" s="63">
        <f t="shared" si="3"/>
        <v>0</v>
      </c>
      <c r="F32" s="63">
        <f t="shared" si="3"/>
        <v>-37.8</v>
      </c>
      <c r="G32" s="63">
        <f t="shared" si="3"/>
        <v>0</v>
      </c>
    </row>
    <row r="33" spans="1:7" ht="12.75">
      <c r="A33" s="109" t="s">
        <v>186</v>
      </c>
      <c r="B33" s="63">
        <f t="shared" si="3"/>
        <v>0</v>
      </c>
      <c r="C33" s="63">
        <f t="shared" si="3"/>
        <v>9325.036731656804</v>
      </c>
      <c r="D33" s="63">
        <f t="shared" si="3"/>
        <v>-0.2730738037271658</v>
      </c>
      <c r="E33" s="63">
        <f t="shared" si="3"/>
        <v>0.6741974469223351</v>
      </c>
      <c r="F33" s="63">
        <f t="shared" si="3"/>
        <v>-18.9</v>
      </c>
      <c r="G33" s="63">
        <f t="shared" si="3"/>
        <v>-0.3780000000006112</v>
      </c>
    </row>
    <row r="34" spans="1:7" ht="12.75">
      <c r="A34" s="106" t="s">
        <v>187</v>
      </c>
      <c r="B34" s="312">
        <f aca="true" t="shared" si="4" ref="B34:G34">+SUM(B30:B33)</f>
        <v>116584.28687499999</v>
      </c>
      <c r="C34" s="312">
        <f t="shared" si="4"/>
        <v>34335.56383196449</v>
      </c>
      <c r="D34" s="312">
        <f t="shared" si="4"/>
        <v>67.14667088858273</v>
      </c>
      <c r="E34" s="312">
        <f t="shared" si="4"/>
        <v>0.6741974469223351</v>
      </c>
      <c r="F34" s="312">
        <f t="shared" si="4"/>
        <v>-56.699999999999996</v>
      </c>
      <c r="G34" s="312">
        <f t="shared" si="4"/>
        <v>-0.3780000000006112</v>
      </c>
    </row>
    <row r="35" spans="1:7" ht="12.75">
      <c r="A35" s="109"/>
      <c r="B35" s="66"/>
      <c r="C35" s="66"/>
      <c r="D35" s="66"/>
      <c r="E35" s="66"/>
      <c r="F35" s="66"/>
      <c r="G35" s="67"/>
    </row>
    <row r="36" spans="1:7" ht="12.75">
      <c r="A36" s="110" t="s">
        <v>188</v>
      </c>
      <c r="B36" s="69">
        <f aca="true" t="shared" si="5" ref="B36:G36">+B25+B34</f>
        <v>671747.5577083334</v>
      </c>
      <c r="C36" s="69">
        <f t="shared" si="5"/>
        <v>939685.7580660166</v>
      </c>
      <c r="D36" s="69">
        <f t="shared" si="5"/>
        <v>-157116.6221591754</v>
      </c>
      <c r="E36" s="69">
        <f t="shared" si="5"/>
        <v>-260.11842218377205</v>
      </c>
      <c r="F36" s="69">
        <f t="shared" si="5"/>
        <v>-23.18191438429057</v>
      </c>
      <c r="G36" s="69">
        <f t="shared" si="5"/>
        <v>259.45781760013415</v>
      </c>
    </row>
  </sheetData>
  <sheetProtection selectLockedCells="1" selectUnlockedCells="1"/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8.140625" style="16" customWidth="1"/>
    <col min="2" max="8" width="14.00390625" style="16" customWidth="1"/>
    <col min="9" max="9" width="14.8515625" style="74" bestFit="1" customWidth="1"/>
    <col min="10" max="10" width="17.421875" style="16" customWidth="1"/>
    <col min="11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9" ht="15.75">
      <c r="A3" s="55" t="s">
        <v>189</v>
      </c>
      <c r="B3" s="56"/>
      <c r="C3" s="56"/>
      <c r="D3" s="56"/>
      <c r="E3" s="56"/>
      <c r="F3" s="56"/>
      <c r="G3" s="56"/>
      <c r="H3" s="56"/>
      <c r="I3" s="57"/>
    </row>
    <row r="4" spans="1:9" ht="25.5">
      <c r="A4" s="58" t="s">
        <v>88</v>
      </c>
      <c r="B4" s="111" t="s">
        <v>190</v>
      </c>
      <c r="C4" s="111" t="s">
        <v>191</v>
      </c>
      <c r="D4" s="21" t="s">
        <v>48</v>
      </c>
      <c r="E4" s="21" t="s">
        <v>89</v>
      </c>
      <c r="F4" s="21" t="s">
        <v>90</v>
      </c>
      <c r="G4" s="21" t="s">
        <v>91</v>
      </c>
      <c r="H4" s="112" t="s">
        <v>92</v>
      </c>
      <c r="I4" s="22" t="s">
        <v>192</v>
      </c>
    </row>
    <row r="5" spans="1:9" ht="12.75">
      <c r="A5" s="106" t="s">
        <v>193</v>
      </c>
      <c r="B5" s="107"/>
      <c r="C5" s="107"/>
      <c r="D5" s="107"/>
      <c r="E5" s="107"/>
      <c r="F5" s="107"/>
      <c r="G5" s="107"/>
      <c r="H5" s="113"/>
      <c r="I5" s="188"/>
    </row>
    <row r="6" spans="1:9" ht="12.75">
      <c r="A6" s="114" t="s">
        <v>194</v>
      </c>
      <c r="B6" s="63">
        <v>0</v>
      </c>
      <c r="C6" s="63">
        <f>+'E-Inv AF y Am'!B21</f>
        <v>7458350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95">
        <f>+SUM(B6:H6)</f>
        <v>7458350</v>
      </c>
    </row>
    <row r="7" spans="1:9" ht="12.75">
      <c r="A7" s="114" t="s">
        <v>195</v>
      </c>
      <c r="B7" s="63">
        <f>+'E-Inv AF y Am'!B24</f>
        <v>50000</v>
      </c>
      <c r="C7" s="63">
        <f>+'E-Inv AF y Am'!B32-'E-Inv AF y Am'!B24</f>
        <v>108050</v>
      </c>
      <c r="D7" s="63">
        <f>+'E-Inv AF y Am'!C32</f>
        <v>262732.45981868135</v>
      </c>
      <c r="E7" s="63">
        <v>0</v>
      </c>
      <c r="F7" s="63">
        <v>0</v>
      </c>
      <c r="G7" s="63">
        <v>0</v>
      </c>
      <c r="H7" s="63">
        <v>0</v>
      </c>
      <c r="I7" s="95">
        <f aca="true" t="shared" si="0" ref="I7:I18">+SUM(B7:H7)</f>
        <v>420782.45981868135</v>
      </c>
    </row>
    <row r="8" spans="1:9" s="74" customFormat="1" ht="12.75">
      <c r="A8" s="106" t="s">
        <v>196</v>
      </c>
      <c r="B8" s="95">
        <f>+B6+B7</f>
        <v>50000</v>
      </c>
      <c r="C8" s="95">
        <f aca="true" t="shared" si="1" ref="C8:H8">+C6+C7</f>
        <v>7566400</v>
      </c>
      <c r="D8" s="95">
        <f t="shared" si="1"/>
        <v>262732.45981868135</v>
      </c>
      <c r="E8" s="95">
        <f t="shared" si="1"/>
        <v>0</v>
      </c>
      <c r="F8" s="95">
        <f t="shared" si="1"/>
        <v>0</v>
      </c>
      <c r="G8" s="95">
        <f t="shared" si="1"/>
        <v>0</v>
      </c>
      <c r="H8" s="95">
        <f t="shared" si="1"/>
        <v>0</v>
      </c>
      <c r="I8" s="95">
        <f t="shared" si="0"/>
        <v>7879132.459818682</v>
      </c>
    </row>
    <row r="9" spans="1:9" ht="12.75">
      <c r="A9" s="114"/>
      <c r="B9" s="86"/>
      <c r="C9" s="86"/>
      <c r="D9" s="86"/>
      <c r="E9" s="86"/>
      <c r="F9" s="86"/>
      <c r="G9" s="86"/>
      <c r="H9" s="116"/>
      <c r="I9" s="95"/>
    </row>
    <row r="10" spans="1:9" ht="12.75">
      <c r="A10" s="106" t="s">
        <v>197</v>
      </c>
      <c r="B10" s="63"/>
      <c r="C10" s="63"/>
      <c r="D10" s="63"/>
      <c r="E10" s="63"/>
      <c r="F10" s="63"/>
      <c r="G10" s="63"/>
      <c r="H10" s="115"/>
      <c r="I10" s="95"/>
    </row>
    <row r="11" spans="1:9" ht="12.75">
      <c r="A11" s="114" t="s">
        <v>198</v>
      </c>
      <c r="B11" s="63">
        <f>+'E-InvAT'!B6</f>
        <v>0</v>
      </c>
      <c r="C11" s="63">
        <f>+'E-InvAT'!B6</f>
        <v>0</v>
      </c>
      <c r="D11" s="63">
        <f>+'E-InvAT'!C6</f>
        <v>270000</v>
      </c>
      <c r="E11" s="63">
        <f>+'E-InvAT'!D6</f>
        <v>300000</v>
      </c>
      <c r="F11" s="63">
        <f>+'E-InvAT'!E6</f>
        <v>300000</v>
      </c>
      <c r="G11" s="63">
        <f>+'E-InvAT'!F6</f>
        <v>300000</v>
      </c>
      <c r="H11" s="63">
        <f>+'E-InvAT'!G6</f>
        <v>300000</v>
      </c>
      <c r="I11" s="95">
        <f t="shared" si="0"/>
        <v>1470000</v>
      </c>
    </row>
    <row r="12" spans="1:9" ht="12.75">
      <c r="A12" s="114" t="s">
        <v>199</v>
      </c>
      <c r="B12" s="63">
        <v>0</v>
      </c>
      <c r="C12" s="63">
        <v>0</v>
      </c>
      <c r="D12" s="63">
        <f>+'E-InvAT'!C7</f>
        <v>1440000</v>
      </c>
      <c r="E12" s="63">
        <f>+'E-InvAT'!D7</f>
        <v>1440000</v>
      </c>
      <c r="F12" s="63">
        <f>+'E-InvAT'!E7</f>
        <v>1440000</v>
      </c>
      <c r="G12" s="63">
        <f>+'E-InvAT'!F7</f>
        <v>1440000</v>
      </c>
      <c r="H12" s="63">
        <f>+'E-InvAT'!G7</f>
        <v>1440000</v>
      </c>
      <c r="I12" s="95">
        <f t="shared" si="0"/>
        <v>7200000</v>
      </c>
    </row>
    <row r="13" spans="1:9" ht="12.75">
      <c r="A13" s="114" t="s">
        <v>200</v>
      </c>
      <c r="B13" s="63"/>
      <c r="C13" s="63"/>
      <c r="D13" s="63"/>
      <c r="E13" s="63"/>
      <c r="F13" s="63"/>
      <c r="G13" s="63"/>
      <c r="H13" s="115"/>
      <c r="I13" s="95"/>
    </row>
    <row r="14" spans="1:9" ht="12.75">
      <c r="A14" s="114" t="s">
        <v>201</v>
      </c>
      <c r="B14" s="63">
        <v>0</v>
      </c>
      <c r="C14" s="63">
        <f>+'E-InvAT'!B10</f>
        <v>300000</v>
      </c>
      <c r="D14" s="63">
        <f>+'E-InvAT'!C10</f>
        <v>0</v>
      </c>
      <c r="E14" s="63">
        <f>+'E-InvAT'!D10</f>
        <v>0</v>
      </c>
      <c r="F14" s="63">
        <f>+'E-InvAT'!E10</f>
        <v>0</v>
      </c>
      <c r="G14" s="63">
        <f>+'E-InvAT'!F10</f>
        <v>0</v>
      </c>
      <c r="H14" s="63">
        <f>+'E-InvAT'!G10</f>
        <v>0</v>
      </c>
      <c r="I14" s="95">
        <f t="shared" si="0"/>
        <v>300000</v>
      </c>
    </row>
    <row r="15" spans="1:9" ht="12.75">
      <c r="A15" s="114" t="s">
        <v>202</v>
      </c>
      <c r="B15" s="63">
        <v>0</v>
      </c>
      <c r="C15" s="63">
        <f>+'E-InvAT'!B11</f>
        <v>255163.27083333334</v>
      </c>
      <c r="D15" s="63">
        <f>+'E-InvAT'!C11</f>
        <v>0</v>
      </c>
      <c r="E15" s="63">
        <f>+'E-InvAT'!D11</f>
        <v>0</v>
      </c>
      <c r="F15" s="63">
        <f>+'E-InvAT'!E11</f>
        <v>0</v>
      </c>
      <c r="G15" s="63">
        <f>+'E-InvAT'!F11</f>
        <v>0</v>
      </c>
      <c r="H15" s="63">
        <f>+'E-InvAT'!G11</f>
        <v>0</v>
      </c>
      <c r="I15" s="95">
        <f t="shared" si="0"/>
        <v>255163.27083333334</v>
      </c>
    </row>
    <row r="16" spans="1:9" ht="12.75">
      <c r="A16" s="114" t="s">
        <v>203</v>
      </c>
      <c r="B16" s="63">
        <v>0</v>
      </c>
      <c r="C16" s="63">
        <f>+'E-InvAT'!B12</f>
        <v>0</v>
      </c>
      <c r="D16" s="63">
        <f>+'E-InvAT'!C12</f>
        <v>119097.74809670329</v>
      </c>
      <c r="E16" s="63">
        <f>+'E-InvAT'!D12</f>
        <v>321.04640329671383</v>
      </c>
      <c r="F16" s="63">
        <f>+'E-InvAT'!E12</f>
        <v>0</v>
      </c>
      <c r="G16" s="63">
        <f>+'E-InvAT'!F12</f>
        <v>-180</v>
      </c>
      <c r="H16" s="63">
        <f>+'E-InvAT'!G12</f>
        <v>0</v>
      </c>
      <c r="I16" s="95">
        <f t="shared" si="0"/>
        <v>119238.7945</v>
      </c>
    </row>
    <row r="17" spans="1:9" ht="12.75">
      <c r="A17" s="114" t="s">
        <v>204</v>
      </c>
      <c r="B17" s="63">
        <v>0</v>
      </c>
      <c r="C17" s="63">
        <f>+'E-InvAT'!B13</f>
        <v>0</v>
      </c>
      <c r="D17" s="63">
        <f>+'E-InvAT'!C13</f>
        <v>44404.936817413356</v>
      </c>
      <c r="E17" s="63">
        <f>+'E-InvAT'!D13</f>
        <v>-1.3003514463198371</v>
      </c>
      <c r="F17" s="63">
        <f>+'E-InvAT'!E13</f>
        <v>3.2104640329635004</v>
      </c>
      <c r="G17" s="63">
        <f>+'E-InvAT'!F13</f>
        <v>-90</v>
      </c>
      <c r="H17" s="63">
        <f>+'E-InvAT'!G13</f>
        <v>-1.8000000000029104</v>
      </c>
      <c r="I17" s="95">
        <f t="shared" si="0"/>
        <v>44315.04693</v>
      </c>
    </row>
    <row r="18" spans="1:9" s="74" customFormat="1" ht="12.75">
      <c r="A18" s="106" t="s">
        <v>205</v>
      </c>
      <c r="B18" s="95">
        <f>+SUM(B11:B17)</f>
        <v>0</v>
      </c>
      <c r="C18" s="95">
        <f aca="true" t="shared" si="2" ref="C18:H18">+SUM(C11:C17)</f>
        <v>555163.2708333334</v>
      </c>
      <c r="D18" s="95">
        <f t="shared" si="2"/>
        <v>1873502.6849141167</v>
      </c>
      <c r="E18" s="95">
        <f t="shared" si="2"/>
        <v>1740319.7460518505</v>
      </c>
      <c r="F18" s="95">
        <f t="shared" si="2"/>
        <v>1740003.210464033</v>
      </c>
      <c r="G18" s="95">
        <f t="shared" si="2"/>
        <v>1739730</v>
      </c>
      <c r="H18" s="95">
        <f t="shared" si="2"/>
        <v>1739998.2</v>
      </c>
      <c r="I18" s="95">
        <f t="shared" si="0"/>
        <v>9388717.112263333</v>
      </c>
    </row>
    <row r="19" spans="1:9" ht="12.75">
      <c r="A19" s="114"/>
      <c r="B19" s="86"/>
      <c r="C19" s="86"/>
      <c r="D19" s="86"/>
      <c r="E19" s="86"/>
      <c r="F19" s="86"/>
      <c r="G19" s="86"/>
      <c r="H19" s="116"/>
      <c r="I19" s="98"/>
    </row>
    <row r="20" spans="1:9" ht="12.75">
      <c r="A20" s="106" t="s">
        <v>206</v>
      </c>
      <c r="B20" s="86"/>
      <c r="C20" s="86"/>
      <c r="D20" s="86"/>
      <c r="E20" s="86"/>
      <c r="F20" s="86"/>
      <c r="G20" s="86"/>
      <c r="H20" s="116"/>
      <c r="I20" s="98"/>
    </row>
    <row r="21" spans="1:9" ht="12.75">
      <c r="A21" s="114" t="s">
        <v>207</v>
      </c>
      <c r="B21" s="63">
        <f>0.21*B8</f>
        <v>10500</v>
      </c>
      <c r="C21" s="63">
        <f aca="true" t="shared" si="3" ref="C21:I21">0.21*C8</f>
        <v>1588944</v>
      </c>
      <c r="D21" s="63">
        <f t="shared" si="3"/>
        <v>55173.81656192308</v>
      </c>
      <c r="E21" s="63">
        <f t="shared" si="3"/>
        <v>0</v>
      </c>
      <c r="F21" s="63">
        <f t="shared" si="3"/>
        <v>0</v>
      </c>
      <c r="G21" s="63">
        <f t="shared" si="3"/>
        <v>0</v>
      </c>
      <c r="H21" s="63">
        <f t="shared" si="3"/>
        <v>0</v>
      </c>
      <c r="I21" s="63">
        <f t="shared" si="3"/>
        <v>1654617.8165619231</v>
      </c>
    </row>
    <row r="22" spans="1:9" ht="12.75">
      <c r="A22" s="114" t="s">
        <v>208</v>
      </c>
      <c r="B22" s="63">
        <f>0.21*B18</f>
        <v>0</v>
      </c>
      <c r="C22" s="63">
        <f aca="true" t="shared" si="4" ref="C22:I22">0.21*C18</f>
        <v>116584.286875</v>
      </c>
      <c r="D22" s="63">
        <f t="shared" si="4"/>
        <v>393435.5638319645</v>
      </c>
      <c r="E22" s="63">
        <f t="shared" si="4"/>
        <v>365467.1466708886</v>
      </c>
      <c r="F22" s="63">
        <f t="shared" si="4"/>
        <v>365400.6741974469</v>
      </c>
      <c r="G22" s="63">
        <f t="shared" si="4"/>
        <v>365343.3</v>
      </c>
      <c r="H22" s="63">
        <f t="shared" si="4"/>
        <v>365399.622</v>
      </c>
      <c r="I22" s="63">
        <f t="shared" si="4"/>
        <v>1971630.5935753</v>
      </c>
    </row>
    <row r="23" spans="1:9" ht="12.75">
      <c r="A23" s="106" t="s">
        <v>209</v>
      </c>
      <c r="B23" s="63">
        <f>+B21+B22</f>
        <v>10500</v>
      </c>
      <c r="C23" s="63">
        <f aca="true" t="shared" si="5" ref="C23:I23">+C21+C22</f>
        <v>1705528.286875</v>
      </c>
      <c r="D23" s="63">
        <f t="shared" si="5"/>
        <v>448609.3803938876</v>
      </c>
      <c r="E23" s="63">
        <f t="shared" si="5"/>
        <v>365467.1466708886</v>
      </c>
      <c r="F23" s="63">
        <f t="shared" si="5"/>
        <v>365400.6741974469</v>
      </c>
      <c r="G23" s="63">
        <f t="shared" si="5"/>
        <v>365343.3</v>
      </c>
      <c r="H23" s="63">
        <f t="shared" si="5"/>
        <v>365399.622</v>
      </c>
      <c r="I23" s="63">
        <f t="shared" si="5"/>
        <v>3626248.410137223</v>
      </c>
    </row>
    <row r="24" spans="1:9" ht="12.75">
      <c r="A24" s="106"/>
      <c r="B24" s="86"/>
      <c r="C24" s="86"/>
      <c r="D24" s="86"/>
      <c r="E24" s="86"/>
      <c r="F24" s="86"/>
      <c r="G24" s="86"/>
      <c r="H24" s="116"/>
      <c r="I24" s="98"/>
    </row>
    <row r="25" spans="1:9" s="74" customFormat="1" ht="12.75">
      <c r="A25" s="110" t="s">
        <v>210</v>
      </c>
      <c r="B25" s="147">
        <f>+B8+B18+B23</f>
        <v>60500</v>
      </c>
      <c r="C25" s="147">
        <f aca="true" t="shared" si="6" ref="C25:I25">+C8+C18+C23</f>
        <v>9827091.557708332</v>
      </c>
      <c r="D25" s="147">
        <f t="shared" si="6"/>
        <v>2584844.5251266854</v>
      </c>
      <c r="E25" s="147">
        <f t="shared" si="6"/>
        <v>2105786.892722739</v>
      </c>
      <c r="F25" s="147">
        <f t="shared" si="6"/>
        <v>2105403.88466148</v>
      </c>
      <c r="G25" s="147">
        <f t="shared" si="6"/>
        <v>2105073.3</v>
      </c>
      <c r="H25" s="147">
        <f t="shared" si="6"/>
        <v>2105397.8219999997</v>
      </c>
      <c r="I25" s="147">
        <f t="shared" si="6"/>
        <v>20894097.982219234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F35" sqref="F35"/>
    </sheetView>
  </sheetViews>
  <sheetFormatPr defaultColWidth="11.421875" defaultRowHeight="12.75"/>
  <cols>
    <col min="1" max="1" width="28.140625" style="16" customWidth="1"/>
    <col min="2" max="7" width="14.00390625" style="16" customWidth="1"/>
    <col min="8" max="8" width="17.421875" style="16" customWidth="1"/>
    <col min="9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2" spans="1:7" ht="15.75">
      <c r="A2" s="118" t="s">
        <v>211</v>
      </c>
      <c r="B2" s="56"/>
      <c r="C2" s="56"/>
      <c r="D2" s="56"/>
      <c r="E2" s="56"/>
      <c r="F2" s="56"/>
      <c r="G2" s="57"/>
    </row>
    <row r="3" spans="1:7" ht="15.75">
      <c r="A3" s="119"/>
      <c r="B3" s="120" t="s">
        <v>212</v>
      </c>
      <c r="C3" s="120"/>
      <c r="D3" s="120"/>
      <c r="E3" s="120"/>
      <c r="F3" s="120"/>
      <c r="G3" s="121"/>
    </row>
    <row r="4" spans="1:7" ht="12.75">
      <c r="A4" s="122" t="s">
        <v>88</v>
      </c>
      <c r="B4" s="11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23" t="s">
        <v>213</v>
      </c>
      <c r="B5" s="124"/>
      <c r="C5" s="107"/>
      <c r="D5" s="107"/>
      <c r="E5" s="107"/>
      <c r="F5" s="107"/>
      <c r="G5" s="108"/>
    </row>
    <row r="6" spans="1:7" ht="12.75">
      <c r="A6" s="125" t="s">
        <v>214</v>
      </c>
      <c r="B6" s="126">
        <v>0</v>
      </c>
      <c r="C6" s="126">
        <f>0.21*'E-Costos'!B7</f>
        <v>299250</v>
      </c>
      <c r="D6" s="126">
        <f>0.21*'E-Costos'!C7</f>
        <v>315000</v>
      </c>
      <c r="E6" s="126">
        <f>0.21*'E-Costos'!D7</f>
        <v>315000</v>
      </c>
      <c r="F6" s="126">
        <f>0.21*'E-Costos'!E7</f>
        <v>315000</v>
      </c>
      <c r="G6" s="126">
        <f>0.21*'E-Costos'!F7</f>
        <v>315000</v>
      </c>
    </row>
    <row r="7" spans="1:7" ht="12.75">
      <c r="A7" s="125" t="s">
        <v>107</v>
      </c>
      <c r="B7" s="126">
        <v>0</v>
      </c>
      <c r="C7" s="126">
        <f>0.21*('E-Costos'!B14)</f>
        <v>101899.90965</v>
      </c>
      <c r="D7" s="126">
        <f>0.21*('E-Costos'!C14)</f>
        <v>92636.2815</v>
      </c>
      <c r="E7" s="126">
        <f>0.21*('E-Costos'!D14)</f>
        <v>92636.2815</v>
      </c>
      <c r="F7" s="126">
        <f>0.21*('E-Costos'!E14)</f>
        <v>92636.2815</v>
      </c>
      <c r="G7" s="126">
        <f>0.21*('E-Costos'!F14)</f>
        <v>92636.2815</v>
      </c>
    </row>
    <row r="8" spans="1:7" ht="12.75">
      <c r="A8" s="125" t="s">
        <v>98</v>
      </c>
      <c r="B8" s="126">
        <v>0</v>
      </c>
      <c r="C8" s="126">
        <f>0.21*('E-Costos'!B12)</f>
        <v>25200</v>
      </c>
      <c r="D8" s="126">
        <f>0.21*('E-Costos'!C12)</f>
        <v>25200</v>
      </c>
      <c r="E8" s="126">
        <f>0.21*('E-Costos'!D12)</f>
        <v>25200</v>
      </c>
      <c r="F8" s="126">
        <f>0.21*('E-Costos'!E12)</f>
        <v>25200</v>
      </c>
      <c r="G8" s="126">
        <f>0.21*('E-Costos'!F12)</f>
        <v>25200</v>
      </c>
    </row>
    <row r="9" spans="1:7" ht="12.75">
      <c r="A9" s="125" t="s">
        <v>99</v>
      </c>
      <c r="B9" s="126">
        <v>0</v>
      </c>
      <c r="C9" s="126">
        <f>0.21*'E-Costos'!B13</f>
        <v>0</v>
      </c>
      <c r="D9" s="126">
        <f>0.21*'E-Costos'!C13</f>
        <v>0</v>
      </c>
      <c r="E9" s="126">
        <f>0.21*'E-Costos'!D13</f>
        <v>0</v>
      </c>
      <c r="F9" s="126">
        <f>0.21*'E-Costos'!E13</f>
        <v>0</v>
      </c>
      <c r="G9" s="126">
        <f>0.21*'E-Costos'!F13</f>
        <v>0</v>
      </c>
    </row>
    <row r="10" spans="1:7" ht="12.75">
      <c r="A10" s="125" t="s">
        <v>215</v>
      </c>
      <c r="B10" s="126">
        <v>0</v>
      </c>
      <c r="C10" s="126">
        <v>0</v>
      </c>
      <c r="D10" s="126">
        <v>1</v>
      </c>
      <c r="E10" s="126">
        <v>2</v>
      </c>
      <c r="F10" s="126">
        <v>3</v>
      </c>
      <c r="G10" s="126">
        <v>4</v>
      </c>
    </row>
    <row r="11" spans="1:7" ht="12.75">
      <c r="A11" s="125" t="s">
        <v>124</v>
      </c>
      <c r="B11" s="126">
        <v>0</v>
      </c>
      <c r="C11" s="63">
        <f>0.21*('E-Costos'!B57+'E-Costos'!B74)</f>
        <v>2100</v>
      </c>
      <c r="D11" s="63">
        <f>0.21*('E-Costos'!C57+'E-Costos'!C74)</f>
        <v>2100</v>
      </c>
      <c r="E11" s="63">
        <f>0.21*('E-Costos'!D57+'E-Costos'!D74)</f>
        <v>2100</v>
      </c>
      <c r="F11" s="63">
        <f>0.21*('E-Costos'!E57+'E-Costos'!E74)</f>
        <v>2100</v>
      </c>
      <c r="G11" s="63">
        <f>0.21*('E-Costos'!F57+'E-Costos'!F74)</f>
        <v>2100</v>
      </c>
    </row>
    <row r="12" spans="1:7" ht="12.75">
      <c r="A12" s="127" t="s">
        <v>83</v>
      </c>
      <c r="B12" s="126">
        <f aca="true" t="shared" si="0" ref="B12:G12">+SUM(B6:B11)</f>
        <v>0</v>
      </c>
      <c r="C12" s="126">
        <f t="shared" si="0"/>
        <v>428449.90965</v>
      </c>
      <c r="D12" s="126">
        <f t="shared" si="0"/>
        <v>434937.2815</v>
      </c>
      <c r="E12" s="126">
        <f t="shared" si="0"/>
        <v>434938.2815</v>
      </c>
      <c r="F12" s="126">
        <f t="shared" si="0"/>
        <v>434939.2815</v>
      </c>
      <c r="G12" s="126">
        <f t="shared" si="0"/>
        <v>434940.2815</v>
      </c>
    </row>
    <row r="13" spans="1:7" ht="12.75">
      <c r="A13" s="125" t="s">
        <v>216</v>
      </c>
      <c r="B13" s="126"/>
      <c r="C13" s="63"/>
      <c r="D13" s="63"/>
      <c r="E13" s="63"/>
      <c r="F13" s="63"/>
      <c r="G13" s="64"/>
    </row>
    <row r="14" spans="1:7" ht="12.75">
      <c r="A14" s="125" t="s">
        <v>217</v>
      </c>
      <c r="B14" s="128">
        <v>0</v>
      </c>
      <c r="C14" s="86">
        <f>(+'E-Costos'!G25+'E-Costos'!G30+'E-Costos'!G31)*0.21</f>
        <v>30225.81656192308</v>
      </c>
      <c r="D14" s="86">
        <v>0</v>
      </c>
      <c r="E14" s="86">
        <v>0</v>
      </c>
      <c r="F14" s="86">
        <v>0</v>
      </c>
      <c r="G14" s="86">
        <v>0</v>
      </c>
    </row>
    <row r="15" spans="1:7" ht="12.75">
      <c r="A15" s="125" t="s">
        <v>218</v>
      </c>
      <c r="B15" s="126"/>
      <c r="C15" s="63">
        <f>+'E-Cal Inv.'!D16*0.21</f>
        <v>25010.52710030769</v>
      </c>
      <c r="D15" s="63">
        <f>+'E-Cal Inv.'!E16*0.21</f>
        <v>67.4197446923099</v>
      </c>
      <c r="E15" s="63">
        <f>+'E-Cal Inv.'!F16*0.21</f>
        <v>0</v>
      </c>
      <c r="F15" s="63">
        <f>+'E-Cal Inv.'!G16*0.21</f>
        <v>-37.8</v>
      </c>
      <c r="G15" s="63">
        <f>+'E-Cal Inv.'!H16*0.21</f>
        <v>0</v>
      </c>
    </row>
    <row r="16" spans="1:7" ht="12.75">
      <c r="A16" s="125" t="s">
        <v>219</v>
      </c>
      <c r="B16" s="126"/>
      <c r="C16" s="63">
        <f>+'E-Cal Inv.'!D17*0.21</f>
        <v>9325.036731656804</v>
      </c>
      <c r="D16" s="63">
        <f>+'E-Cal Inv.'!E17*0.21</f>
        <v>-0.2730738037271658</v>
      </c>
      <c r="E16" s="63">
        <f>+'E-Cal Inv.'!F17*0.21</f>
        <v>0.6741974469223351</v>
      </c>
      <c r="F16" s="63">
        <f>+'E-Cal Inv.'!G17*0.21</f>
        <v>-18.9</v>
      </c>
      <c r="G16" s="63">
        <f>+'E-Cal Inv.'!H17*0.21</f>
        <v>-0.3780000000006112</v>
      </c>
    </row>
    <row r="17" spans="1:7" ht="12.75">
      <c r="A17" s="127" t="s">
        <v>220</v>
      </c>
      <c r="B17" s="126">
        <f aca="true" t="shared" si="1" ref="B17:G17">+SUM(B12-B14-B15-B16)</f>
        <v>0</v>
      </c>
      <c r="C17" s="126">
        <f t="shared" si="1"/>
        <v>363888.5292561124</v>
      </c>
      <c r="D17" s="126">
        <f t="shared" si="1"/>
        <v>434870.1348291114</v>
      </c>
      <c r="E17" s="126">
        <f t="shared" si="1"/>
        <v>434937.6073025531</v>
      </c>
      <c r="F17" s="126">
        <f t="shared" si="1"/>
        <v>434995.9815</v>
      </c>
      <c r="G17" s="126">
        <f t="shared" si="1"/>
        <v>434940.6595</v>
      </c>
    </row>
    <row r="18" spans="1:7" ht="12.75">
      <c r="A18" s="127" t="s">
        <v>221</v>
      </c>
      <c r="B18" s="126">
        <v>0</v>
      </c>
      <c r="C18" s="63">
        <f>(+'E-Costos'!B54+'E-Costos'!B55+'E-Costos'!B57)*0.21</f>
        <v>48326.689425</v>
      </c>
      <c r="D18" s="63">
        <f>(+'E-Costos'!C54+'E-Costos'!C55+'E-Costos'!C57)*0.21</f>
        <v>44074.626749999996</v>
      </c>
      <c r="E18" s="63">
        <f>(+'E-Costos'!D54+'E-Costos'!D55+'E-Costos'!D57)*0.21</f>
        <v>44074.626749999996</v>
      </c>
      <c r="F18" s="63">
        <f>(+'E-Costos'!E54+'E-Costos'!E55+'E-Costos'!E57)*0.21</f>
        <v>44074.626749999996</v>
      </c>
      <c r="G18" s="63">
        <f>(+'E-Costos'!F54+'E-Costos'!F55+'E-Costos'!F57)*0.21</f>
        <v>44074.626749999996</v>
      </c>
    </row>
    <row r="19" spans="1:7" ht="12.75">
      <c r="A19" s="127" t="s">
        <v>222</v>
      </c>
      <c r="B19" s="126">
        <v>0</v>
      </c>
      <c r="C19" s="63">
        <f>0.21*('E-Costos'!B71+'E-Costos'!B72+'E-Costos'!B74)</f>
        <v>42447.126749999996</v>
      </c>
      <c r="D19" s="63">
        <f>0.21*('E-Costos'!C71+'E-Costos'!C72+'E-Costos'!C74)</f>
        <v>46227.126749999996</v>
      </c>
      <c r="E19" s="63">
        <f>0.21*('E-Costos'!D71+'E-Costos'!D72+'E-Costos'!D74)</f>
        <v>46227.126749999996</v>
      </c>
      <c r="F19" s="63">
        <f>0.21*('E-Costos'!E71+'E-Costos'!E72+'E-Costos'!E74)</f>
        <v>46227.126749999996</v>
      </c>
      <c r="G19" s="63">
        <f>0.21*('E-Costos'!F71+'E-Costos'!F72+'E-Costos'!F74)</f>
        <v>46227.126749999996</v>
      </c>
    </row>
    <row r="20" spans="1:7" ht="12.75">
      <c r="A20" s="127"/>
      <c r="B20" s="128"/>
      <c r="C20" s="86"/>
      <c r="D20" s="86"/>
      <c r="E20" s="86"/>
      <c r="F20" s="86"/>
      <c r="G20" s="87"/>
    </row>
    <row r="21" spans="1:7" ht="12.75">
      <c r="A21" s="125" t="s">
        <v>223</v>
      </c>
      <c r="B21" s="126"/>
      <c r="C21" s="63">
        <f>+C17+C18+C19</f>
        <v>454662.3454311124</v>
      </c>
      <c r="D21" s="63">
        <f>+D17+D18+D19</f>
        <v>525171.8883291114</v>
      </c>
      <c r="E21" s="63">
        <f>+E17+E18+E19</f>
        <v>525239.3608025531</v>
      </c>
      <c r="F21" s="63">
        <f>+F17+F18+F19</f>
        <v>525297.735</v>
      </c>
      <c r="G21" s="63">
        <f>+G17+G18+G19</f>
        <v>525242.413</v>
      </c>
    </row>
    <row r="22" spans="1:7" ht="12.75">
      <c r="A22" s="125" t="s">
        <v>224</v>
      </c>
      <c r="B22" s="126"/>
      <c r="C22" s="63">
        <f>0.21*('E-Costos'!B88)</f>
        <v>2835000</v>
      </c>
      <c r="D22" s="63">
        <f>0.21*('E-Costos'!C88)</f>
        <v>3150000</v>
      </c>
      <c r="E22" s="63">
        <f>0.21*('E-Costos'!D88)</f>
        <v>3150000</v>
      </c>
      <c r="F22" s="63">
        <f>0.21*('E-Costos'!E88)</f>
        <v>3150000</v>
      </c>
      <c r="G22" s="63">
        <f>0.21*('E-Costos'!F88)</f>
        <v>3150000</v>
      </c>
    </row>
    <row r="23" spans="1:7" ht="12.75">
      <c r="A23" s="127" t="s">
        <v>225</v>
      </c>
      <c r="B23" s="126">
        <f aca="true" t="shared" si="2" ref="B23:G23">+B22-B21</f>
        <v>0</v>
      </c>
      <c r="C23" s="126">
        <f t="shared" si="2"/>
        <v>2380337.654568888</v>
      </c>
      <c r="D23" s="126">
        <f t="shared" si="2"/>
        <v>2624828.1116708885</v>
      </c>
      <c r="E23" s="126">
        <f t="shared" si="2"/>
        <v>2624760.639197447</v>
      </c>
      <c r="F23" s="126">
        <f t="shared" si="2"/>
        <v>2624702.265</v>
      </c>
      <c r="G23" s="126">
        <f t="shared" si="2"/>
        <v>2624757.5870000003</v>
      </c>
    </row>
    <row r="24" spans="1:7" ht="12.75">
      <c r="A24" s="125"/>
      <c r="B24" s="128"/>
      <c r="C24" s="86"/>
      <c r="D24" s="86"/>
      <c r="E24" s="86"/>
      <c r="F24" s="86"/>
      <c r="G24" s="87"/>
    </row>
    <row r="25" spans="1:7" ht="12.75">
      <c r="A25" s="129" t="s">
        <v>226</v>
      </c>
      <c r="B25" s="126">
        <v>0</v>
      </c>
      <c r="C25" s="126">
        <f>+B27</f>
        <v>-116584.28687499999</v>
      </c>
      <c r="D25" s="126">
        <f>+C28</f>
        <v>0</v>
      </c>
      <c r="E25" s="126">
        <f>+D28</f>
        <v>0</v>
      </c>
      <c r="F25" s="126">
        <f>+E28</f>
        <v>0</v>
      </c>
      <c r="G25" s="126">
        <f>+F28</f>
        <v>0</v>
      </c>
    </row>
    <row r="26" spans="1:7" ht="12.75">
      <c r="A26" s="129" t="s">
        <v>227</v>
      </c>
      <c r="B26" s="126">
        <f>-'E-InvAT'!B34</f>
        <v>-116584.28687499999</v>
      </c>
      <c r="C26" s="126">
        <f>+C23</f>
        <v>2380337.654568888</v>
      </c>
      <c r="D26" s="126">
        <f>+D23</f>
        <v>2624828.1116708885</v>
      </c>
      <c r="E26" s="126">
        <f>+E23</f>
        <v>2624760.639197447</v>
      </c>
      <c r="F26" s="126">
        <f>+F23</f>
        <v>2624702.265</v>
      </c>
      <c r="G26" s="126">
        <f>+G23</f>
        <v>2624757.5870000003</v>
      </c>
    </row>
    <row r="27" spans="1:7" ht="12.75">
      <c r="A27" s="127" t="s">
        <v>228</v>
      </c>
      <c r="B27" s="126">
        <f aca="true" t="shared" si="3" ref="B27:G27">+B25+B26</f>
        <v>-116584.28687499999</v>
      </c>
      <c r="C27" s="126">
        <f t="shared" si="3"/>
        <v>2263753.367693888</v>
      </c>
      <c r="D27" s="126">
        <f t="shared" si="3"/>
        <v>2624828.1116708885</v>
      </c>
      <c r="E27" s="126">
        <f t="shared" si="3"/>
        <v>2624760.639197447</v>
      </c>
      <c r="F27" s="126">
        <f t="shared" si="3"/>
        <v>2624702.265</v>
      </c>
      <c r="G27" s="126">
        <f t="shared" si="3"/>
        <v>2624757.5870000003</v>
      </c>
    </row>
    <row r="28" spans="1:7" ht="12.75">
      <c r="A28" s="127" t="s">
        <v>229</v>
      </c>
      <c r="B28" s="126">
        <f>+B26</f>
        <v>-116584.28687499999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</row>
    <row r="29" spans="1:7" ht="12.75">
      <c r="A29" s="125"/>
      <c r="B29" s="128"/>
      <c r="C29" s="86"/>
      <c r="D29" s="86"/>
      <c r="E29" s="86"/>
      <c r="F29" s="86"/>
      <c r="G29" s="87"/>
    </row>
    <row r="30" spans="1:7" ht="12.75">
      <c r="A30" s="130" t="s">
        <v>230</v>
      </c>
      <c r="B30" s="131">
        <v>0</v>
      </c>
      <c r="C30" s="69">
        <f>+C27</f>
        <v>2263753.367693888</v>
      </c>
      <c r="D30" s="69">
        <f>+D27</f>
        <v>2624828.1116708885</v>
      </c>
      <c r="E30" s="69">
        <f>+E27</f>
        <v>2624760.639197447</v>
      </c>
      <c r="F30" s="69">
        <f>+F27</f>
        <v>2624702.265</v>
      </c>
      <c r="G30" s="69">
        <f>+G27</f>
        <v>2624757.5870000003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8.00390625" style="16" customWidth="1"/>
    <col min="2" max="13" width="14.8515625" style="16" customWidth="1"/>
    <col min="14" max="14" width="17.421875" style="16" customWidth="1"/>
    <col min="15" max="16384" width="11.421875" style="16" customWidth="1"/>
  </cols>
  <sheetData>
    <row r="1" spans="1:8" ht="12.75">
      <c r="A1" s="1" t="s">
        <v>0</v>
      </c>
      <c r="B1"/>
      <c r="C1"/>
      <c r="D1"/>
      <c r="G1" s="16">
        <f>InfoInicial!E1</f>
        <v>0</v>
      </c>
      <c r="H1" s="2"/>
    </row>
    <row r="2" spans="1:13" ht="15.75">
      <c r="A2" s="118" t="s">
        <v>231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9" thickBot="1">
      <c r="A3" s="122" t="s">
        <v>232</v>
      </c>
      <c r="B3" s="111" t="s">
        <v>233</v>
      </c>
      <c r="C3" s="111" t="s">
        <v>234</v>
      </c>
      <c r="D3" s="111" t="s">
        <v>235</v>
      </c>
      <c r="E3" s="111" t="s">
        <v>3</v>
      </c>
      <c r="F3" s="111" t="s">
        <v>236</v>
      </c>
      <c r="G3" s="111" t="s">
        <v>237</v>
      </c>
      <c r="H3" s="111" t="s">
        <v>238</v>
      </c>
      <c r="I3" s="111" t="s">
        <v>96</v>
      </c>
      <c r="J3" s="111" t="s">
        <v>239</v>
      </c>
      <c r="K3" s="111" t="s">
        <v>240</v>
      </c>
      <c r="L3" s="132" t="s">
        <v>241</v>
      </c>
      <c r="M3" s="133" t="s">
        <v>242</v>
      </c>
    </row>
    <row r="4" spans="1:13" ht="13.5" thickTop="1">
      <c r="A4" s="134">
        <v>0</v>
      </c>
      <c r="B4" s="135">
        <f>+'E-Inv AF y Am'!B34</f>
        <v>7616400</v>
      </c>
      <c r="C4" s="61">
        <f>+'E-InvAT'!B$25*0.21</f>
        <v>116584.286875</v>
      </c>
      <c r="D4" s="61">
        <f>+'E-Inv AF y Am'!B35</f>
        <v>1654617.8165619231</v>
      </c>
      <c r="E4" s="61">
        <v>0</v>
      </c>
      <c r="F4" s="16">
        <v>0</v>
      </c>
      <c r="G4" s="61">
        <f aca="true" t="shared" si="0" ref="G4:G9">+SUM(B4:F4)</f>
        <v>9387602.103436923</v>
      </c>
      <c r="H4" s="61">
        <v>0</v>
      </c>
      <c r="I4" s="61">
        <v>0</v>
      </c>
      <c r="J4" s="61">
        <v>0</v>
      </c>
      <c r="K4" s="61">
        <f aca="true" t="shared" si="1" ref="K4:K9">+SUM(H4:J4)</f>
        <v>0</v>
      </c>
      <c r="L4" s="136">
        <f aca="true" t="shared" si="2" ref="L4:L9">+K4-G4</f>
        <v>-9387602.103436923</v>
      </c>
      <c r="M4" s="62">
        <f>+L4</f>
        <v>-9387602.103436923</v>
      </c>
    </row>
    <row r="5" spans="1:13" ht="12.75">
      <c r="A5" s="137">
        <v>1</v>
      </c>
      <c r="B5" s="126">
        <f>+'E-Inv AF y Am'!C34</f>
        <v>262732.45981868135</v>
      </c>
      <c r="C5" s="61">
        <f>+'E-InvAT'!C$25*0.21</f>
        <v>190123.54078915092</v>
      </c>
      <c r="D5" s="61">
        <f>+'E-IVA '!C21</f>
        <v>454662.3454311124</v>
      </c>
      <c r="E5" s="63">
        <f>+'E-Costos'!B$117</f>
        <v>406070.4013507959</v>
      </c>
      <c r="F5" s="61">
        <f>+'E-Costos'!$B$118</f>
        <v>1888227.3662812002</v>
      </c>
      <c r="G5" s="61">
        <f t="shared" si="0"/>
        <v>3201816.1136709405</v>
      </c>
      <c r="H5" s="61">
        <f>+'E-Costos'!B$116</f>
        <v>5801005.733582797</v>
      </c>
      <c r="I5" s="63">
        <f>+'E-Inv AF y Am'!$D$59</f>
        <v>426946.6666666667</v>
      </c>
      <c r="J5" s="63">
        <f>+D4+D5</f>
        <v>2109280.1619930356</v>
      </c>
      <c r="K5" s="61">
        <f t="shared" si="1"/>
        <v>8337232.5622425005</v>
      </c>
      <c r="L5" s="136">
        <f t="shared" si="2"/>
        <v>5135416.44857156</v>
      </c>
      <c r="M5" s="64">
        <f>+L5+M4</f>
        <v>-4252185.654865363</v>
      </c>
    </row>
    <row r="6" spans="1:13" ht="12.75">
      <c r="A6" s="137">
        <v>2</v>
      </c>
      <c r="B6" s="126">
        <v>0</v>
      </c>
      <c r="C6" s="61">
        <v>0</v>
      </c>
      <c r="D6" s="61">
        <f>0.21*(B6+C6)</f>
        <v>0</v>
      </c>
      <c r="E6" s="63">
        <f>+'E-Costos'!C$117</f>
        <v>480156.4583236296</v>
      </c>
      <c r="F6" s="61">
        <f>+'E-Costos'!$C$118</f>
        <v>2232727.531204877</v>
      </c>
      <c r="G6" s="61">
        <f t="shared" si="0"/>
        <v>2712883.9895285065</v>
      </c>
      <c r="H6" s="61">
        <f>+'E-Costos'!C$116</f>
        <v>6859377.97605185</v>
      </c>
      <c r="I6" s="63">
        <f>+'E-Inv AF y Am'!$D$59</f>
        <v>426946.6666666667</v>
      </c>
      <c r="J6" s="63">
        <v>0</v>
      </c>
      <c r="K6" s="61">
        <f t="shared" si="1"/>
        <v>7286324.642718517</v>
      </c>
      <c r="L6" s="136">
        <f t="shared" si="2"/>
        <v>4573440.653190011</v>
      </c>
      <c r="M6" s="64">
        <f>+L6+M5</f>
        <v>321254.9983246485</v>
      </c>
    </row>
    <row r="7" spans="1:13" ht="12.75">
      <c r="A7" s="137">
        <v>3</v>
      </c>
      <c r="B7" s="126">
        <v>0</v>
      </c>
      <c r="C7" s="61">
        <v>0</v>
      </c>
      <c r="D7" s="61">
        <f>0.21*(B7+C7)</f>
        <v>0</v>
      </c>
      <c r="E7" s="63">
        <f>+'E-Costos'!D$117</f>
        <v>480134.3008324824</v>
      </c>
      <c r="F7" s="61">
        <f>+'E-Costos'!$D$118</f>
        <v>2232624.498871043</v>
      </c>
      <c r="G7" s="61">
        <f t="shared" si="0"/>
        <v>2712758.7997035254</v>
      </c>
      <c r="H7" s="61">
        <f>+'E-Costos'!D$116</f>
        <v>6859061.440464034</v>
      </c>
      <c r="I7" s="63">
        <f>+'E-Inv AF y Am'!$D$59</f>
        <v>426946.6666666667</v>
      </c>
      <c r="J7" s="63">
        <v>0</v>
      </c>
      <c r="K7" s="61">
        <f t="shared" si="1"/>
        <v>7286008.107130701</v>
      </c>
      <c r="L7" s="136">
        <f t="shared" si="2"/>
        <v>4573249.307427175</v>
      </c>
      <c r="M7" s="64">
        <f>+L7+M6</f>
        <v>4894504.305751824</v>
      </c>
    </row>
    <row r="8" spans="1:13" ht="12.75">
      <c r="A8" s="137">
        <v>4</v>
      </c>
      <c r="B8" s="126">
        <v>0</v>
      </c>
      <c r="C8" s="61">
        <v>0</v>
      </c>
      <c r="D8" s="61">
        <f>0.21*(B8+C8)</f>
        <v>0</v>
      </c>
      <c r="E8" s="63">
        <f>+'E-Costos'!E$117</f>
        <v>480829.1761000001</v>
      </c>
      <c r="F8" s="61">
        <f>+'E-Costos'!$E$118</f>
        <v>2235855.668865</v>
      </c>
      <c r="G8" s="61">
        <f t="shared" si="0"/>
        <v>2716684.844965</v>
      </c>
      <c r="H8" s="61">
        <f>+'E-Costos'!E$116</f>
        <v>6868988.23</v>
      </c>
      <c r="I8" s="63">
        <f>+'E-Inv AF y Am'!$E$59</f>
        <v>416946.6666666667</v>
      </c>
      <c r="J8" s="63">
        <v>0</v>
      </c>
      <c r="K8" s="61">
        <f t="shared" si="1"/>
        <v>7285934.896666667</v>
      </c>
      <c r="L8" s="136">
        <f t="shared" si="2"/>
        <v>4569250.051701667</v>
      </c>
      <c r="M8" s="64">
        <f>+L8+M7</f>
        <v>9463754.357453492</v>
      </c>
    </row>
    <row r="9" spans="1:13" ht="12.75">
      <c r="A9" s="137">
        <v>5</v>
      </c>
      <c r="B9" s="126">
        <f>-'E-Inv AF y Am'!G59</f>
        <v>-5501666.666666667</v>
      </c>
      <c r="C9" s="61">
        <v>0</v>
      </c>
      <c r="D9" s="61"/>
      <c r="E9" s="63">
        <f>+'E-Costos'!F$117</f>
        <v>480847.9501000001</v>
      </c>
      <c r="F9" s="61">
        <f>+'E-Costos'!$F$118</f>
        <v>2235942.967965</v>
      </c>
      <c r="G9" s="61">
        <f t="shared" si="0"/>
        <v>-2784875.748601667</v>
      </c>
      <c r="H9" s="61">
        <f>+'E-Costos'!F$116</f>
        <v>6869256.430000001</v>
      </c>
      <c r="I9" s="63">
        <f>+'E-Inv AF y Am'!$E$59</f>
        <v>416946.6666666667</v>
      </c>
      <c r="J9" s="63">
        <v>0</v>
      </c>
      <c r="K9" s="61">
        <f t="shared" si="1"/>
        <v>7286203.096666668</v>
      </c>
      <c r="L9" s="136">
        <f t="shared" si="2"/>
        <v>10071078.845268335</v>
      </c>
      <c r="M9" s="64">
        <f>+L9+M8</f>
        <v>19534833.202721827</v>
      </c>
    </row>
    <row r="10" spans="1:13" ht="12.75">
      <c r="A10" s="137"/>
      <c r="B10" s="128">
        <v>0</v>
      </c>
      <c r="C10" s="86"/>
      <c r="D10" s="61">
        <f>0.21*(B10+C10)</f>
        <v>0</v>
      </c>
      <c r="E10" s="63">
        <f>+'E-Costos'!G$117</f>
        <v>0</v>
      </c>
      <c r="F10" s="86"/>
      <c r="G10" s="86"/>
      <c r="H10" s="86"/>
      <c r="I10" s="86"/>
      <c r="J10" s="86"/>
      <c r="K10" s="86"/>
      <c r="L10" s="116"/>
      <c r="M10" s="87"/>
    </row>
    <row r="11" spans="1:13" ht="13.5" thickBot="1">
      <c r="A11" s="138" t="s">
        <v>243</v>
      </c>
      <c r="B11" s="131">
        <f>+SUM(B4:B10)</f>
        <v>2377465.7931520147</v>
      </c>
      <c r="C11" s="131">
        <f aca="true" t="shared" si="3" ref="C11:L11">+SUM(C4:C10)</f>
        <v>306707.8276641509</v>
      </c>
      <c r="D11" s="131">
        <f t="shared" si="3"/>
        <v>2109280.1619930356</v>
      </c>
      <c r="E11" s="131">
        <f t="shared" si="3"/>
        <v>2328038.286706908</v>
      </c>
      <c r="F11" s="131">
        <f>+SUM(F5:F10)</f>
        <v>10825378.03318712</v>
      </c>
      <c r="G11" s="131">
        <f t="shared" si="3"/>
        <v>17946870.102703225</v>
      </c>
      <c r="H11" s="131">
        <f t="shared" si="3"/>
        <v>33257689.81009868</v>
      </c>
      <c r="I11" s="131">
        <f t="shared" si="3"/>
        <v>2114733.3333333335</v>
      </c>
      <c r="J11" s="131">
        <f t="shared" si="3"/>
        <v>2109280.1619930356</v>
      </c>
      <c r="K11" s="131">
        <f t="shared" si="3"/>
        <v>37481703.30542505</v>
      </c>
      <c r="L11" s="131">
        <f t="shared" si="3"/>
        <v>19534833.202721827</v>
      </c>
      <c r="M11" s="131">
        <f>+M9</f>
        <v>19534833.202721827</v>
      </c>
    </row>
    <row r="12" ht="13.5" thickTop="1"/>
    <row r="13" spans="3:4" ht="12.75">
      <c r="C13" s="139" t="s">
        <v>244</v>
      </c>
      <c r="D13" s="140">
        <f>+M11</f>
        <v>19534833.202721827</v>
      </c>
    </row>
    <row r="14" spans="1:5" ht="12.75">
      <c r="A14" s="74"/>
      <c r="C14" s="139" t="s">
        <v>245</v>
      </c>
      <c r="D14" s="141">
        <f>1-M5/L6</f>
        <v>1.929756386343273</v>
      </c>
      <c r="E14" s="16" t="s">
        <v>246</v>
      </c>
    </row>
    <row r="15" spans="3:4" ht="12.75">
      <c r="C15" s="139" t="s">
        <v>247</v>
      </c>
      <c r="D15" s="142">
        <v>0.25485125784251544</v>
      </c>
    </row>
    <row r="16" spans="3:4" ht="12.75">
      <c r="C16" s="313" t="s">
        <v>478</v>
      </c>
      <c r="D16" s="314">
        <f>+M4+M5/(1+D15)+M6/((1+D15)*(1+D15))+M7/((1+D15)*(1+D15)*(1+D15))+M8/((1+D15)*(1+D15)*(1+D15)*(1+D15))+M9/((1+D15)*(1+D15)*(1+D15)*(1+D15)*(1+D15))</f>
        <v>0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28125" style="16" customWidth="1"/>
    <col min="2" max="9" width="15.140625" style="16" customWidth="1"/>
    <col min="10" max="16384" width="11.421875" style="16" customWidth="1"/>
  </cols>
  <sheetData>
    <row r="1" spans="1:7" ht="12.75">
      <c r="A1" s="1" t="s">
        <v>0</v>
      </c>
      <c r="B1"/>
      <c r="C1"/>
      <c r="D1"/>
      <c r="F1" s="143">
        <f>InfoInicial!E1</f>
        <v>0</v>
      </c>
      <c r="G1" s="2"/>
    </row>
    <row r="2" spans="1:7" ht="15.75">
      <c r="A2" s="144" t="s">
        <v>248</v>
      </c>
      <c r="B2" s="91"/>
      <c r="C2" s="91"/>
      <c r="D2" s="91"/>
      <c r="E2" s="91"/>
      <c r="F2" s="91"/>
      <c r="G2" s="92"/>
    </row>
    <row r="3" spans="1:7" ht="12.75">
      <c r="A3" s="58" t="s">
        <v>88</v>
      </c>
      <c r="B3" s="347" t="s">
        <v>249</v>
      </c>
      <c r="C3" s="347"/>
      <c r="D3" s="347" t="s">
        <v>250</v>
      </c>
      <c r="E3" s="347"/>
      <c r="F3" s="348" t="s">
        <v>251</v>
      </c>
      <c r="G3" s="348"/>
    </row>
    <row r="4" spans="1:7" ht="12.75">
      <c r="A4" s="58" t="s">
        <v>74</v>
      </c>
      <c r="B4" s="145" t="s">
        <v>252</v>
      </c>
      <c r="C4" s="145" t="s">
        <v>253</v>
      </c>
      <c r="D4" s="145" t="s">
        <v>252</v>
      </c>
      <c r="E4" s="145" t="s">
        <v>253</v>
      </c>
      <c r="F4" s="145" t="s">
        <v>252</v>
      </c>
      <c r="G4" s="146" t="s">
        <v>253</v>
      </c>
    </row>
    <row r="5" spans="1:7" ht="12.75">
      <c r="A5" s="29" t="s">
        <v>254</v>
      </c>
      <c r="B5" s="63"/>
      <c r="C5" s="88"/>
      <c r="D5" s="63"/>
      <c r="E5" s="88"/>
      <c r="F5" s="63"/>
      <c r="G5" s="89"/>
    </row>
    <row r="6" spans="1:7" ht="12.75">
      <c r="A6" s="27" t="s">
        <v>255</v>
      </c>
      <c r="B6" s="63"/>
      <c r="C6" s="88"/>
      <c r="D6" s="63"/>
      <c r="E6" s="88"/>
      <c r="F6" s="63"/>
      <c r="G6" s="89"/>
    </row>
    <row r="7" spans="1:7" ht="12.75">
      <c r="A7" s="27" t="s">
        <v>256</v>
      </c>
      <c r="B7" s="63"/>
      <c r="C7" s="88"/>
      <c r="D7" s="63"/>
      <c r="E7" s="99"/>
      <c r="F7" s="63"/>
      <c r="G7" s="89"/>
    </row>
    <row r="8" spans="1:7" ht="12.75">
      <c r="A8" s="35" t="s">
        <v>192</v>
      </c>
      <c r="B8" s="147"/>
      <c r="C8" s="148"/>
      <c r="D8" s="147"/>
      <c r="E8" s="148"/>
      <c r="F8" s="147"/>
      <c r="G8" s="149"/>
    </row>
    <row r="9" spans="1:7" ht="12.75">
      <c r="A9" s="74"/>
      <c r="B9" s="54"/>
      <c r="C9" s="150"/>
      <c r="D9" s="54"/>
      <c r="E9" s="54"/>
      <c r="F9" s="54"/>
      <c r="G9" s="54"/>
    </row>
    <row r="10" spans="1:9" ht="15.75">
      <c r="A10" s="151" t="s">
        <v>257</v>
      </c>
      <c r="B10" s="152"/>
      <c r="C10" s="152"/>
      <c r="D10" s="152"/>
      <c r="E10" s="152"/>
      <c r="F10" s="152"/>
      <c r="G10" s="152"/>
      <c r="H10" s="152"/>
      <c r="I10" s="153"/>
    </row>
    <row r="11" spans="1:9" ht="12.75">
      <c r="A11" s="154" t="s">
        <v>258</v>
      </c>
      <c r="B11" s="155" t="s">
        <v>259</v>
      </c>
      <c r="C11" s="155" t="s">
        <v>260</v>
      </c>
      <c r="D11" s="155" t="s">
        <v>261</v>
      </c>
      <c r="E11" s="155" t="s">
        <v>260</v>
      </c>
      <c r="F11" s="155" t="s">
        <v>262</v>
      </c>
      <c r="G11" s="155" t="s">
        <v>261</v>
      </c>
      <c r="H11" s="155"/>
      <c r="I11" s="156" t="s">
        <v>263</v>
      </c>
    </row>
    <row r="12" spans="1:9" ht="12.75">
      <c r="A12" s="157"/>
      <c r="B12" s="158"/>
      <c r="C12" s="158" t="s">
        <v>264</v>
      </c>
      <c r="D12" s="158" t="s">
        <v>264</v>
      </c>
      <c r="E12" s="158" t="s">
        <v>35</v>
      </c>
      <c r="F12" s="158" t="s">
        <v>265</v>
      </c>
      <c r="G12" s="158" t="s">
        <v>35</v>
      </c>
      <c r="H12" s="158" t="s">
        <v>266</v>
      </c>
      <c r="I12" s="159" t="s">
        <v>267</v>
      </c>
    </row>
    <row r="13" spans="1:9" ht="12.75">
      <c r="A13" s="160"/>
      <c r="B13" s="84"/>
      <c r="C13" s="84"/>
      <c r="D13" s="84"/>
      <c r="E13" s="84"/>
      <c r="F13" s="161"/>
      <c r="G13" s="84"/>
      <c r="H13" s="162"/>
      <c r="I13" s="85"/>
    </row>
    <row r="14" spans="1:9" ht="12.75">
      <c r="A14" s="163"/>
      <c r="B14" s="63"/>
      <c r="C14" s="63"/>
      <c r="D14" s="63"/>
      <c r="E14" s="63"/>
      <c r="F14" s="28"/>
      <c r="G14" s="63"/>
      <c r="H14" s="99"/>
      <c r="I14" s="64"/>
    </row>
    <row r="15" spans="1:9" ht="12.75">
      <c r="A15" s="163"/>
      <c r="B15" s="63"/>
      <c r="C15" s="63"/>
      <c r="D15" s="63"/>
      <c r="E15" s="63"/>
      <c r="F15" s="28"/>
      <c r="G15" s="63"/>
      <c r="H15" s="99"/>
      <c r="I15" s="64"/>
    </row>
    <row r="16" spans="1:9" ht="12.75">
      <c r="A16" s="163"/>
      <c r="B16" s="63"/>
      <c r="C16" s="63"/>
      <c r="D16" s="63"/>
      <c r="E16" s="63"/>
      <c r="F16" s="28"/>
      <c r="G16" s="63"/>
      <c r="H16" s="99"/>
      <c r="I16" s="64"/>
    </row>
    <row r="17" spans="1:9" ht="12.75">
      <c r="A17" s="163"/>
      <c r="B17" s="63"/>
      <c r="C17" s="63"/>
      <c r="D17" s="63"/>
      <c r="E17" s="63"/>
      <c r="F17" s="28"/>
      <c r="G17" s="63"/>
      <c r="H17" s="99"/>
      <c r="I17" s="64"/>
    </row>
    <row r="18" spans="1:9" ht="12.75">
      <c r="A18" s="163"/>
      <c r="B18" s="63"/>
      <c r="C18" s="63"/>
      <c r="D18" s="63"/>
      <c r="E18" s="63"/>
      <c r="F18" s="28"/>
      <c r="G18" s="63"/>
      <c r="H18" s="99"/>
      <c r="I18" s="64"/>
    </row>
    <row r="19" spans="1:9" ht="12.75">
      <c r="A19" s="163"/>
      <c r="B19" s="63"/>
      <c r="C19" s="63"/>
      <c r="D19" s="63"/>
      <c r="E19" s="63"/>
      <c r="F19" s="28"/>
      <c r="G19" s="63"/>
      <c r="H19" s="99"/>
      <c r="I19" s="64"/>
    </row>
    <row r="20" spans="1:9" ht="12.75">
      <c r="A20" s="164"/>
      <c r="B20" s="69"/>
      <c r="C20" s="69"/>
      <c r="D20" s="78"/>
      <c r="E20" s="69"/>
      <c r="F20" s="32"/>
      <c r="G20" s="78"/>
      <c r="H20" s="165"/>
      <c r="I20" s="79"/>
    </row>
    <row r="21" spans="1:9" ht="12.75">
      <c r="A21" s="166" t="s">
        <v>268</v>
      </c>
      <c r="B21" s="167"/>
      <c r="C21" s="167"/>
      <c r="D21" s="168"/>
      <c r="E21" s="167"/>
      <c r="F21" s="169"/>
      <c r="G21" s="168"/>
      <c r="H21" s="170"/>
      <c r="I21" s="168"/>
    </row>
    <row r="22" spans="1:9" ht="12.75">
      <c r="A22" s="160"/>
      <c r="B22" s="84"/>
      <c r="C22" s="84"/>
      <c r="D22" s="61"/>
      <c r="E22" s="84"/>
      <c r="F22" s="161"/>
      <c r="G22" s="61"/>
      <c r="H22" s="162"/>
      <c r="I22" s="62"/>
    </row>
    <row r="23" spans="1:9" ht="12.75">
      <c r="A23" s="163"/>
      <c r="B23" s="63"/>
      <c r="C23" s="63"/>
      <c r="D23" s="63"/>
      <c r="E23" s="63"/>
      <c r="F23" s="28"/>
      <c r="G23" s="63"/>
      <c r="H23" s="99"/>
      <c r="I23" s="64"/>
    </row>
    <row r="24" spans="1:9" ht="12.75">
      <c r="A24" s="171"/>
      <c r="B24" s="63"/>
      <c r="C24" s="63"/>
      <c r="D24" s="63"/>
      <c r="E24" s="63"/>
      <c r="F24" s="63"/>
      <c r="G24" s="63"/>
      <c r="H24" s="88"/>
      <c r="I24" s="64"/>
    </row>
    <row r="25" spans="1:9" ht="12.75">
      <c r="A25" s="171"/>
      <c r="B25" s="63"/>
      <c r="C25" s="63"/>
      <c r="D25" s="63"/>
      <c r="E25" s="63"/>
      <c r="F25" s="63"/>
      <c r="G25" s="63"/>
      <c r="H25" s="88"/>
      <c r="I25" s="64"/>
    </row>
    <row r="26" spans="1:9" ht="12.75">
      <c r="A26" s="171"/>
      <c r="B26" s="63"/>
      <c r="C26" s="63"/>
      <c r="D26" s="63"/>
      <c r="E26" s="63"/>
      <c r="F26" s="63"/>
      <c r="G26" s="63"/>
      <c r="H26" s="88"/>
      <c r="I26" s="64"/>
    </row>
    <row r="27" spans="1:9" ht="12.75">
      <c r="A27" s="171"/>
      <c r="B27" s="63"/>
      <c r="C27" s="63"/>
      <c r="D27" s="63"/>
      <c r="E27" s="63"/>
      <c r="F27" s="63"/>
      <c r="G27" s="63"/>
      <c r="H27" s="88"/>
      <c r="I27" s="64"/>
    </row>
    <row r="28" spans="1:9" ht="12.75">
      <c r="A28" s="171"/>
      <c r="B28" s="63"/>
      <c r="C28" s="63"/>
      <c r="D28" s="63"/>
      <c r="E28" s="63"/>
      <c r="F28" s="63"/>
      <c r="G28" s="63"/>
      <c r="H28" s="88"/>
      <c r="I28" s="64"/>
    </row>
    <row r="29" spans="1:9" ht="12.75">
      <c r="A29" s="171"/>
      <c r="B29" s="63"/>
      <c r="C29" s="63"/>
      <c r="D29" s="63"/>
      <c r="E29" s="63"/>
      <c r="F29" s="63"/>
      <c r="G29" s="63"/>
      <c r="H29" s="88"/>
      <c r="I29" s="64"/>
    </row>
    <row r="30" spans="1:9" ht="12.75">
      <c r="A30" s="171"/>
      <c r="B30" s="63"/>
      <c r="C30" s="63"/>
      <c r="D30" s="63"/>
      <c r="E30" s="63"/>
      <c r="F30" s="63"/>
      <c r="G30" s="63"/>
      <c r="H30" s="88"/>
      <c r="I30" s="64"/>
    </row>
    <row r="31" spans="1:9" ht="12.75">
      <c r="A31" s="171"/>
      <c r="B31" s="63"/>
      <c r="C31" s="63"/>
      <c r="D31" s="63"/>
      <c r="E31" s="63"/>
      <c r="F31" s="63"/>
      <c r="G31" s="63"/>
      <c r="H31" s="88"/>
      <c r="I31" s="64"/>
    </row>
    <row r="32" spans="1:9" ht="12.75">
      <c r="A32" s="171"/>
      <c r="B32" s="63"/>
      <c r="C32" s="63"/>
      <c r="D32" s="63"/>
      <c r="E32" s="63"/>
      <c r="F32" s="63"/>
      <c r="G32" s="63"/>
      <c r="H32" s="88"/>
      <c r="I32" s="64"/>
    </row>
    <row r="33" spans="1:9" ht="12.75">
      <c r="A33" s="171"/>
      <c r="B33" s="63"/>
      <c r="C33" s="63"/>
      <c r="D33" s="63"/>
      <c r="E33" s="63"/>
      <c r="F33" s="63"/>
      <c r="G33" s="63"/>
      <c r="H33" s="88"/>
      <c r="I33" s="64"/>
    </row>
    <row r="34" spans="1:9" ht="12.75">
      <c r="A34" s="171"/>
      <c r="B34" s="63"/>
      <c r="C34" s="63"/>
      <c r="D34" s="63"/>
      <c r="E34" s="63"/>
      <c r="F34" s="63"/>
      <c r="G34" s="63"/>
      <c r="H34" s="88"/>
      <c r="I34" s="64"/>
    </row>
    <row r="35" spans="1:9" ht="12.75">
      <c r="A35" s="171"/>
      <c r="B35" s="63"/>
      <c r="C35" s="63"/>
      <c r="D35" s="63"/>
      <c r="E35" s="63"/>
      <c r="F35" s="28"/>
      <c r="G35" s="63"/>
      <c r="H35" s="99"/>
      <c r="I35" s="64"/>
    </row>
    <row r="36" spans="1:9" ht="12.75">
      <c r="A36" s="171"/>
      <c r="B36" s="63"/>
      <c r="C36" s="63"/>
      <c r="D36" s="63"/>
      <c r="E36" s="63"/>
      <c r="F36" s="63"/>
      <c r="G36" s="63"/>
      <c r="H36" s="88"/>
      <c r="I36" s="64"/>
    </row>
    <row r="37" spans="1:9" ht="12.75">
      <c r="A37" s="171"/>
      <c r="B37" s="63"/>
      <c r="C37" s="63"/>
      <c r="D37" s="63"/>
      <c r="E37" s="63"/>
      <c r="F37" s="28"/>
      <c r="G37" s="63"/>
      <c r="H37" s="99"/>
      <c r="I37" s="64"/>
    </row>
    <row r="38" spans="1:9" ht="12.75">
      <c r="A38" s="171"/>
      <c r="B38" s="63"/>
      <c r="C38" s="63"/>
      <c r="D38" s="63"/>
      <c r="E38" s="63"/>
      <c r="F38" s="63"/>
      <c r="G38" s="63"/>
      <c r="H38" s="88"/>
      <c r="I38" s="64"/>
    </row>
    <row r="39" spans="1:9" ht="12.75">
      <c r="A39" s="171"/>
      <c r="B39" s="63"/>
      <c r="C39" s="63"/>
      <c r="D39" s="63"/>
      <c r="E39" s="63"/>
      <c r="F39" s="28"/>
      <c r="G39" s="63"/>
      <c r="H39" s="99"/>
      <c r="I39" s="64"/>
    </row>
    <row r="40" spans="1:9" ht="12.75">
      <c r="A40" s="171"/>
      <c r="B40" s="63"/>
      <c r="C40" s="63"/>
      <c r="D40" s="63"/>
      <c r="E40" s="63"/>
      <c r="F40" s="63"/>
      <c r="G40" s="63"/>
      <c r="H40" s="88"/>
      <c r="I40" s="64"/>
    </row>
    <row r="41" spans="1:9" ht="12.75">
      <c r="A41" s="171"/>
      <c r="B41" s="63"/>
      <c r="C41" s="63"/>
      <c r="D41" s="63"/>
      <c r="E41" s="63"/>
      <c r="F41" s="28"/>
      <c r="G41" s="63"/>
      <c r="H41" s="99"/>
      <c r="I41" s="64"/>
    </row>
    <row r="42" spans="1:9" ht="12.75">
      <c r="A42" s="171"/>
      <c r="B42" s="63"/>
      <c r="C42" s="63"/>
      <c r="D42" s="63"/>
      <c r="E42" s="63"/>
      <c r="F42" s="63"/>
      <c r="G42" s="63"/>
      <c r="H42" s="88"/>
      <c r="I42" s="64"/>
    </row>
    <row r="43" spans="1:9" ht="12.75">
      <c r="A43" s="171"/>
      <c r="B43" s="63"/>
      <c r="C43" s="63"/>
      <c r="D43" s="63"/>
      <c r="E43" s="63"/>
      <c r="F43" s="28"/>
      <c r="G43" s="63"/>
      <c r="H43" s="99"/>
      <c r="I43" s="64"/>
    </row>
    <row r="44" spans="1:9" ht="12.75">
      <c r="A44" s="171"/>
      <c r="B44" s="63"/>
      <c r="C44" s="63"/>
      <c r="D44" s="63"/>
      <c r="E44" s="63"/>
      <c r="F44" s="63"/>
      <c r="G44" s="63"/>
      <c r="H44" s="88"/>
      <c r="I44" s="64"/>
    </row>
    <row r="45" spans="1:9" ht="12.75">
      <c r="A45" s="171"/>
      <c r="B45" s="63"/>
      <c r="C45" s="63"/>
      <c r="D45" s="63"/>
      <c r="E45" s="63"/>
      <c r="F45" s="28"/>
      <c r="G45" s="63"/>
      <c r="H45" s="99"/>
      <c r="I45" s="64"/>
    </row>
    <row r="46" spans="1:9" ht="12.75">
      <c r="A46" s="171"/>
      <c r="B46" s="63"/>
      <c r="C46" s="63"/>
      <c r="D46" s="63"/>
      <c r="E46" s="63"/>
      <c r="F46" s="63"/>
      <c r="G46" s="63"/>
      <c r="H46" s="88"/>
      <c r="I46" s="64"/>
    </row>
    <row r="47" spans="1:9" ht="12.75">
      <c r="A47" s="171"/>
      <c r="B47" s="63"/>
      <c r="C47" s="63"/>
      <c r="D47" s="63"/>
      <c r="E47" s="63"/>
      <c r="F47" s="28"/>
      <c r="G47" s="63"/>
      <c r="H47" s="99"/>
      <c r="I47" s="64"/>
    </row>
    <row r="48" spans="1:9" ht="12.75">
      <c r="A48" s="171"/>
      <c r="B48" s="63"/>
      <c r="C48" s="63"/>
      <c r="D48" s="63"/>
      <c r="E48" s="63"/>
      <c r="F48" s="63"/>
      <c r="G48" s="63"/>
      <c r="H48" s="88"/>
      <c r="I48" s="64"/>
    </row>
    <row r="49" spans="1:9" ht="12.75">
      <c r="A49" s="171"/>
      <c r="B49" s="63"/>
      <c r="C49" s="63"/>
      <c r="D49" s="63"/>
      <c r="E49" s="63"/>
      <c r="F49" s="28"/>
      <c r="G49" s="63"/>
      <c r="H49" s="99"/>
      <c r="I49" s="64"/>
    </row>
    <row r="50" spans="1:9" ht="12.75">
      <c r="A50" s="171"/>
      <c r="B50" s="63"/>
      <c r="C50" s="63"/>
      <c r="D50" s="63"/>
      <c r="E50" s="63"/>
      <c r="F50" s="63"/>
      <c r="G50" s="63"/>
      <c r="H50" s="88"/>
      <c r="I50" s="64"/>
    </row>
    <row r="51" spans="1:9" ht="12.75">
      <c r="A51" s="171"/>
      <c r="B51" s="63"/>
      <c r="C51" s="63"/>
      <c r="D51" s="63"/>
      <c r="E51" s="63"/>
      <c r="F51" s="28"/>
      <c r="G51" s="63"/>
      <c r="H51" s="99"/>
      <c r="I51" s="64"/>
    </row>
    <row r="52" spans="1:9" ht="12.75">
      <c r="A52" s="171"/>
      <c r="B52" s="63"/>
      <c r="C52" s="63"/>
      <c r="D52" s="63"/>
      <c r="E52" s="63"/>
      <c r="F52" s="63"/>
      <c r="G52" s="63"/>
      <c r="H52" s="88"/>
      <c r="I52" s="64"/>
    </row>
    <row r="53" spans="1:9" ht="12.75">
      <c r="A53" s="163"/>
      <c r="B53" s="63"/>
      <c r="C53" s="63"/>
      <c r="D53" s="63"/>
      <c r="E53" s="63"/>
      <c r="F53" s="28"/>
      <c r="G53" s="63"/>
      <c r="H53" s="99"/>
      <c r="I53" s="64"/>
    </row>
    <row r="54" spans="1:9" ht="12.75">
      <c r="A54" s="83" t="s">
        <v>269</v>
      </c>
      <c r="B54" s="147"/>
      <c r="C54" s="147"/>
      <c r="D54" s="147"/>
      <c r="E54" s="147"/>
      <c r="F54" s="172"/>
      <c r="G54" s="147"/>
      <c r="H54" s="173"/>
      <c r="I54" s="174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u179988</cp:lastModifiedBy>
  <dcterms:created xsi:type="dcterms:W3CDTF">2016-11-03T13:06:17Z</dcterms:created>
  <dcterms:modified xsi:type="dcterms:W3CDTF">2016-11-04T12:52:13Z</dcterms:modified>
  <cp:category/>
  <cp:version/>
  <cp:contentType/>
  <cp:contentStatus/>
</cp:coreProperties>
</file>