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 tabRatio="500" activeTab="7"/>
  </bookViews>
  <sheets>
    <sheet name="InfoInicial" sheetId="1" r:id="rId1"/>
    <sheet name="Apertura" sheetId="15" r:id="rId2"/>
    <sheet name="E-Inv AF y Am" sheetId="2" r:id="rId3"/>
    <sheet name="E-Costos" sheetId="3" r:id="rId4"/>
    <sheet name="E-InvAT" sheetId="4" r:id="rId5"/>
    <sheet name="E-Cal Inv." sheetId="5" r:id="rId6"/>
    <sheet name="E-IVA " sheetId="6" r:id="rId7"/>
    <sheet name="E-Form" sheetId="7" r:id="rId8"/>
    <sheet name="F-Cred" sheetId="8" r:id="rId9"/>
    <sheet name="F-CRes" sheetId="9" r:id="rId10"/>
    <sheet name="F-2 Estructura" sheetId="10" r:id="rId11"/>
    <sheet name="F-IVA" sheetId="11" r:id="rId12"/>
    <sheet name="F- CFyU" sheetId="12" r:id="rId13"/>
    <sheet name="F-Balance" sheetId="13" r:id="rId14"/>
    <sheet name="F- Form" sheetId="14" r:id="rId15"/>
  </sheets>
  <definedNames>
    <definedName name="_xlnm.Print_Area" localSheetId="3">('E-Costos'!$A$3:$H$47,'E-Costos'!$A$50:$F$81,'E-Costos'!$A$84:$F$139)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7" l="1"/>
  <c r="J29" i="7"/>
  <c r="J30" i="7"/>
  <c r="J31" i="7"/>
  <c r="J32" i="7"/>
  <c r="J33" i="7"/>
  <c r="J34" i="7"/>
  <c r="J35" i="7"/>
  <c r="J36" i="7"/>
  <c r="J27" i="7"/>
  <c r="B88" i="3"/>
  <c r="C6" i="4"/>
  <c r="B6" i="4"/>
  <c r="C11" i="5"/>
  <c r="C18" i="5"/>
  <c r="C4" i="7"/>
  <c r="G4" i="7"/>
  <c r="L4" i="7"/>
  <c r="M4" i="7"/>
  <c r="F336" i="15"/>
  <c r="F337" i="15"/>
  <c r="F338" i="15"/>
  <c r="B58" i="3"/>
  <c r="B59" i="3"/>
  <c r="B61" i="3"/>
  <c r="B111" i="3"/>
  <c r="F342" i="15"/>
  <c r="B75" i="3"/>
  <c r="B76" i="3"/>
  <c r="B78" i="3"/>
  <c r="B112" i="3"/>
  <c r="B114" i="3"/>
  <c r="B118" i="3"/>
  <c r="H5" i="7"/>
  <c r="C22" i="6"/>
  <c r="C23" i="6"/>
  <c r="C28" i="6"/>
  <c r="J5" i="7"/>
  <c r="K5" i="7"/>
  <c r="D11" i="5"/>
  <c r="C87" i="3"/>
  <c r="C88" i="3"/>
  <c r="C7" i="4"/>
  <c r="B119" i="3"/>
  <c r="B120" i="3"/>
  <c r="B122" i="3"/>
  <c r="B123" i="3"/>
  <c r="C19" i="4"/>
  <c r="D12" i="5"/>
  <c r="D18" i="5"/>
  <c r="C5" i="7"/>
  <c r="E5" i="7"/>
  <c r="F5" i="7"/>
  <c r="G5" i="7"/>
  <c r="L5" i="7"/>
  <c r="M5" i="7"/>
  <c r="G336" i="15"/>
  <c r="D87" i="3"/>
  <c r="D88" i="3"/>
  <c r="G337" i="15"/>
  <c r="G338" i="15"/>
  <c r="C58" i="3"/>
  <c r="C59" i="3"/>
  <c r="C61" i="3"/>
  <c r="C111" i="3"/>
  <c r="F343" i="15"/>
  <c r="C75" i="3"/>
  <c r="C76" i="3"/>
  <c r="C78" i="3"/>
  <c r="C112" i="3"/>
  <c r="C114" i="3"/>
  <c r="C118" i="3"/>
  <c r="H6" i="7"/>
  <c r="C27" i="6"/>
  <c r="D25" i="6"/>
  <c r="D22" i="6"/>
  <c r="D23" i="6"/>
  <c r="D28" i="6"/>
  <c r="J6" i="7"/>
  <c r="K6" i="7"/>
  <c r="D6" i="4"/>
  <c r="E11" i="5"/>
  <c r="D7" i="4"/>
  <c r="C119" i="3"/>
  <c r="C120" i="3"/>
  <c r="C122" i="3"/>
  <c r="C123" i="3"/>
  <c r="D19" i="4"/>
  <c r="E12" i="5"/>
  <c r="E18" i="5"/>
  <c r="C6" i="7"/>
  <c r="E6" i="7"/>
  <c r="F6" i="7"/>
  <c r="G6" i="7"/>
  <c r="L6" i="7"/>
  <c r="M6" i="7"/>
  <c r="D58" i="3"/>
  <c r="D59" i="3"/>
  <c r="D61" i="3"/>
  <c r="D111" i="3"/>
  <c r="D75" i="3"/>
  <c r="D76" i="3"/>
  <c r="D78" i="3"/>
  <c r="D112" i="3"/>
  <c r="D114" i="3"/>
  <c r="D118" i="3"/>
  <c r="H7" i="7"/>
  <c r="D27" i="6"/>
  <c r="E25" i="6"/>
  <c r="E22" i="6"/>
  <c r="E23" i="6"/>
  <c r="E28" i="6"/>
  <c r="J7" i="7"/>
  <c r="K7" i="7"/>
  <c r="E6" i="4"/>
  <c r="F11" i="5"/>
  <c r="E7" i="4"/>
  <c r="D119" i="3"/>
  <c r="D120" i="3"/>
  <c r="D122" i="3"/>
  <c r="D123" i="3"/>
  <c r="E19" i="4"/>
  <c r="F12" i="5"/>
  <c r="F18" i="5"/>
  <c r="C7" i="7"/>
  <c r="E7" i="7"/>
  <c r="F7" i="7"/>
  <c r="G7" i="7"/>
  <c r="L7" i="7"/>
  <c r="M7" i="7"/>
  <c r="D14" i="7"/>
  <c r="E87" i="3"/>
  <c r="E88" i="3"/>
  <c r="E58" i="3"/>
  <c r="E59" i="3"/>
  <c r="E61" i="3"/>
  <c r="E111" i="3"/>
  <c r="E75" i="3"/>
  <c r="E76" i="3"/>
  <c r="E78" i="3"/>
  <c r="E112" i="3"/>
  <c r="E114" i="3"/>
  <c r="E118" i="3"/>
  <c r="H8" i="7"/>
  <c r="E27" i="6"/>
  <c r="F25" i="6"/>
  <c r="F22" i="6"/>
  <c r="F23" i="6"/>
  <c r="F28" i="6"/>
  <c r="J8" i="7"/>
  <c r="K8" i="7"/>
  <c r="F6" i="4"/>
  <c r="G11" i="5"/>
  <c r="F7" i="4"/>
  <c r="E119" i="3"/>
  <c r="E120" i="3"/>
  <c r="E122" i="3"/>
  <c r="E123" i="3"/>
  <c r="F19" i="4"/>
  <c r="G12" i="5"/>
  <c r="G18" i="5"/>
  <c r="C8" i="7"/>
  <c r="E8" i="7"/>
  <c r="F8" i="7"/>
  <c r="G8" i="7"/>
  <c r="L8" i="7"/>
  <c r="F87" i="3"/>
  <c r="F88" i="3"/>
  <c r="F58" i="3"/>
  <c r="F59" i="3"/>
  <c r="F61" i="3"/>
  <c r="F111" i="3"/>
  <c r="F75" i="3"/>
  <c r="F76" i="3"/>
  <c r="F78" i="3"/>
  <c r="F112" i="3"/>
  <c r="F114" i="3"/>
  <c r="F118" i="3"/>
  <c r="H9" i="7"/>
  <c r="F27" i="6"/>
  <c r="G25" i="6"/>
  <c r="G22" i="6"/>
  <c r="G23" i="6"/>
  <c r="G28" i="6"/>
  <c r="J9" i="7"/>
  <c r="K9" i="7"/>
  <c r="G6" i="4"/>
  <c r="H11" i="5"/>
  <c r="G7" i="4"/>
  <c r="F119" i="3"/>
  <c r="F120" i="3"/>
  <c r="F122" i="3"/>
  <c r="F123" i="3"/>
  <c r="G19" i="4"/>
  <c r="H12" i="5"/>
  <c r="H18" i="5"/>
  <c r="I18" i="5"/>
  <c r="C9" i="7"/>
  <c r="E9" i="7"/>
  <c r="F9" i="7"/>
  <c r="G9" i="7"/>
  <c r="L9" i="7"/>
  <c r="D15" i="7"/>
  <c r="G14" i="7"/>
  <c r="E17" i="5"/>
  <c r="F17" i="5"/>
  <c r="G17" i="5"/>
  <c r="H17" i="5"/>
  <c r="D17" i="5"/>
  <c r="G11" i="7"/>
  <c r="K11" i="7"/>
  <c r="L11" i="7"/>
  <c r="D13" i="7"/>
  <c r="F16" i="5"/>
  <c r="G16" i="5"/>
  <c r="H16" i="5"/>
  <c r="D16" i="5"/>
  <c r="E16" i="5"/>
  <c r="B49" i="2"/>
  <c r="C6" i="5"/>
  <c r="D49" i="2"/>
  <c r="E49" i="2"/>
  <c r="L49" i="2"/>
  <c r="L54" i="2"/>
  <c r="B46" i="2"/>
  <c r="B7" i="15"/>
  <c r="I23" i="2"/>
  <c r="L53" i="2"/>
  <c r="L44" i="2"/>
  <c r="L45" i="2"/>
  <c r="L47" i="2"/>
  <c r="L48" i="2"/>
  <c r="L50" i="2"/>
  <c r="L43" i="2"/>
  <c r="C53" i="2"/>
  <c r="D53" i="2"/>
  <c r="E53" i="2"/>
  <c r="F53" i="2"/>
  <c r="C36" i="2"/>
  <c r="B5" i="7"/>
  <c r="K4" i="7"/>
  <c r="H14" i="5"/>
  <c r="G14" i="5"/>
  <c r="F14" i="5"/>
  <c r="E14" i="5"/>
  <c r="D14" i="5"/>
  <c r="H21" i="5"/>
  <c r="G21" i="5"/>
  <c r="F21" i="5"/>
  <c r="E21" i="5"/>
  <c r="D21" i="5"/>
  <c r="B23" i="5"/>
  <c r="B10" i="4"/>
  <c r="C14" i="5"/>
  <c r="B25" i="5"/>
  <c r="D8" i="5"/>
  <c r="I140" i="15"/>
  <c r="J140" i="15"/>
  <c r="I128" i="15"/>
  <c r="I141" i="15"/>
  <c r="J141" i="15"/>
  <c r="I129" i="15"/>
  <c r="I142" i="15"/>
  <c r="J142" i="15"/>
  <c r="I130" i="15"/>
  <c r="I143" i="15"/>
  <c r="J143" i="15"/>
  <c r="I131" i="15"/>
  <c r="I144" i="15"/>
  <c r="J144" i="15"/>
  <c r="I132" i="15"/>
  <c r="I145" i="15"/>
  <c r="J145" i="15"/>
  <c r="I133" i="15"/>
  <c r="I146" i="15"/>
  <c r="J146" i="15"/>
  <c r="I134" i="15"/>
  <c r="I147" i="15"/>
  <c r="J147" i="15"/>
  <c r="I135" i="15"/>
  <c r="I148" i="15"/>
  <c r="J148" i="15"/>
  <c r="J149" i="15"/>
  <c r="F7" i="3"/>
  <c r="G158" i="15"/>
  <c r="G153" i="15"/>
  <c r="H153" i="15"/>
  <c r="I153" i="15"/>
  <c r="J153" i="15"/>
  <c r="F8" i="3"/>
  <c r="C4" i="15"/>
  <c r="B43" i="2"/>
  <c r="E43" i="2"/>
  <c r="B44" i="2"/>
  <c r="E44" i="2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B45" i="2"/>
  <c r="E45" i="2"/>
  <c r="D8" i="15"/>
  <c r="D9" i="15"/>
  <c r="D10" i="15"/>
  <c r="D11" i="15"/>
  <c r="D12" i="15"/>
  <c r="D13" i="15"/>
  <c r="D14" i="15"/>
  <c r="D15" i="15"/>
  <c r="D19" i="15"/>
  <c r="D20" i="15"/>
  <c r="D21" i="15"/>
  <c r="D22" i="15"/>
  <c r="D23" i="15"/>
  <c r="D24" i="15"/>
  <c r="B47" i="2"/>
  <c r="E47" i="2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B48" i="2"/>
  <c r="E48" i="2"/>
  <c r="B119" i="15"/>
  <c r="B118" i="15"/>
  <c r="B117" i="15"/>
  <c r="B120" i="15"/>
  <c r="C117" i="15"/>
  <c r="H43" i="2"/>
  <c r="H44" i="2"/>
  <c r="H45" i="2"/>
  <c r="H47" i="2"/>
  <c r="G57" i="15"/>
  <c r="G58" i="15"/>
  <c r="G59" i="15"/>
  <c r="G60" i="15"/>
  <c r="G61" i="15"/>
  <c r="G62" i="15"/>
  <c r="G63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3" i="15"/>
  <c r="G94" i="15"/>
  <c r="G95" i="15"/>
  <c r="G96" i="15"/>
  <c r="G98" i="15"/>
  <c r="G99" i="15"/>
  <c r="G101" i="15"/>
  <c r="G102" i="15"/>
  <c r="G103" i="15"/>
  <c r="H48" i="2"/>
  <c r="H53" i="2"/>
  <c r="H164" i="15"/>
  <c r="I164" i="15"/>
  <c r="J164" i="15"/>
  <c r="K164" i="15"/>
  <c r="H165" i="15"/>
  <c r="I165" i="15"/>
  <c r="J165" i="15"/>
  <c r="K165" i="15"/>
  <c r="H166" i="15"/>
  <c r="I166" i="15"/>
  <c r="J166" i="15"/>
  <c r="K166" i="15"/>
  <c r="K167" i="15"/>
  <c r="F11" i="3"/>
  <c r="C105" i="15"/>
  <c r="D105" i="15"/>
  <c r="C106" i="15"/>
  <c r="D106" i="15"/>
  <c r="C107" i="15"/>
  <c r="D107" i="15"/>
  <c r="C108" i="15"/>
  <c r="D108" i="15"/>
  <c r="C109" i="15"/>
  <c r="D109" i="15"/>
  <c r="D110" i="15"/>
  <c r="D111" i="15"/>
  <c r="D112" i="15"/>
  <c r="D113" i="15"/>
  <c r="B50" i="2"/>
  <c r="H200" i="15"/>
  <c r="I200" i="15"/>
  <c r="L200" i="15"/>
  <c r="H201" i="15"/>
  <c r="I201" i="15"/>
  <c r="L201" i="15"/>
  <c r="L231" i="15"/>
  <c r="G238" i="15"/>
  <c r="L232" i="15"/>
  <c r="H233" i="15"/>
  <c r="I233" i="15"/>
  <c r="H234" i="15"/>
  <c r="I234" i="15"/>
  <c r="F235" i="15"/>
  <c r="H235" i="15"/>
  <c r="I235" i="15"/>
  <c r="H236" i="15"/>
  <c r="I236" i="15"/>
  <c r="H237" i="15"/>
  <c r="I237" i="15"/>
  <c r="I238" i="15"/>
  <c r="L233" i="15"/>
  <c r="L234" i="15"/>
  <c r="L238" i="15"/>
  <c r="F13" i="3"/>
  <c r="L259" i="15"/>
  <c r="H260" i="15"/>
  <c r="F260" i="15"/>
  <c r="I260" i="15"/>
  <c r="H261" i="15"/>
  <c r="I261" i="15"/>
  <c r="I262" i="15"/>
  <c r="I263" i="15"/>
  <c r="L260" i="15"/>
  <c r="L261" i="15"/>
  <c r="L263" i="15"/>
  <c r="F14" i="3"/>
  <c r="F325" i="15"/>
  <c r="F326" i="15"/>
  <c r="F327" i="15"/>
  <c r="F15" i="3"/>
  <c r="F101" i="3"/>
  <c r="E7" i="3"/>
  <c r="E8" i="3"/>
  <c r="E11" i="3"/>
  <c r="E13" i="3"/>
  <c r="E14" i="3"/>
  <c r="E15" i="3"/>
  <c r="E101" i="3"/>
  <c r="D7" i="3"/>
  <c r="D8" i="3"/>
  <c r="C7" i="3"/>
  <c r="C8" i="3"/>
  <c r="H177" i="15"/>
  <c r="I177" i="15"/>
  <c r="J177" i="15"/>
  <c r="K177" i="15"/>
  <c r="H178" i="15"/>
  <c r="I178" i="15"/>
  <c r="J178" i="15"/>
  <c r="K178" i="15"/>
  <c r="H179" i="15"/>
  <c r="I179" i="15"/>
  <c r="J179" i="15"/>
  <c r="K179" i="15"/>
  <c r="H180" i="15"/>
  <c r="I180" i="15"/>
  <c r="J180" i="15"/>
  <c r="K180" i="15"/>
  <c r="K181" i="15"/>
  <c r="F52" i="3"/>
  <c r="J127" i="15"/>
  <c r="G128" i="15"/>
  <c r="J128" i="15"/>
  <c r="G129" i="15"/>
  <c r="J129" i="15"/>
  <c r="G130" i="15"/>
  <c r="J130" i="15"/>
  <c r="G131" i="15"/>
  <c r="J131" i="15"/>
  <c r="G132" i="15"/>
  <c r="J132" i="15"/>
  <c r="G133" i="15"/>
  <c r="J133" i="15"/>
  <c r="G134" i="15"/>
  <c r="J134" i="15"/>
  <c r="J135" i="15"/>
  <c r="J136" i="15"/>
  <c r="B7" i="3"/>
  <c r="J159" i="15"/>
  <c r="J158" i="15"/>
  <c r="K158" i="15"/>
  <c r="J154" i="15"/>
  <c r="B8" i="3"/>
  <c r="B101" i="3"/>
  <c r="I290" i="15"/>
  <c r="J290" i="15"/>
  <c r="K290" i="15"/>
  <c r="L290" i="15"/>
  <c r="I291" i="15"/>
  <c r="J291" i="15"/>
  <c r="K291" i="15"/>
  <c r="L291" i="15"/>
  <c r="I292" i="15"/>
  <c r="J292" i="15"/>
  <c r="K292" i="15"/>
  <c r="L292" i="15"/>
  <c r="I293" i="15"/>
  <c r="J293" i="15"/>
  <c r="K293" i="15"/>
  <c r="L293" i="15"/>
  <c r="I294" i="15"/>
  <c r="J294" i="15"/>
  <c r="K294" i="15"/>
  <c r="L294" i="15"/>
  <c r="I295" i="15"/>
  <c r="J295" i="15"/>
  <c r="K295" i="15"/>
  <c r="L295" i="15"/>
  <c r="I296" i="15"/>
  <c r="J296" i="15"/>
  <c r="K296" i="15"/>
  <c r="L296" i="15"/>
  <c r="L297" i="15"/>
  <c r="F25" i="3"/>
  <c r="K299" i="15"/>
  <c r="F301" i="15"/>
  <c r="K301" i="15"/>
  <c r="F26" i="3"/>
  <c r="H171" i="15"/>
  <c r="H172" i="15"/>
  <c r="F29" i="3"/>
  <c r="H242" i="15"/>
  <c r="H243" i="15"/>
  <c r="F31" i="3"/>
  <c r="H266" i="15"/>
  <c r="H267" i="15"/>
  <c r="F32" i="3"/>
  <c r="H330" i="15"/>
  <c r="H331" i="15"/>
  <c r="F33" i="3"/>
  <c r="E25" i="3"/>
  <c r="E26" i="3"/>
  <c r="E29" i="3"/>
  <c r="E31" i="3"/>
  <c r="E32" i="3"/>
  <c r="E33" i="3"/>
  <c r="D25" i="3"/>
  <c r="D26" i="3"/>
  <c r="C44" i="2"/>
  <c r="C45" i="2"/>
  <c r="C46" i="2"/>
  <c r="C47" i="2"/>
  <c r="C48" i="2"/>
  <c r="C49" i="2"/>
  <c r="B29" i="2"/>
  <c r="B31" i="2"/>
  <c r="C31" i="2"/>
  <c r="B53" i="2"/>
  <c r="E52" i="3"/>
  <c r="K168" i="15"/>
  <c r="B11" i="3"/>
  <c r="G200" i="15"/>
  <c r="J200" i="15"/>
  <c r="G201" i="15"/>
  <c r="J201" i="15"/>
  <c r="L239" i="15"/>
  <c r="B13" i="3"/>
  <c r="L264" i="15"/>
  <c r="B14" i="3"/>
  <c r="B15" i="3"/>
  <c r="K182" i="15"/>
  <c r="B52" i="3"/>
  <c r="G215" i="15"/>
  <c r="J215" i="15"/>
  <c r="I43" i="2"/>
  <c r="J44" i="2"/>
  <c r="I44" i="2"/>
  <c r="J45" i="2"/>
  <c r="I45" i="2"/>
  <c r="F57" i="15"/>
  <c r="F58" i="15"/>
  <c r="F59" i="15"/>
  <c r="F60" i="15"/>
  <c r="F61" i="15"/>
  <c r="F62" i="15"/>
  <c r="F63" i="15"/>
  <c r="F67" i="15"/>
  <c r="F75" i="15"/>
  <c r="F76" i="15"/>
  <c r="F78" i="15"/>
  <c r="F92" i="15"/>
  <c r="F94" i="15"/>
  <c r="F98" i="15"/>
  <c r="F102" i="15"/>
  <c r="E57" i="15"/>
  <c r="E58" i="15"/>
  <c r="E59" i="15"/>
  <c r="E60" i="15"/>
  <c r="E61" i="15"/>
  <c r="E62" i="15"/>
  <c r="E63" i="15"/>
  <c r="E64" i="15"/>
  <c r="E65" i="15"/>
  <c r="E66" i="15"/>
  <c r="E67" i="15"/>
  <c r="E71" i="15"/>
  <c r="E72" i="15"/>
  <c r="E73" i="15"/>
  <c r="E74" i="15"/>
  <c r="E75" i="15"/>
  <c r="E76" i="15"/>
  <c r="E77" i="15"/>
  <c r="E78" i="15"/>
  <c r="E92" i="15"/>
  <c r="E94" i="15"/>
  <c r="E97" i="15"/>
  <c r="E98" i="15"/>
  <c r="E100" i="15"/>
  <c r="E101" i="15"/>
  <c r="E102" i="15"/>
  <c r="F103" i="15"/>
  <c r="J48" i="2"/>
  <c r="I48" i="2"/>
  <c r="G216" i="15"/>
  <c r="J216" i="15"/>
  <c r="H248" i="15"/>
  <c r="I248" i="15"/>
  <c r="C118" i="15"/>
  <c r="F249" i="15"/>
  <c r="H249" i="15"/>
  <c r="I249" i="15"/>
  <c r="H250" i="15"/>
  <c r="I250" i="15"/>
  <c r="H251" i="15"/>
  <c r="I251" i="15"/>
  <c r="H252" i="15"/>
  <c r="I252" i="15"/>
  <c r="I253" i="15"/>
  <c r="L249" i="15"/>
  <c r="L247" i="15"/>
  <c r="G253" i="15"/>
  <c r="L248" i="15"/>
  <c r="L255" i="15"/>
  <c r="O253" i="15"/>
  <c r="N253" i="15"/>
  <c r="N255" i="15"/>
  <c r="B55" i="3"/>
  <c r="L271" i="15"/>
  <c r="H272" i="15"/>
  <c r="F272" i="15"/>
  <c r="I272" i="15"/>
  <c r="I273" i="15"/>
  <c r="I274" i="15"/>
  <c r="L272" i="15"/>
  <c r="L276" i="15"/>
  <c r="O274" i="15"/>
  <c r="N274" i="15"/>
  <c r="N276" i="15"/>
  <c r="B56" i="3"/>
  <c r="F346" i="15"/>
  <c r="F347" i="15"/>
  <c r="F348" i="15"/>
  <c r="B57" i="3"/>
  <c r="F334" i="15"/>
  <c r="F335" i="15"/>
  <c r="H187" i="15"/>
  <c r="I187" i="15"/>
  <c r="J187" i="15"/>
  <c r="K187" i="15"/>
  <c r="H188" i="15"/>
  <c r="I188" i="15"/>
  <c r="J188" i="15"/>
  <c r="K188" i="15"/>
  <c r="H189" i="15"/>
  <c r="I189" i="15"/>
  <c r="J189" i="15"/>
  <c r="K189" i="15"/>
  <c r="H190" i="15"/>
  <c r="I190" i="15"/>
  <c r="J190" i="15"/>
  <c r="K190" i="15"/>
  <c r="K191" i="15"/>
  <c r="K192" i="15"/>
  <c r="B69" i="3"/>
  <c r="G224" i="15"/>
  <c r="J224" i="15"/>
  <c r="J47" i="2"/>
  <c r="G225" i="15"/>
  <c r="J225" i="15"/>
  <c r="O255" i="15"/>
  <c r="B72" i="3"/>
  <c r="O276" i="15"/>
  <c r="F281" i="15"/>
  <c r="F283" i="15"/>
  <c r="F284" i="15"/>
  <c r="B73" i="3"/>
  <c r="F341" i="15"/>
  <c r="C11" i="3"/>
  <c r="K200" i="15"/>
  <c r="K201" i="15"/>
  <c r="C13" i="3"/>
  <c r="C14" i="3"/>
  <c r="C15" i="3"/>
  <c r="C52" i="3"/>
  <c r="H215" i="15"/>
  <c r="K215" i="15"/>
  <c r="H216" i="15"/>
  <c r="K216" i="15"/>
  <c r="L250" i="15"/>
  <c r="L254" i="15"/>
  <c r="N254" i="15"/>
  <c r="C55" i="3"/>
  <c r="L273" i="15"/>
  <c r="L275" i="15"/>
  <c r="N275" i="15"/>
  <c r="C56" i="3"/>
  <c r="C57" i="3"/>
  <c r="G334" i="15"/>
  <c r="G335" i="15"/>
  <c r="C69" i="3"/>
  <c r="H224" i="15"/>
  <c r="K224" i="15"/>
  <c r="H225" i="15"/>
  <c r="K225" i="15"/>
  <c r="O254" i="15"/>
  <c r="C72" i="3"/>
  <c r="O275" i="15"/>
  <c r="C73" i="3"/>
  <c r="C101" i="3"/>
  <c r="G171" i="15"/>
  <c r="G172" i="15"/>
  <c r="D29" i="3"/>
  <c r="G242" i="15"/>
  <c r="G243" i="15"/>
  <c r="D31" i="3"/>
  <c r="G266" i="15"/>
  <c r="G267" i="15"/>
  <c r="D32" i="3"/>
  <c r="G330" i="15"/>
  <c r="G331" i="15"/>
  <c r="D33" i="3"/>
  <c r="I215" i="15"/>
  <c r="L215" i="15"/>
  <c r="I216" i="15"/>
  <c r="L216" i="15"/>
  <c r="F55" i="3"/>
  <c r="F56" i="3"/>
  <c r="F57" i="3"/>
  <c r="F69" i="3"/>
  <c r="I224" i="15"/>
  <c r="L224" i="15"/>
  <c r="I225" i="15"/>
  <c r="L225" i="15"/>
  <c r="F72" i="3"/>
  <c r="F73" i="3"/>
  <c r="D11" i="3"/>
  <c r="D13" i="3"/>
  <c r="D14" i="3"/>
  <c r="D15" i="3"/>
  <c r="C25" i="3"/>
  <c r="C26" i="3"/>
  <c r="C29" i="3"/>
  <c r="C31" i="3"/>
  <c r="C32" i="3"/>
  <c r="C33" i="3"/>
  <c r="E55" i="3"/>
  <c r="E56" i="3"/>
  <c r="E57" i="3"/>
  <c r="E69" i="3"/>
  <c r="E72" i="3"/>
  <c r="E73" i="3"/>
  <c r="B25" i="3"/>
  <c r="B26" i="3"/>
  <c r="F171" i="15"/>
  <c r="F172" i="15"/>
  <c r="B29" i="3"/>
  <c r="F242" i="15"/>
  <c r="F243" i="15"/>
  <c r="B31" i="3"/>
  <c r="F266" i="15"/>
  <c r="F267" i="15"/>
  <c r="B32" i="3"/>
  <c r="F330" i="15"/>
  <c r="F331" i="15"/>
  <c r="B33" i="3"/>
  <c r="D52" i="3"/>
  <c r="D55" i="3"/>
  <c r="D56" i="3"/>
  <c r="D57" i="3"/>
  <c r="D69" i="3"/>
  <c r="D72" i="3"/>
  <c r="D73" i="3"/>
  <c r="F313" i="15"/>
  <c r="F311" i="15"/>
  <c r="H25" i="3"/>
  <c r="F314" i="15"/>
  <c r="F315" i="15"/>
  <c r="H26" i="3"/>
  <c r="F316" i="15"/>
  <c r="F317" i="15"/>
  <c r="H30" i="3"/>
  <c r="F318" i="15"/>
  <c r="F319" i="15"/>
  <c r="H31" i="3"/>
  <c r="F320" i="15"/>
  <c r="F321" i="15"/>
  <c r="H32" i="3"/>
  <c r="H35" i="3"/>
  <c r="B41" i="3"/>
  <c r="B97" i="3"/>
  <c r="B7" i="2"/>
  <c r="B8" i="2"/>
  <c r="B9" i="2"/>
  <c r="B14" i="2"/>
  <c r="B15" i="2"/>
  <c r="B16" i="2"/>
  <c r="C33" i="2"/>
  <c r="D14" i="2"/>
  <c r="E33" i="2"/>
  <c r="D7" i="5"/>
  <c r="D43" i="2"/>
  <c r="D44" i="2"/>
  <c r="D45" i="2"/>
  <c r="D47" i="2"/>
  <c r="D48" i="2"/>
  <c r="C50" i="2"/>
  <c r="D50" i="2"/>
  <c r="B7" i="5"/>
  <c r="B8" i="5"/>
  <c r="D6" i="6"/>
  <c r="D8" i="6"/>
  <c r="D9" i="6"/>
  <c r="D43" i="4"/>
  <c r="D45" i="4"/>
  <c r="D46" i="4"/>
  <c r="C43" i="4"/>
  <c r="C45" i="4"/>
  <c r="C46" i="4"/>
  <c r="D56" i="4"/>
  <c r="D58" i="4"/>
  <c r="D59" i="4"/>
  <c r="C56" i="4"/>
  <c r="C58" i="4"/>
  <c r="C59" i="4"/>
  <c r="E6" i="6"/>
  <c r="E8" i="6"/>
  <c r="E9" i="6"/>
  <c r="E43" i="4"/>
  <c r="E45" i="4"/>
  <c r="E46" i="4"/>
  <c r="E56" i="4"/>
  <c r="E58" i="4"/>
  <c r="E59" i="4"/>
  <c r="F6" i="6"/>
  <c r="F8" i="6"/>
  <c r="F9" i="6"/>
  <c r="F43" i="4"/>
  <c r="F45" i="4"/>
  <c r="F46" i="4"/>
  <c r="F56" i="4"/>
  <c r="F58" i="4"/>
  <c r="F59" i="4"/>
  <c r="G6" i="6"/>
  <c r="G8" i="6"/>
  <c r="G9" i="6"/>
  <c r="G43" i="4"/>
  <c r="G45" i="4"/>
  <c r="G46" i="4"/>
  <c r="G56" i="4"/>
  <c r="G58" i="4"/>
  <c r="G59" i="4"/>
  <c r="C6" i="6"/>
  <c r="C8" i="6"/>
  <c r="C9" i="6"/>
  <c r="C13" i="6"/>
  <c r="C32" i="4"/>
  <c r="C15" i="6"/>
  <c r="B16" i="6"/>
  <c r="B15" i="6"/>
  <c r="E143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B21" i="5"/>
  <c r="I11" i="5"/>
  <c r="I7" i="5"/>
  <c r="J53" i="2"/>
  <c r="D101" i="3"/>
  <c r="F302" i="15"/>
  <c r="B297" i="15"/>
  <c r="B294" i="15"/>
  <c r="G1" i="5"/>
  <c r="E3" i="3"/>
  <c r="G1" i="7"/>
  <c r="E1" i="2"/>
  <c r="E1" i="4"/>
  <c r="G1" i="6"/>
  <c r="E1" i="12"/>
  <c r="G1" i="14"/>
  <c r="D1" i="10"/>
  <c r="E1" i="13"/>
  <c r="F1" i="8"/>
  <c r="F1" i="9"/>
  <c r="E1" i="11"/>
  <c r="E178" i="3"/>
  <c r="E169" i="3"/>
  <c r="E170" i="3"/>
  <c r="E164" i="3"/>
  <c r="E176" i="3"/>
  <c r="E167" i="3"/>
  <c r="E165" i="3"/>
  <c r="E172" i="3"/>
  <c r="E173" i="3"/>
  <c r="E180" i="3"/>
  <c r="E171" i="3"/>
  <c r="E174" i="3"/>
  <c r="E179" i="3"/>
  <c r="E177" i="3"/>
  <c r="E175" i="3"/>
  <c r="E168" i="3"/>
  <c r="E166" i="3"/>
  <c r="J181" i="15"/>
  <c r="J167" i="15"/>
  <c r="F50" i="2"/>
  <c r="J191" i="15"/>
  <c r="F44" i="2"/>
  <c r="F312" i="15"/>
  <c r="F48" i="2"/>
  <c r="E91" i="3"/>
  <c r="F91" i="3"/>
  <c r="D91" i="3"/>
  <c r="C91" i="3"/>
  <c r="F43" i="2"/>
  <c r="F45" i="2"/>
  <c r="F90" i="3"/>
  <c r="D90" i="3"/>
  <c r="F47" i="2"/>
  <c r="C90" i="3"/>
  <c r="E90" i="3"/>
  <c r="C10" i="4"/>
  <c r="C30" i="4"/>
  <c r="F10" i="4"/>
  <c r="E10" i="4"/>
  <c r="F30" i="4"/>
  <c r="G10" i="4"/>
  <c r="D10" i="4"/>
  <c r="E30" i="4"/>
  <c r="B90" i="3"/>
  <c r="C119" i="15"/>
  <c r="C120" i="15"/>
  <c r="B30" i="4"/>
  <c r="I14" i="5"/>
  <c r="B91" i="3"/>
  <c r="G30" i="4"/>
  <c r="D30" i="4"/>
  <c r="I239" i="15"/>
  <c r="I53" i="2"/>
  <c r="I254" i="15"/>
  <c r="L235" i="15"/>
  <c r="L251" i="15"/>
  <c r="D7" i="15"/>
  <c r="D16" i="15"/>
  <c r="D11" i="2"/>
  <c r="B12" i="2"/>
  <c r="B13" i="2"/>
  <c r="I22" i="2"/>
  <c r="I27" i="2"/>
  <c r="B18" i="2"/>
  <c r="B20" i="2"/>
  <c r="D18" i="2"/>
  <c r="D20" i="2"/>
  <c r="C8" i="5"/>
  <c r="B4" i="7"/>
  <c r="D46" i="2"/>
  <c r="E46" i="2"/>
  <c r="L46" i="2"/>
  <c r="F46" i="2"/>
  <c r="F49" i="2"/>
  <c r="F51" i="2"/>
  <c r="F56" i="2"/>
  <c r="B9" i="7"/>
  <c r="B11" i="7"/>
  <c r="D51" i="2"/>
  <c r="D56" i="2"/>
  <c r="I6" i="7"/>
  <c r="I7" i="7"/>
  <c r="E51" i="2"/>
  <c r="E56" i="2"/>
  <c r="I8" i="7"/>
  <c r="I9" i="7"/>
  <c r="I5" i="7"/>
  <c r="I11" i="7"/>
  <c r="H49" i="2"/>
  <c r="J49" i="2"/>
  <c r="I49" i="2"/>
  <c r="F53" i="3"/>
  <c r="G214" i="15"/>
  <c r="H214" i="15"/>
  <c r="I214" i="15"/>
  <c r="L214" i="15"/>
  <c r="L217" i="15"/>
  <c r="F54" i="3"/>
  <c r="F70" i="3"/>
  <c r="G223" i="15"/>
  <c r="H223" i="15"/>
  <c r="I223" i="15"/>
  <c r="L223" i="15"/>
  <c r="L226" i="15"/>
  <c r="F71" i="3"/>
  <c r="F10" i="3"/>
  <c r="B51" i="2"/>
  <c r="G198" i="15"/>
  <c r="H198" i="15"/>
  <c r="I198" i="15"/>
  <c r="L198" i="15"/>
  <c r="G199" i="15"/>
  <c r="H199" i="15"/>
  <c r="I199" i="15"/>
  <c r="L199" i="15"/>
  <c r="L202" i="15"/>
  <c r="F12" i="3"/>
  <c r="F16" i="3"/>
  <c r="H306" i="15"/>
  <c r="H307" i="15"/>
  <c r="H308" i="15"/>
  <c r="F28" i="3"/>
  <c r="H208" i="15"/>
  <c r="H209" i="15"/>
  <c r="F30" i="3"/>
  <c r="F34" i="3"/>
  <c r="E28" i="3"/>
  <c r="E30" i="3"/>
  <c r="E34" i="3"/>
  <c r="F35" i="3"/>
  <c r="E35" i="3"/>
  <c r="F42" i="3"/>
  <c r="F98" i="3"/>
  <c r="E10" i="3"/>
  <c r="E12" i="3"/>
  <c r="E16" i="3"/>
  <c r="G306" i="15"/>
  <c r="G307" i="15"/>
  <c r="G308" i="15"/>
  <c r="D28" i="3"/>
  <c r="K198" i="15"/>
  <c r="K199" i="15"/>
  <c r="K202" i="15"/>
  <c r="G208" i="15"/>
  <c r="G209" i="15"/>
  <c r="D30" i="3"/>
  <c r="D34" i="3"/>
  <c r="E17" i="3"/>
  <c r="E39" i="3"/>
  <c r="D35" i="3"/>
  <c r="E42" i="3"/>
  <c r="E43" i="3"/>
  <c r="E44" i="3"/>
  <c r="E102" i="3"/>
  <c r="E106" i="3"/>
  <c r="F105" i="3"/>
  <c r="F17" i="3"/>
  <c r="F39" i="3"/>
  <c r="F43" i="3"/>
  <c r="F44" i="3"/>
  <c r="F102" i="3"/>
  <c r="F106" i="3"/>
  <c r="F107" i="3"/>
  <c r="E53" i="3"/>
  <c r="E54" i="3"/>
  <c r="E70" i="3"/>
  <c r="E71" i="3"/>
  <c r="E98" i="3"/>
  <c r="D10" i="3"/>
  <c r="D12" i="3"/>
  <c r="D16" i="3"/>
  <c r="C28" i="3"/>
  <c r="C30" i="3"/>
  <c r="C34" i="3"/>
  <c r="D17" i="3"/>
  <c r="D39" i="3"/>
  <c r="C35" i="3"/>
  <c r="D42" i="3"/>
  <c r="D43" i="3"/>
  <c r="D44" i="3"/>
  <c r="D102" i="3"/>
  <c r="D106" i="3"/>
  <c r="E105" i="3"/>
  <c r="E107" i="3"/>
  <c r="G18" i="4"/>
  <c r="F18" i="4"/>
  <c r="G17" i="4"/>
  <c r="F17" i="4"/>
  <c r="G20" i="4"/>
  <c r="E18" i="4"/>
  <c r="E17" i="4"/>
  <c r="F20" i="4"/>
  <c r="F12" i="4"/>
  <c r="G12" i="4"/>
  <c r="F13" i="4"/>
  <c r="G13" i="4"/>
  <c r="F94" i="3"/>
  <c r="F100" i="3"/>
  <c r="F109" i="3"/>
  <c r="E94" i="3"/>
  <c r="E100" i="3"/>
  <c r="E109" i="3"/>
  <c r="G11" i="4"/>
  <c r="F11" i="4"/>
  <c r="H15" i="5"/>
  <c r="D53" i="3"/>
  <c r="K214" i="15"/>
  <c r="K217" i="15"/>
  <c r="D54" i="3"/>
  <c r="D70" i="3"/>
  <c r="K223" i="15"/>
  <c r="K226" i="15"/>
  <c r="D71" i="3"/>
  <c r="D98" i="3"/>
  <c r="C10" i="3"/>
  <c r="C12" i="3"/>
  <c r="C16" i="3"/>
  <c r="F306" i="15"/>
  <c r="F307" i="15"/>
  <c r="F308" i="15"/>
  <c r="B28" i="3"/>
  <c r="J198" i="15"/>
  <c r="J199" i="15"/>
  <c r="J202" i="15"/>
  <c r="F208" i="15"/>
  <c r="F209" i="15"/>
  <c r="B30" i="3"/>
  <c r="B34" i="3"/>
  <c r="C17" i="3"/>
  <c r="C39" i="3"/>
  <c r="B35" i="3"/>
  <c r="C42" i="3"/>
  <c r="C43" i="3"/>
  <c r="C44" i="3"/>
  <c r="C102" i="3"/>
  <c r="C106" i="3"/>
  <c r="D105" i="3"/>
  <c r="D107" i="3"/>
  <c r="D18" i="4"/>
  <c r="D17" i="4"/>
  <c r="E20" i="4"/>
  <c r="C53" i="3"/>
  <c r="C54" i="3"/>
  <c r="C70" i="3"/>
  <c r="C71" i="3"/>
  <c r="C98" i="3"/>
  <c r="B10" i="3"/>
  <c r="B12" i="3"/>
  <c r="B16" i="3"/>
  <c r="B17" i="3"/>
  <c r="B39" i="3"/>
  <c r="B42" i="3"/>
  <c r="B43" i="3"/>
  <c r="B44" i="3"/>
  <c r="B102" i="3"/>
  <c r="B106" i="3"/>
  <c r="C105" i="3"/>
  <c r="C107" i="3"/>
  <c r="C18" i="4"/>
  <c r="C17" i="4"/>
  <c r="D20" i="4"/>
  <c r="B53" i="3"/>
  <c r="J214" i="15"/>
  <c r="J217" i="15"/>
  <c r="B54" i="3"/>
  <c r="B70" i="3"/>
  <c r="J223" i="15"/>
  <c r="J226" i="15"/>
  <c r="B71" i="3"/>
  <c r="B98" i="3"/>
  <c r="B107" i="3"/>
  <c r="C20" i="4"/>
  <c r="D13" i="4"/>
  <c r="C13" i="4"/>
  <c r="C11" i="4"/>
  <c r="C12" i="4"/>
  <c r="C9" i="4"/>
  <c r="C15" i="4"/>
  <c r="B11" i="4"/>
  <c r="B9" i="4"/>
  <c r="B15" i="4"/>
  <c r="C24" i="4"/>
  <c r="B94" i="3"/>
  <c r="B100" i="3"/>
  <c r="B109" i="3"/>
  <c r="C16" i="4"/>
  <c r="G31" i="4"/>
  <c r="G44" i="4"/>
  <c r="G47" i="4"/>
  <c r="F44" i="4"/>
  <c r="F47" i="4"/>
  <c r="G48" i="4"/>
  <c r="G32" i="4"/>
  <c r="G57" i="4"/>
  <c r="G60" i="4"/>
  <c r="F57" i="4"/>
  <c r="F60" i="4"/>
  <c r="G61" i="4"/>
  <c r="G33" i="4"/>
  <c r="G34" i="4"/>
  <c r="H22" i="5"/>
  <c r="H23" i="5"/>
  <c r="D9" i="7"/>
  <c r="E11" i="4"/>
  <c r="F31" i="4"/>
  <c r="E44" i="4"/>
  <c r="E47" i="4"/>
  <c r="F48" i="4"/>
  <c r="F32" i="4"/>
  <c r="E57" i="4"/>
  <c r="E60" i="4"/>
  <c r="F61" i="4"/>
  <c r="F33" i="4"/>
  <c r="F34" i="4"/>
  <c r="G22" i="5"/>
  <c r="G23" i="5"/>
  <c r="D8" i="7"/>
  <c r="D11" i="4"/>
  <c r="E31" i="4"/>
  <c r="D44" i="4"/>
  <c r="D47" i="4"/>
  <c r="E48" i="4"/>
  <c r="E32" i="4"/>
  <c r="D57" i="4"/>
  <c r="D60" i="4"/>
  <c r="E61" i="4"/>
  <c r="E33" i="4"/>
  <c r="E34" i="4"/>
  <c r="F22" i="5"/>
  <c r="F23" i="5"/>
  <c r="D7" i="7"/>
  <c r="D31" i="4"/>
  <c r="C44" i="4"/>
  <c r="C47" i="4"/>
  <c r="D48" i="4"/>
  <c r="D32" i="4"/>
  <c r="C57" i="4"/>
  <c r="C60" i="4"/>
  <c r="D61" i="4"/>
  <c r="D33" i="4"/>
  <c r="D34" i="4"/>
  <c r="E22" i="5"/>
  <c r="E23" i="5"/>
  <c r="D6" i="7"/>
  <c r="C31" i="4"/>
  <c r="C61" i="4"/>
  <c r="C33" i="4"/>
  <c r="C34" i="4"/>
  <c r="D22" i="5"/>
  <c r="D23" i="5"/>
  <c r="D5" i="7"/>
  <c r="C18" i="6"/>
  <c r="C19" i="6"/>
  <c r="D18" i="6"/>
  <c r="D19" i="6"/>
  <c r="E18" i="6"/>
  <c r="E19" i="6"/>
  <c r="F18" i="6"/>
  <c r="F19" i="6"/>
  <c r="G18" i="6"/>
  <c r="G19" i="6"/>
  <c r="C21" i="5"/>
  <c r="B31" i="4"/>
  <c r="B34" i="4"/>
  <c r="C22" i="5"/>
  <c r="C23" i="5"/>
  <c r="B26" i="6"/>
  <c r="B27" i="6"/>
  <c r="C25" i="6"/>
  <c r="C26" i="6"/>
  <c r="C7" i="6"/>
  <c r="C12" i="6"/>
  <c r="C16" i="6"/>
  <c r="C17" i="6"/>
  <c r="C21" i="6"/>
  <c r="D26" i="6"/>
  <c r="D7" i="6"/>
  <c r="D12" i="6"/>
  <c r="D15" i="6"/>
  <c r="D16" i="6"/>
  <c r="D17" i="6"/>
  <c r="D21" i="6"/>
  <c r="E26" i="6"/>
  <c r="E7" i="6"/>
  <c r="E12" i="6"/>
  <c r="E15" i="6"/>
  <c r="E16" i="6"/>
  <c r="E17" i="6"/>
  <c r="E21" i="6"/>
  <c r="F26" i="6"/>
  <c r="F7" i="6"/>
  <c r="F12" i="6"/>
  <c r="F15" i="6"/>
  <c r="F16" i="6"/>
  <c r="F17" i="6"/>
  <c r="F21" i="6"/>
  <c r="G26" i="6"/>
  <c r="G7" i="6"/>
  <c r="G12" i="6"/>
  <c r="G15" i="6"/>
  <c r="G16" i="6"/>
  <c r="G17" i="6"/>
  <c r="G21" i="6"/>
  <c r="D15" i="5"/>
  <c r="C94" i="3"/>
  <c r="C100" i="3"/>
  <c r="C109" i="3"/>
  <c r="E15" i="5"/>
  <c r="D94" i="3"/>
  <c r="D100" i="3"/>
  <c r="D109" i="3"/>
  <c r="F15" i="5"/>
  <c r="G15" i="5"/>
  <c r="C15" i="5"/>
  <c r="D4" i="7"/>
  <c r="M8" i="7"/>
  <c r="M9" i="7"/>
  <c r="J11" i="7"/>
  <c r="H11" i="7"/>
  <c r="F11" i="7"/>
  <c r="E11" i="7"/>
  <c r="D11" i="7"/>
  <c r="C11" i="7"/>
  <c r="G27" i="6"/>
  <c r="G30" i="6"/>
  <c r="F30" i="6"/>
  <c r="E30" i="6"/>
  <c r="D30" i="6"/>
  <c r="C30" i="6"/>
  <c r="B30" i="6"/>
  <c r="B33" i="2"/>
  <c r="D33" i="2"/>
  <c r="B34" i="2"/>
  <c r="H25" i="5"/>
  <c r="G25" i="5"/>
  <c r="F25" i="5"/>
  <c r="E25" i="5"/>
  <c r="D25" i="5"/>
  <c r="C25" i="5"/>
  <c r="I25" i="5"/>
  <c r="F132" i="3"/>
  <c r="E132" i="3"/>
  <c r="D132" i="3"/>
  <c r="C132" i="3"/>
  <c r="B132" i="3"/>
  <c r="F80" i="3"/>
  <c r="F81" i="3"/>
  <c r="F135" i="3"/>
  <c r="F133" i="3"/>
  <c r="F20" i="3"/>
  <c r="F13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B133" i="3"/>
  <c r="B80" i="3"/>
  <c r="B81" i="3"/>
  <c r="B135" i="3"/>
  <c r="B20" i="3"/>
  <c r="B131" i="3"/>
  <c r="C143" i="3"/>
  <c r="E133" i="3"/>
  <c r="D133" i="3"/>
  <c r="C133" i="3"/>
  <c r="E80" i="3"/>
  <c r="E81" i="3"/>
  <c r="D80" i="3"/>
  <c r="D81" i="3"/>
  <c r="C80" i="3"/>
  <c r="C81" i="3"/>
  <c r="E20" i="3"/>
  <c r="E19" i="3"/>
  <c r="F19" i="3"/>
  <c r="I23" i="5"/>
  <c r="I22" i="5"/>
  <c r="I15" i="5"/>
  <c r="D36" i="2"/>
  <c r="I21" i="5"/>
  <c r="I8" i="5"/>
  <c r="I6" i="5"/>
  <c r="B36" i="2"/>
  <c r="F245" i="2"/>
  <c r="F246" i="2"/>
  <c r="G245" i="2"/>
  <c r="G246" i="2"/>
  <c r="B56" i="2"/>
  <c r="H245" i="2"/>
  <c r="H246" i="2"/>
  <c r="B24" i="4"/>
  <c r="B22" i="4"/>
  <c r="B25" i="4"/>
  <c r="B36" i="4"/>
  <c r="E92" i="3"/>
  <c r="F92" i="3"/>
  <c r="F46" i="3"/>
  <c r="F47" i="3"/>
  <c r="E127" i="3"/>
  <c r="B134" i="3"/>
  <c r="D135" i="3"/>
  <c r="C135" i="3"/>
  <c r="F134" i="3"/>
  <c r="E135" i="3"/>
  <c r="E131" i="3"/>
  <c r="E136" i="3"/>
  <c r="E134" i="3"/>
  <c r="I16" i="5"/>
  <c r="D134" i="3"/>
  <c r="C134" i="3"/>
  <c r="E130" i="3"/>
  <c r="E138" i="3"/>
  <c r="E137" i="3"/>
  <c r="D19" i="3"/>
  <c r="D20" i="3"/>
  <c r="D130" i="3"/>
  <c r="D131" i="3"/>
  <c r="D137" i="3"/>
  <c r="C19" i="3"/>
  <c r="C20" i="3"/>
  <c r="C130" i="3"/>
  <c r="C131" i="3"/>
  <c r="C137" i="3"/>
  <c r="F136" i="3"/>
  <c r="F130" i="3"/>
  <c r="F138" i="3"/>
  <c r="D136" i="3"/>
  <c r="D138" i="3"/>
  <c r="C136" i="3"/>
  <c r="C138" i="3"/>
  <c r="B19" i="3"/>
  <c r="B136" i="3"/>
  <c r="B130" i="3"/>
  <c r="B138" i="3"/>
  <c r="B160" i="3"/>
  <c r="B137" i="3"/>
  <c r="B181" i="3"/>
  <c r="F137" i="3"/>
  <c r="I12" i="5"/>
  <c r="B173" i="3"/>
  <c r="D173" i="3"/>
  <c r="B178" i="3"/>
  <c r="D178" i="3"/>
  <c r="B176" i="3"/>
  <c r="D176" i="3"/>
  <c r="B171" i="3"/>
  <c r="D171" i="3"/>
  <c r="B170" i="3"/>
  <c r="D170" i="3"/>
  <c r="B180" i="3"/>
  <c r="D180" i="3"/>
  <c r="B166" i="3"/>
  <c r="D166" i="3"/>
  <c r="B167" i="3"/>
  <c r="D167" i="3"/>
  <c r="B175" i="3"/>
  <c r="D175" i="3"/>
  <c r="B169" i="3"/>
  <c r="D169" i="3"/>
  <c r="B165" i="3"/>
  <c r="D165" i="3"/>
  <c r="B174" i="3"/>
  <c r="D174" i="3"/>
  <c r="B164" i="3"/>
  <c r="D164" i="3"/>
  <c r="B179" i="3"/>
  <c r="D179" i="3"/>
  <c r="B177" i="3"/>
  <c r="D177" i="3"/>
  <c r="B168" i="3"/>
  <c r="D168" i="3"/>
  <c r="B172" i="3"/>
  <c r="D172" i="3"/>
  <c r="D92" i="3"/>
  <c r="B92" i="3"/>
  <c r="B143" i="3"/>
  <c r="D143" i="3"/>
  <c r="C92" i="3"/>
  <c r="B46" i="3"/>
  <c r="B47" i="3"/>
  <c r="C148" i="3"/>
  <c r="B148" i="3"/>
  <c r="D148" i="3"/>
  <c r="C149" i="3"/>
  <c r="B149" i="3"/>
  <c r="D149" i="3"/>
  <c r="C146" i="3"/>
  <c r="B146" i="3"/>
  <c r="D146" i="3"/>
  <c r="C158" i="3"/>
  <c r="B158" i="3"/>
  <c r="D158" i="3"/>
  <c r="C157" i="3"/>
  <c r="B157" i="3"/>
  <c r="D157" i="3"/>
  <c r="C147" i="3"/>
  <c r="B147" i="3"/>
  <c r="D147" i="3"/>
  <c r="C155" i="3"/>
  <c r="B155" i="3"/>
  <c r="D155" i="3"/>
  <c r="C145" i="3"/>
  <c r="B145" i="3"/>
  <c r="D145" i="3"/>
  <c r="C153" i="3"/>
  <c r="B153" i="3"/>
  <c r="D153" i="3"/>
  <c r="C159" i="3"/>
  <c r="B159" i="3"/>
  <c r="D159" i="3"/>
  <c r="C151" i="3"/>
  <c r="B151" i="3"/>
  <c r="D151" i="3"/>
  <c r="C152" i="3"/>
  <c r="B152" i="3"/>
  <c r="D152" i="3"/>
  <c r="C154" i="3"/>
  <c r="B154" i="3"/>
  <c r="D154" i="3"/>
  <c r="C144" i="3"/>
  <c r="B144" i="3"/>
  <c r="D144" i="3"/>
  <c r="C156" i="3"/>
  <c r="B156" i="3"/>
  <c r="D156" i="3"/>
  <c r="C150" i="3"/>
  <c r="B150" i="3"/>
  <c r="D150" i="3"/>
  <c r="B116" i="3"/>
  <c r="D46" i="3"/>
  <c r="D47" i="3"/>
  <c r="C46" i="3"/>
  <c r="C47" i="3"/>
  <c r="B127" i="3"/>
  <c r="B126" i="3"/>
  <c r="B128" i="3"/>
  <c r="I17" i="5"/>
  <c r="E12" i="4"/>
  <c r="E13" i="4"/>
  <c r="D12" i="4"/>
  <c r="E9" i="4"/>
  <c r="E15" i="4"/>
  <c r="D9" i="4"/>
  <c r="D15" i="4"/>
  <c r="E24" i="4"/>
  <c r="E116" i="3"/>
  <c r="F116" i="3"/>
  <c r="C116" i="3"/>
  <c r="C22" i="4"/>
  <c r="C25" i="4"/>
  <c r="C36" i="4"/>
  <c r="D116" i="3"/>
  <c r="F9" i="4"/>
  <c r="F15" i="4"/>
  <c r="F24" i="4"/>
  <c r="D24" i="4"/>
  <c r="E126" i="3"/>
  <c r="E128" i="3"/>
  <c r="F127" i="3"/>
  <c r="F126" i="3"/>
  <c r="F128" i="3"/>
  <c r="F16" i="4"/>
  <c r="E16" i="4"/>
  <c r="F22" i="4"/>
  <c r="E22" i="4"/>
  <c r="F25" i="4"/>
  <c r="F36" i="4"/>
  <c r="D127" i="3"/>
  <c r="D126" i="3"/>
  <c r="D128" i="3"/>
  <c r="D16" i="4"/>
  <c r="D22" i="4"/>
  <c r="D25" i="4"/>
  <c r="D36" i="4"/>
  <c r="C127" i="3"/>
  <c r="C126" i="3"/>
  <c r="C128" i="3"/>
  <c r="G16" i="4"/>
  <c r="G9" i="4"/>
  <c r="G15" i="4"/>
  <c r="G22" i="4"/>
  <c r="G25" i="4"/>
  <c r="G36" i="4"/>
  <c r="E25" i="4"/>
  <c r="E36" i="4"/>
  <c r="G24" i="4"/>
  <c r="E46" i="3"/>
  <c r="E47" i="3"/>
</calcChain>
</file>

<file path=xl/sharedStrings.xml><?xml version="1.0" encoding="utf-8"?>
<sst xmlns="http://schemas.openxmlformats.org/spreadsheetml/2006/main" count="1205" uniqueCount="705">
  <si>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</si>
  <si>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</si>
  <si>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</si>
  <si>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</si>
  <si>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</si>
  <si>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</si>
  <si>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</si>
  <si>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</si>
  <si>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</si>
  <si>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</si>
  <si>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</si>
  <si>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</si>
  <si>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</si>
  <si>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</si>
  <si>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</si>
  <si>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</si>
  <si>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</si>
  <si>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POSTRES MUSÉ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</si>
  <si>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</si>
  <si>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</si>
  <si>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</si>
  <si>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</si>
  <si>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</si>
  <si>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</si>
  <si>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</si>
  <si>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</si>
  <si>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</si>
  <si>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</si>
  <si>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</si>
  <si>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</si>
  <si>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</si>
  <si>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</si>
  <si>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</si>
  <si>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</si>
  <si>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</si>
  <si>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€</t>
  </si>
  <si>
    <t>Tasa de Credito Bancario</t>
  </si>
  <si>
    <t>anual</t>
  </si>
  <si>
    <t>Año 6</t>
  </si>
  <si>
    <t>Rubro a financiar</t>
  </si>
  <si>
    <t>Máquina limpiadora de envases</t>
  </si>
  <si>
    <t>% sobre el total del Rubro</t>
  </si>
  <si>
    <t>Dias de Financiación de Proveedores</t>
  </si>
  <si>
    <t>% sobre Compras</t>
  </si>
  <si>
    <t>Tasa de financiación</t>
  </si>
  <si>
    <t>TORTITAS</t>
  </si>
  <si>
    <t>Bienes de Uso</t>
  </si>
  <si>
    <t>Inmuebles</t>
  </si>
  <si>
    <t>Valor USD</t>
  </si>
  <si>
    <t>Valor $</t>
  </si>
  <si>
    <t>Galpón San Martín</t>
  </si>
  <si>
    <t>https://inmueble.mercadolibre.com.ar/MLA-669642890-planta-industrialdeposito-863m2-venta-con-renta-_JM</t>
  </si>
  <si>
    <t>Maquinarias</t>
  </si>
  <si>
    <t>Cantidad</t>
  </si>
  <si>
    <t>Valor Total</t>
  </si>
  <si>
    <t>Valor €</t>
  </si>
  <si>
    <t>Limpiadora</t>
  </si>
  <si>
    <t>Horno pastelero</t>
  </si>
  <si>
    <t>Amasadora</t>
  </si>
  <si>
    <t>Llenadora</t>
  </si>
  <si>
    <t>Prensa Neumática</t>
  </si>
  <si>
    <t>Heladera industrial</t>
  </si>
  <si>
    <t>Batidora industrial</t>
  </si>
  <si>
    <t>Dosificadora</t>
  </si>
  <si>
    <t>Cerradora</t>
  </si>
  <si>
    <t>Rodados y equipos</t>
  </si>
  <si>
    <t>Báscula</t>
  </si>
  <si>
    <t>Balanza Industrial</t>
  </si>
  <si>
    <t>Equipo de Film</t>
  </si>
  <si>
    <t>Furgon remolque refrigerado</t>
  </si>
  <si>
    <t>Área Comercial-Admisnistrativa</t>
  </si>
  <si>
    <t>Equipo control de calidad</t>
  </si>
  <si>
    <t>Instalaciones industriales</t>
  </si>
  <si>
    <t xml:space="preserve">Artefacto de tubo led </t>
  </si>
  <si>
    <t xml:space="preserve">Artefacto CON 2 tubo led </t>
  </si>
  <si>
    <t xml:space="preserve">Luz de emergencia </t>
  </si>
  <si>
    <t>Tubo led</t>
  </si>
  <si>
    <t>Matafuego</t>
  </si>
  <si>
    <t xml:space="preserve">Puerta </t>
  </si>
  <si>
    <t>portón corredizo</t>
  </si>
  <si>
    <t>Inodoro con mochila y tapa</t>
  </si>
  <si>
    <t>Dispenser de jabón líquido</t>
  </si>
  <si>
    <t xml:space="preserve">Espejo </t>
  </si>
  <si>
    <t>Canilla mono comando</t>
  </si>
  <si>
    <t>Bacha lavamanos baño</t>
  </si>
  <si>
    <t>bacha lavaplatos</t>
  </si>
  <si>
    <t>cámara de vigilancia</t>
  </si>
  <si>
    <t>Extractores eólicos</t>
  </si>
  <si>
    <t>Extractores forzados</t>
  </si>
  <si>
    <t>Aire acondicionado</t>
  </si>
  <si>
    <t>Ventilador industrial</t>
  </si>
  <si>
    <t xml:space="preserve">Estufa </t>
  </si>
  <si>
    <t>Equipo de refigeración para cámara frigorifica</t>
  </si>
  <si>
    <t>Planchas aislación cámara frigorifica</t>
  </si>
  <si>
    <t>Bacha para limpieza de moldes</t>
  </si>
  <si>
    <t>Bocina para emergencias</t>
  </si>
  <si>
    <t>Señalizaciones</t>
  </si>
  <si>
    <t>Tablero de sector</t>
  </si>
  <si>
    <t>Cañería de cableado</t>
  </si>
  <si>
    <t>Enchufes</t>
  </si>
  <si>
    <t>Muebles y útiles</t>
  </si>
  <si>
    <t>Sector Admin</t>
  </si>
  <si>
    <t>Sector Comercial</t>
  </si>
  <si>
    <t>Sector Producción</t>
  </si>
  <si>
    <t>Silla (giratoria)</t>
  </si>
  <si>
    <t>Escritorio</t>
  </si>
  <si>
    <t>Biblioteca, mueble con puertas y estantes</t>
  </si>
  <si>
    <t>PC</t>
  </si>
  <si>
    <t>Monitor</t>
  </si>
  <si>
    <t>Impresora multifunción</t>
  </si>
  <si>
    <t>Perchero</t>
  </si>
  <si>
    <t>Mesa de reunión</t>
  </si>
  <si>
    <t>Sillas/sillones módulos de recepción</t>
  </si>
  <si>
    <t>Teléfono</t>
  </si>
  <si>
    <t>Estanterías para almacenes</t>
  </si>
  <si>
    <t xml:space="preserve">Lockers </t>
  </si>
  <si>
    <t>Bancos de vestuario</t>
  </si>
  <si>
    <t>Mesa de comedor</t>
  </si>
  <si>
    <t xml:space="preserve">Silla de comedor </t>
  </si>
  <si>
    <t>Microondas</t>
  </si>
  <si>
    <t>Heladera</t>
  </si>
  <si>
    <t>Cesto de basura</t>
  </si>
  <si>
    <t>Cesto de reciclables</t>
  </si>
  <si>
    <t>Televisor</t>
  </si>
  <si>
    <t>Dispenser de agua</t>
  </si>
  <si>
    <t>Zorras</t>
  </si>
  <si>
    <t>Faja lumbar de seguridad</t>
  </si>
  <si>
    <t>Carros porta bandejas</t>
  </si>
  <si>
    <t>Etiquetadora</t>
  </si>
  <si>
    <t>Moldes para hornear</t>
  </si>
  <si>
    <t>Moldes para mezcla</t>
  </si>
  <si>
    <t>Calzado de seguridad</t>
  </si>
  <si>
    <t>Delantales</t>
  </si>
  <si>
    <t>Guantes de calor</t>
  </si>
  <si>
    <t>Guantes de corte</t>
  </si>
  <si>
    <t>Guantes de manipulación</t>
  </si>
  <si>
    <t>Cofia</t>
  </si>
  <si>
    <t>Barbijos</t>
  </si>
  <si>
    <t>Kit artículos de librería</t>
  </si>
  <si>
    <t>Campera termica</t>
  </si>
  <si>
    <t>Kit primeros auxilios</t>
  </si>
  <si>
    <t>Kit de herramientas</t>
  </si>
  <si>
    <t>Panel de herramientas</t>
  </si>
  <si>
    <t>Proyector de presentación</t>
  </si>
  <si>
    <t>Relojes</t>
  </si>
  <si>
    <t>Fichadores</t>
  </si>
  <si>
    <t>Articulos de limpieza</t>
  </si>
  <si>
    <t>Artículos de higiene</t>
  </si>
  <si>
    <t>Repuestos</t>
  </si>
  <si>
    <t>Cables</t>
  </si>
  <si>
    <t>Boquilla</t>
  </si>
  <si>
    <t>Pistones</t>
  </si>
  <si>
    <t>Luces de heladera</t>
  </si>
  <si>
    <t>Aceite de máquinas</t>
  </si>
  <si>
    <t>Filtros</t>
  </si>
  <si>
    <t>Cojinetes</t>
  </si>
  <si>
    <t>Mangueras</t>
  </si>
  <si>
    <t>Distribución de Superficie por Departamento</t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</si>
  <si>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</si>
  <si>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%</t>
  </si>
  <si>
    <t>Área de Producción</t>
  </si>
  <si>
    <t>Área de Administración</t>
  </si>
  <si>
    <t>Área de Comercialización</t>
  </si>
  <si>
    <t>Área Total</t>
  </si>
  <si>
    <t>Costos Variables</t>
  </si>
  <si>
    <t>Materia Prima</t>
  </si>
  <si>
    <t>AÑO 1</t>
  </si>
  <si>
    <t>$/kgs o $/lts</t>
  </si>
  <si>
    <t>Nro de componente</t>
  </si>
  <si>
    <t>Componente</t>
  </si>
  <si>
    <t>Unidad</t>
  </si>
  <si>
    <t>Precio unitario</t>
  </si>
  <si>
    <t>Costo Variable Total</t>
  </si>
  <si>
    <t>Frasco de vidrio</t>
  </si>
  <si>
    <t>unidad</t>
  </si>
  <si>
    <t>Oreo</t>
  </si>
  <si>
    <t>kgs</t>
  </si>
  <si>
    <t>Manteca</t>
  </si>
  <si>
    <t>Queso crema</t>
  </si>
  <si>
    <t>Crema de leche</t>
  </si>
  <si>
    <t>litros</t>
  </si>
  <si>
    <t>Azúcar</t>
  </si>
  <si>
    <t>Esencia de vainilla</t>
  </si>
  <si>
    <t>Galletas Oreo</t>
  </si>
  <si>
    <t>Tapa roscada</t>
  </si>
  <si>
    <t>Total</t>
  </si>
  <si>
    <t>AÑO 2 a 5</t>
  </si>
  <si>
    <t>Mano de Obra Directa</t>
  </si>
  <si>
    <t>Sueldo básico x hora</t>
  </si>
  <si>
    <t>Sueldos básicos anualizados</t>
  </si>
  <si>
    <t>Cargas Sociales (23%)</t>
  </si>
  <si>
    <t>Adicionales (25%)</t>
  </si>
  <si>
    <t>Sueldo Bruto</t>
  </si>
  <si>
    <t>Año 2 a 5</t>
  </si>
  <si>
    <t>Año 1</t>
  </si>
  <si>
    <t>* Se considera adicionales: Presentismo 8,33%, SAC 8,33%, Vacaciones 4,33% y un promedio de antigüedad por los 5 años de 4%.</t>
  </si>
  <si>
    <t>Según CCT 334/02 nivel económico julio 2017</t>
  </si>
  <si>
    <t>En los 2 primeros meses de puesta en marcha se comienza a tomar personal y capacitar</t>
  </si>
  <si>
    <t>Consideraciones</t>
  </si>
  <si>
    <t>Se trabaja 1 solo turno</t>
  </si>
  <si>
    <t>Días de trabajo al año</t>
  </si>
  <si>
    <t>PPM - Horas (-)</t>
  </si>
  <si>
    <t>Horas diarias</t>
  </si>
  <si>
    <t>Horas totales</t>
  </si>
  <si>
    <t>Mano de Obra Indirecta (Producción)</t>
  </si>
  <si>
    <t>MOI</t>
  </si>
  <si>
    <t>Sueldo Básico mensual</t>
  </si>
  <si>
    <t>Sueldo Bruto mensual</t>
  </si>
  <si>
    <t>Sueldo Bruto anual</t>
  </si>
  <si>
    <t>Gerente de Producción</t>
  </si>
  <si>
    <t>Encargado de Mantenimiento</t>
  </si>
  <si>
    <t>Responsable de Calidad</t>
  </si>
  <si>
    <t>Totales</t>
  </si>
  <si>
    <t>MC y SE</t>
  </si>
  <si>
    <t>Año 2 a 3</t>
  </si>
  <si>
    <t>Año 4 a 5</t>
  </si>
  <si>
    <t>Gasto específico MOI</t>
  </si>
  <si>
    <t>Personal indirecto imputado</t>
  </si>
  <si>
    <t>Mano de Obra Indirecta (Administración)</t>
  </si>
  <si>
    <t xml:space="preserve">Gerente General </t>
  </si>
  <si>
    <t>Gerente Adm y Fin</t>
  </si>
  <si>
    <t>Resp. Compras</t>
  </si>
  <si>
    <t>Recepcionista</t>
  </si>
  <si>
    <t>Mano de Obra Indirecta (Comercial)</t>
  </si>
  <si>
    <t>Responsable de Ventas</t>
  </si>
  <si>
    <t>Vendedor</t>
  </si>
  <si>
    <t>Chofer 1</t>
  </si>
  <si>
    <t>Chofer 2</t>
  </si>
  <si>
    <t>Materiales</t>
  </si>
  <si>
    <t>Producción</t>
  </si>
  <si>
    <t>Valores de referencia</t>
  </si>
  <si>
    <t>Costo de los materiales</t>
  </si>
  <si>
    <t>Origen</t>
  </si>
  <si>
    <t>Año 2 y 3</t>
  </si>
  <si>
    <t>Año 4 y 5</t>
  </si>
  <si>
    <t>Mantenimiento</t>
  </si>
  <si>
    <t>Personal</t>
  </si>
  <si>
    <t>Costo de Materiales por año</t>
  </si>
  <si>
    <t>Debido al PPM en el año 1 se estima menor importe en consumo de materiales de mantenimento y repuestos</t>
  </si>
  <si>
    <t>Los últimos 2 años tienen un aumento del 5% los gastos relacionados al consumo de repuestos y mantenimiento</t>
  </si>
  <si>
    <t>Gasto específico materiales</t>
  </si>
  <si>
    <t>Materiales imputado</t>
  </si>
  <si>
    <t>Administración</t>
  </si>
  <si>
    <t>Papelería y útiles</t>
  </si>
  <si>
    <t>Limpieza e Higiene</t>
  </si>
  <si>
    <t>Criterio utilizado para distribución de Papelería: Porcentaje de MOD.</t>
  </si>
  <si>
    <t>Comercialización</t>
  </si>
  <si>
    <t>Energía eléctrica</t>
  </si>
  <si>
    <t>Concepto</t>
  </si>
  <si>
    <t>Cant</t>
  </si>
  <si>
    <t>Potencia</t>
  </si>
  <si>
    <t>Horas Año</t>
  </si>
  <si>
    <t>Consumo Anual</t>
  </si>
  <si>
    <t>Consumo Eléctrico</t>
  </si>
  <si>
    <t>kW</t>
  </si>
  <si>
    <t>Hs</t>
  </si>
  <si>
    <t>kWh</t>
  </si>
  <si>
    <t>Cargo Fijo</t>
  </si>
  <si>
    <t>máquinas de producción</t>
  </si>
  <si>
    <t>var</t>
  </si>
  <si>
    <t>Cargo Pot Convenida</t>
  </si>
  <si>
    <t>heladeras del proceso</t>
  </si>
  <si>
    <t>Cargo Variable</t>
  </si>
  <si>
    <t>camara frigorifica</t>
  </si>
  <si>
    <t>Total anual</t>
  </si>
  <si>
    <t>iluminacion led</t>
  </si>
  <si>
    <t>Total mensual</t>
  </si>
  <si>
    <t>ventiladores</t>
  </si>
  <si>
    <t>Fuente: http://www.edesur.com.ar/cuadro_tarifario.pdf</t>
  </si>
  <si>
    <t>extractores</t>
  </si>
  <si>
    <t>Potencia inst. convenida</t>
  </si>
  <si>
    <t>Prorrateo mens (kWh)</t>
  </si>
  <si>
    <t>Gasto específico energía</t>
  </si>
  <si>
    <t>Energía eléctrica imputado</t>
  </si>
  <si>
    <t>Administración y Comercial</t>
  </si>
  <si>
    <t>heladeras comedor</t>
  </si>
  <si>
    <t>equipos de computación</t>
  </si>
  <si>
    <t>aire acondicionado</t>
  </si>
  <si>
    <t>televisores</t>
  </si>
  <si>
    <t>Admin</t>
  </si>
  <si>
    <t>Comercial</t>
  </si>
  <si>
    <t>Distribución*</t>
  </si>
  <si>
    <t>* Según Porcentaje MyU</t>
  </si>
  <si>
    <t>Combustibles</t>
  </si>
  <si>
    <t>(GAS)</t>
  </si>
  <si>
    <t>Consumo de Gas</t>
  </si>
  <si>
    <t>kcal/hs</t>
  </si>
  <si>
    <t>kcal</t>
  </si>
  <si>
    <t>estufa</t>
  </si>
  <si>
    <t>TOTAL</t>
  </si>
  <si>
    <r>
      <t>EN M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</si>
  <si>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Stock promedio de MP</t>
  </si>
  <si>
    <t xml:space="preserve">Año 0 </t>
  </si>
  <si>
    <t xml:space="preserve">Año 1 a 5 </t>
  </si>
  <si>
    <t>Stock de PT</t>
  </si>
  <si>
    <t>Año 1 a 5</t>
  </si>
  <si>
    <t>Kilometros promedios anual</t>
  </si>
  <si>
    <t>Cantidad de móviles</t>
  </si>
  <si>
    <t>Consumo promedio [Km/m3]</t>
  </si>
  <si>
    <t>Consumo total[m3]</t>
  </si>
  <si>
    <t>Precio Gas [$/m3]</t>
  </si>
  <si>
    <t>Año 1*</t>
  </si>
  <si>
    <t>* Prorrateo por ventas</t>
  </si>
  <si>
    <t>Mercaderías en curso y Semi elaborados</t>
  </si>
  <si>
    <t>Producción Año 1 (unid)</t>
  </si>
  <si>
    <t>Producción Año 1 (kgs)</t>
  </si>
  <si>
    <t>Nro</t>
  </si>
  <si>
    <t>Ítem</t>
  </si>
  <si>
    <t>Alimentación (U.O.)</t>
  </si>
  <si>
    <t>Un. Origen(U.O)</t>
  </si>
  <si>
    <t>Stock MC y SE</t>
  </si>
  <si>
    <t>Costo MC Y SE</t>
  </si>
  <si>
    <t>Producción Año 2 a 5 (unid)</t>
  </si>
  <si>
    <t>kg</t>
  </si>
  <si>
    <t>Producción Año 2 a 5 (kgs)</t>
  </si>
  <si>
    <t>Demanda PT (kg) Año 1</t>
  </si>
  <si>
    <t>Alimentación MP (kg) Año 1</t>
  </si>
  <si>
    <t>Consumo especifico Año 1</t>
  </si>
  <si>
    <t>Demanda PT (kg) Año 2 a 5</t>
  </si>
  <si>
    <t>Alimentación MP (kg) Año 2 a 5</t>
  </si>
  <si>
    <t>Consumo especifico Año 2 a 5</t>
  </si>
  <si>
    <t>Total DEMANDA kg</t>
  </si>
  <si>
    <t>MC Y SE</t>
  </si>
  <si>
    <t>Desperdicio operativo real</t>
  </si>
  <si>
    <t>Gasto específico</t>
  </si>
  <si>
    <t>$/kg PT</t>
  </si>
  <si>
    <t>MC Y SE sin desperdicio</t>
  </si>
  <si>
    <t>Costo MOD en MC y SE</t>
  </si>
  <si>
    <t>Desperdicio No Recuperable</t>
  </si>
  <si>
    <t>Importe imputable a MCySE</t>
  </si>
  <si>
    <t>Gasto especifico a MCySE</t>
  </si>
  <si>
    <t>Amortización imputada</t>
  </si>
  <si>
    <t>Gasto de Puesta en Marcha</t>
  </si>
  <si>
    <t>Gasto específico MP Año 1</t>
  </si>
  <si>
    <t>Gasto específico MP Año 2 a 5</t>
  </si>
  <si>
    <t>Consumo excedente MP</t>
  </si>
  <si>
    <t>Kg</t>
  </si>
  <si>
    <t>Gasto específico MOD Año 1</t>
  </si>
  <si>
    <t>Exceso Gasto MOD</t>
  </si>
  <si>
    <t>Gasto especifico Materiales</t>
  </si>
  <si>
    <t>Exceso Gasto Materiales</t>
  </si>
  <si>
    <t>Gasto especifico Energía</t>
  </si>
  <si>
    <t>Exceso Gasto Energía</t>
  </si>
  <si>
    <t>Gasto especifico Combustibles</t>
  </si>
  <si>
    <t>Exceso Gasto Combustibles</t>
  </si>
  <si>
    <t>Tasas e Impuestos</t>
  </si>
  <si>
    <t xml:space="preserve">Tasa municipal anual </t>
  </si>
  <si>
    <t>Impuesto inmobiliario anual</t>
  </si>
  <si>
    <t>Impuesto a los sellos</t>
  </si>
  <si>
    <t>Imp. A los Deb y Cred Bancarios</t>
  </si>
  <si>
    <t>Impuesto automotor</t>
  </si>
  <si>
    <t>Gastos Varios</t>
  </si>
  <si>
    <t>Honorarios profesionales</t>
  </si>
  <si>
    <t>Gastos de Representación</t>
  </si>
  <si>
    <t>Gastos de oficina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</si>
  <si>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</si>
  <si>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</si>
  <si>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</si>
  <si>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</si>
  <si>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</si>
  <si>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a) Bienes de Uso</t>
  </si>
  <si>
    <t>Terreno y sus mejoras</t>
  </si>
  <si>
    <t>Edificio y obras complementarias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</si>
  <si>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</si>
  <si>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</si>
  <si>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</si>
  <si>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</si>
  <si>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</si>
  <si>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</si>
  <si>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</si>
  <si>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</si>
  <si>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</si>
  <si>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</si>
  <si>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</si>
  <si>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</si>
  <si>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</si>
  <si>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</si>
  <si>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</si>
  <si>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</si>
  <si>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</si>
  <si>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</si>
  <si>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</si>
  <si>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</si>
  <si>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</si>
  <si>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</si>
  <si>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</si>
  <si>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</si>
  <si>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% producción</t>
  </si>
  <si>
    <t>% administración</t>
  </si>
  <si>
    <t>% comercial</t>
  </si>
  <si>
    <t>original</t>
  </si>
  <si>
    <t>Años 1/3</t>
  </si>
  <si>
    <t>Años 4/5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</si>
  <si>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</si>
  <si>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</si>
  <si>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</si>
  <si>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</si>
  <si>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</si>
  <si>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</si>
  <si>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</si>
  <si>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</si>
  <si>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</si>
  <si>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</si>
  <si>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</si>
  <si>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</si>
  <si>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</si>
  <si>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</si>
  <si>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Mano de obra indirecta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</si>
  <si>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</si>
  <si>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</si>
  <si>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</si>
  <si>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</si>
  <si>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</si>
  <si>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</si>
  <si>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</si>
  <si>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Personal indirecto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</si>
  <si>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</si>
  <si>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</si>
  <si>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</si>
  <si>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</si>
  <si>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</si>
  <si>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</si>
  <si>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</si>
  <si>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</si>
  <si>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</si>
  <si>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</si>
  <si>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</si>
  <si>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</si>
  <si>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</si>
  <si>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</si>
  <si>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</si>
  <si>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Varios</t>
  </si>
  <si>
    <t>Costo total de Administración</t>
  </si>
  <si>
    <t>Gastos en el Area de Comercialización</t>
  </si>
  <si>
    <t>Energía Eléctrica</t>
  </si>
  <si>
    <t>-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</si>
  <si>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</si>
  <si>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</si>
  <si>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</si>
  <si>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</si>
  <si>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</si>
  <si>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</si>
  <si>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</si>
  <si>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</si>
  <si>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</si>
  <si>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</si>
  <si>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</si>
  <si>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Stock elaborado al inicio del periodo</t>
  </si>
  <si>
    <t>Stock elaborado al final periodo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</si>
  <si>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</si>
  <si>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</si>
  <si>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</si>
  <si>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</si>
  <si>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</si>
  <si>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</si>
  <si>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</si>
  <si>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</si>
  <si>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</si>
  <si>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</si>
  <si>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</si>
  <si>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</si>
  <si>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</si>
  <si>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</si>
  <si>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</si>
  <si>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</si>
  <si>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</si>
  <si>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</si>
  <si>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</si>
  <si>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</si>
  <si>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CANTIDADES DE EQUILIBRIO ECONÓMICO</t>
  </si>
  <si>
    <t>PUNTO DE EQUILIBRIO</t>
  </si>
  <si>
    <t>HACER DIAGRAMA DE PUNTO DE EQUILIBRIO PARA EL AÑO 1 Y PARA EL AÑO 5</t>
  </si>
  <si>
    <t>Costo Fijo</t>
  </si>
  <si>
    <t>Costo Variable</t>
  </si>
  <si>
    <t>Costo Total</t>
  </si>
  <si>
    <t>Ventas</t>
  </si>
  <si>
    <t>Punto de equilibrio</t>
  </si>
  <si>
    <t>unidades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</si>
  <si>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</si>
  <si>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</si>
  <si>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</si>
  <si>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</si>
  <si>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</si>
  <si>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</si>
  <si>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</si>
  <si>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</si>
  <si>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</si>
  <si>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</si>
  <si>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</si>
  <si>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</si>
  <si>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</si>
  <si>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</si>
  <si>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</si>
  <si>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</si>
  <si>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</si>
  <si>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</si>
  <si>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</si>
  <si>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</si>
  <si>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</si>
  <si>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>              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</si>
  <si>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</si>
  <si>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</si>
  <si>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</si>
  <si>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</si>
  <si>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</si>
  <si>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5. - Mercadería en Proceso</t>
  </si>
  <si>
    <t>Se ha aplicado el 21% sobre los rubros de la mercadería en proceso, con el siguiente resultado:</t>
  </si>
  <si>
    <t>Incrementos</t>
  </si>
  <si>
    <t>5. - Stock de Elaborados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</si>
  <si>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</si>
  <si>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</si>
  <si>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</si>
  <si>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</si>
  <si>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</si>
  <si>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</si>
  <si>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</si>
  <si>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</si>
  <si>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</si>
  <si>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</si>
  <si>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</si>
  <si>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</si>
  <si>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</si>
  <si>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</si>
  <si>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</si>
  <si>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</si>
  <si>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</si>
  <si>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</si>
  <si>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</si>
  <si>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</si>
  <si>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</si>
  <si>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</si>
  <si>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</si>
  <si>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</si>
  <si>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</si>
  <si>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</si>
  <si>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</si>
  <si>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</si>
  <si>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</si>
  <si>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</si>
  <si>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</si>
  <si>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</si>
  <si>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</si>
  <si>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</si>
  <si>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</si>
  <si>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</si>
  <si>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</si>
  <si>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</si>
  <si>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Recupero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</si>
  <si>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</si>
  <si>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</si>
  <si>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</si>
  <si>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</si>
  <si>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</si>
  <si>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</si>
  <si>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</si>
  <si>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</si>
  <si>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</si>
  <si>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</si>
  <si>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</si>
  <si>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</si>
  <si>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</si>
  <si>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</si>
  <si>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</si>
  <si>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</si>
  <si>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</si>
  <si>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</si>
  <si>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</si>
  <si>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</si>
  <si>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</si>
  <si>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</si>
  <si>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</si>
  <si>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</si>
  <si>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</si>
  <si>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</si>
  <si>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</si>
  <si>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</si>
  <si>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</si>
  <si>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</si>
  <si>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</si>
  <si>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</si>
  <si>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</si>
  <si>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</si>
  <si>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</si>
  <si>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</si>
  <si>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</si>
  <si>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</si>
  <si>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</si>
  <si>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</si>
  <si>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</si>
  <si>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</si>
  <si>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</si>
  <si>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</si>
  <si>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</si>
  <si>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</si>
  <si>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</si>
  <si>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</si>
  <si>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</si>
  <si>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</si>
  <si>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</si>
  <si>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</si>
  <si>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</si>
  <si>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</si>
  <si>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</si>
  <si>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</si>
  <si>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</si>
  <si>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</si>
  <si>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</si>
  <si>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</si>
  <si>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</si>
  <si>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</si>
  <si>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</si>
  <si>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</si>
  <si>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</si>
  <si>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</si>
  <si>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</si>
  <si>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</si>
  <si>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</si>
  <si>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</si>
  <si>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</si>
  <si>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</si>
  <si>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</si>
  <si>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</si>
  <si>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</si>
  <si>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</si>
  <si>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</si>
  <si>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</si>
  <si>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</si>
  <si>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</si>
  <si>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</si>
  <si>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</si>
  <si>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</si>
  <si>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</si>
  <si>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</si>
  <si>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</si>
  <si>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</si>
  <si>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</si>
  <si>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</si>
  <si>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</si>
  <si>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</si>
  <si>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</si>
  <si>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</si>
  <si>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</si>
  <si>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</si>
  <si>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</si>
  <si>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</si>
  <si>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</si>
  <si>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</si>
  <si>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</si>
  <si>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</si>
  <si>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</si>
  <si>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</si>
  <si>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</si>
  <si>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</si>
  <si>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</si>
  <si>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</si>
  <si>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</si>
  <si>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</si>
  <si>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</si>
  <si>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</si>
  <si>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</si>
  <si>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</si>
  <si>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</si>
  <si>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</si>
  <si>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</si>
  <si>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</si>
  <si>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</si>
  <si>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</si>
  <si>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</si>
  <si>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</si>
  <si>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</si>
  <si>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</si>
  <si>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</si>
  <si>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</si>
  <si>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</si>
  <si>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</si>
  <si>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</si>
  <si>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</si>
  <si>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</si>
  <si>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</si>
  <si>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</si>
  <si>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</si>
  <si>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</si>
  <si>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</si>
  <si>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</si>
  <si>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</si>
  <si>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</si>
  <si>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</si>
  <si>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</si>
  <si>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</si>
  <si>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</si>
  <si>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</si>
  <si>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</si>
  <si>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</si>
  <si>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</si>
  <si>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</si>
  <si>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</si>
  <si>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</si>
  <si>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</si>
  <si>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</si>
  <si>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</si>
  <si>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Ingresos Brutos Año 1 (3%)</t>
  </si>
  <si>
    <t>Ingresos Brutos Año 2 a 5 (3%)</t>
  </si>
  <si>
    <t>PRI (1/TIR)</t>
  </si>
  <si>
    <t>PARA LA CORRECCIÓN SE RECOMIENDA PONER PRECIO DE 50 PESOS</t>
  </si>
  <si>
    <t>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</si>
</sst>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* #,##0_);_(* \(#,##0\);_(* \-??_);_(@_)"/>
    <numFmt numFmtId="171" formatCode="_ &quot;$&quot;\ * #,##0_ ;_ &quot;$&quot;\ * \-#,##0_ ;_ &quot;$&quot;\ * &quot;-&quot;??_ ;_ @_ "/>
    <numFmt numFmtId="172" formatCode="_ &quot;$&quot;\ * #,##0.0_ ;_ &quot;$&quot;\ * \-#,##0.0_ ;_ &quot;$&quot;\ * &quot;-&quot;??_ ;_ @_ "/>
    <numFmt numFmtId="173" formatCode="_(\$* #,##0_);_(\$* \(#,##0\);_(\$* \-??_);_(@_)"/>
    <numFmt numFmtId="174" formatCode="_ [$$-2C0A]\ * #,##0.00_ ;_ [$$-2C0A]\ * \-#,##0.00_ ;_ [$$-2C0A]\ * &quot;-&quot;??_ ;_ @_ "/>
    <numFmt numFmtId="175" formatCode="&quot;$&quot;\ #,##0.00"/>
    <numFmt numFmtId="176" formatCode="0.0%"/>
    <numFmt numFmtId="177" formatCode="_-* #,##0\ _€_-;\-* #,##0\ _€_-;_-* &quot;-&quot;??\ _€_-;_-@_-"/>
    <numFmt numFmtId="178" formatCode="_ [$$-2C0A]\ * #,##0_ ;_ [$$-2C0A]\ * \-#,##0_ ;_ [$$-2C0A]\ * &quot;-&quot;??_ ;_ @_ "/>
    <numFmt numFmtId="179" formatCode="_ * #,##0_ ;_ * \-#,##0_ ;_ * &quot;-&quot;??_ ;_ @_ "/>
    <numFmt numFmtId="180" formatCode="&quot;$&quot;\ #,##0"/>
    <numFmt numFmtId="181" formatCode="_(\$* #,##0.000_);_(\$* \(#,##0.000\);_(\$* \-??_);_(@_)"/>
    <numFmt numFmtId="182" formatCode="#,##0_ ;\-#,##0\ "/>
    <numFmt numFmtId="183" formatCode="_(* #,##0.0_);_(* \(#,##0.0\);_(* \-??_);_(@_)"/>
  </numFmts>
  <fonts count="42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3499862666707357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thin">
        <color auto="1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auto="1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thin">
        <color auto="1"/>
      </top>
      <bottom style="double">
        <color indexed="5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indexed="59"/>
      </left>
      <right style="double">
        <color indexed="59"/>
      </right>
      <top/>
      <bottom/>
      <diagonal/>
    </border>
    <border>
      <left/>
      <right style="double">
        <color indexed="59"/>
      </right>
      <top style="hair">
        <color indexed="59"/>
      </top>
      <bottom style="double">
        <color indexed="59"/>
      </bottom>
      <diagonal/>
    </border>
    <border diagonalDown="1"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 style="medium">
        <color indexed="59"/>
      </diagonal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59"/>
      </left>
      <right style="thin">
        <color indexed="59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double">
        <color indexed="59"/>
      </right>
      <top style="thin">
        <color auto="1"/>
      </top>
      <bottom style="thin">
        <color auto="1"/>
      </bottom>
      <diagonal/>
    </border>
    <border>
      <left style="double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168" fontId="16" fillId="0" borderId="0" applyFill="0" applyBorder="0" applyAlignment="0" applyProtection="0"/>
    <xf numFmtId="165" fontId="16" fillId="0" borderId="0" applyFill="0" applyBorder="0" applyAlignment="0" applyProtection="0"/>
    <xf numFmtId="9" fontId="1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11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right"/>
    </xf>
    <xf numFmtId="0" fontId="11" fillId="0" borderId="0" xfId="0" applyFont="1"/>
    <xf numFmtId="0" fontId="0" fillId="0" borderId="0" xfId="0" applyFont="1" applyAlignment="1">
      <alignment horizontal="right"/>
    </xf>
    <xf numFmtId="0" fontId="13" fillId="0" borderId="0" xfId="0" applyFont="1"/>
    <xf numFmtId="0" fontId="0" fillId="0" borderId="0" xfId="0" applyFill="1"/>
    <xf numFmtId="0" fontId="14" fillId="0" borderId="3" xfId="0" applyFont="1" applyFill="1" applyBorder="1"/>
    <xf numFmtId="0" fontId="14" fillId="0" borderId="6" xfId="0" applyFont="1" applyFill="1" applyBorder="1"/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3" fillId="0" borderId="11" xfId="0" applyFont="1" applyFill="1" applyBorder="1"/>
    <xf numFmtId="0" fontId="0" fillId="0" borderId="12" xfId="0" applyFill="1" applyBorder="1"/>
    <xf numFmtId="0" fontId="0" fillId="0" borderId="11" xfId="0" applyFont="1" applyFill="1" applyBorder="1"/>
    <xf numFmtId="165" fontId="0" fillId="0" borderId="12" xfId="2" applyFont="1" applyFill="1" applyBorder="1" applyAlignment="1" applyProtection="1">
      <protection locked="0"/>
    </xf>
    <xf numFmtId="0" fontId="0" fillId="0" borderId="11" xfId="0" applyFont="1" applyFill="1" applyBorder="1" applyAlignment="1">
      <alignment horizontal="left"/>
    </xf>
    <xf numFmtId="165" fontId="0" fillId="0" borderId="12" xfId="2" applyFont="1" applyFill="1" applyBorder="1" applyAlignment="1" applyProtection="1"/>
    <xf numFmtId="165" fontId="0" fillId="0" borderId="7" xfId="2" applyFont="1" applyFill="1" applyBorder="1" applyAlignment="1" applyProtection="1">
      <protection locked="0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" xfId="0" applyFont="1" applyFill="1" applyBorder="1"/>
    <xf numFmtId="0" fontId="13" fillId="0" borderId="8" xfId="0" applyFont="1" applyFill="1" applyBorder="1"/>
    <xf numFmtId="0" fontId="13" fillId="0" borderId="3" xfId="0" applyFont="1" applyFill="1" applyBorder="1"/>
    <xf numFmtId="165" fontId="0" fillId="0" borderId="4" xfId="2" applyFont="1" applyFill="1" applyBorder="1" applyAlignment="1" applyProtection="1"/>
    <xf numFmtId="0" fontId="0" fillId="0" borderId="5" xfId="0" applyFill="1" applyBorder="1"/>
    <xf numFmtId="0" fontId="13" fillId="0" borderId="9" xfId="0" applyFont="1" applyFill="1" applyBorder="1"/>
    <xf numFmtId="165" fontId="0" fillId="0" borderId="10" xfId="2" applyFont="1" applyFill="1" applyBorder="1" applyAlignment="1" applyProtection="1"/>
    <xf numFmtId="0" fontId="0" fillId="0" borderId="13" xfId="0" applyFill="1" applyBorder="1"/>
    <xf numFmtId="0" fontId="13" fillId="0" borderId="11" xfId="0" applyFont="1" applyFill="1" applyBorder="1" applyAlignment="1">
      <alignment horizontal="left"/>
    </xf>
    <xf numFmtId="166" fontId="0" fillId="0" borderId="12" xfId="0" applyNumberFormat="1" applyFill="1" applyBorder="1" applyAlignment="1">
      <alignment horizontal="center"/>
    </xf>
    <xf numFmtId="166" fontId="0" fillId="0" borderId="14" xfId="0" applyNumberFormat="1" applyFill="1" applyBorder="1"/>
    <xf numFmtId="166" fontId="0" fillId="0" borderId="0" xfId="0" applyNumberFormat="1" applyFill="1"/>
    <xf numFmtId="165" fontId="0" fillId="0" borderId="8" xfId="2" applyFont="1" applyFill="1" applyBorder="1" applyAlignment="1" applyProtection="1">
      <protection locked="0"/>
    </xf>
    <xf numFmtId="166" fontId="13" fillId="0" borderId="0" xfId="0" applyNumberFormat="1" applyFont="1" applyFill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65" fontId="0" fillId="0" borderId="10" xfId="2" applyFont="1" applyFill="1" applyBorder="1" applyAlignment="1" applyProtection="1">
      <alignment horizontal="center"/>
      <protection locked="0"/>
    </xf>
    <xf numFmtId="165" fontId="0" fillId="0" borderId="13" xfId="2" applyFont="1" applyFill="1" applyBorder="1" applyAlignment="1" applyProtection="1">
      <alignment horizontal="center"/>
      <protection locked="0"/>
    </xf>
    <xf numFmtId="165" fontId="0" fillId="0" borderId="12" xfId="2" applyFont="1" applyFill="1" applyBorder="1" applyAlignment="1" applyProtection="1">
      <alignment horizontal="center"/>
      <protection locked="0"/>
    </xf>
    <xf numFmtId="165" fontId="0" fillId="0" borderId="14" xfId="2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166" fontId="0" fillId="0" borderId="19" xfId="0" applyNumberFormat="1" applyFill="1" applyBorder="1" applyAlignment="1">
      <alignment horizontal="center"/>
    </xf>
    <xf numFmtId="166" fontId="0" fillId="0" borderId="20" xfId="0" applyNumberFormat="1" applyFill="1" applyBorder="1"/>
    <xf numFmtId="0" fontId="13" fillId="0" borderId="18" xfId="0" applyFont="1" applyFill="1" applyBorder="1"/>
    <xf numFmtId="165" fontId="0" fillId="0" borderId="7" xfId="2" applyFont="1" applyFill="1" applyBorder="1" applyAlignment="1" applyProtection="1">
      <alignment horizontal="center"/>
      <protection locked="0"/>
    </xf>
    <xf numFmtId="165" fontId="0" fillId="0" borderId="8" xfId="2" applyFont="1" applyFill="1" applyBorder="1" applyAlignment="1" applyProtection="1">
      <alignment horizontal="center"/>
      <protection locked="0"/>
    </xf>
    <xf numFmtId="0" fontId="0" fillId="0" borderId="3" xfId="0" applyFill="1" applyBorder="1"/>
    <xf numFmtId="0" fontId="0" fillId="0" borderId="7" xfId="0" applyFont="1" applyFill="1" applyBorder="1" applyAlignment="1">
      <alignment horizontal="center"/>
    </xf>
    <xf numFmtId="0" fontId="13" fillId="0" borderId="0" xfId="0" applyFont="1" applyFill="1"/>
    <xf numFmtId="167" fontId="0" fillId="0" borderId="0" xfId="0" applyNumberFormat="1" applyFill="1" applyAlignment="1">
      <alignment horizontal="center"/>
    </xf>
    <xf numFmtId="167" fontId="13" fillId="0" borderId="4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165" fontId="0" fillId="0" borderId="19" xfId="2" applyFont="1" applyFill="1" applyBorder="1" applyAlignment="1" applyProtection="1">
      <alignment horizontal="center"/>
      <protection locked="0"/>
    </xf>
    <xf numFmtId="165" fontId="0" fillId="0" borderId="20" xfId="2" applyFont="1" applyFill="1" applyBorder="1" applyAlignment="1" applyProtection="1">
      <alignment horizontal="center"/>
      <protection locked="0"/>
    </xf>
    <xf numFmtId="9" fontId="0" fillId="0" borderId="8" xfId="3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>
      <alignment horizontal="center"/>
    </xf>
    <xf numFmtId="165" fontId="0" fillId="0" borderId="4" xfId="2" applyFont="1" applyFill="1" applyBorder="1" applyAlignment="1" applyProtection="1">
      <alignment horizontal="center"/>
      <protection locked="0"/>
    </xf>
    <xf numFmtId="165" fontId="0" fillId="0" borderId="5" xfId="2" applyFont="1" applyFill="1" applyBorder="1" applyAlignment="1" applyProtection="1">
      <alignment horizontal="center"/>
      <protection locked="0"/>
    </xf>
    <xf numFmtId="165" fontId="0" fillId="0" borderId="12" xfId="2" applyFont="1" applyFill="1" applyBorder="1" applyAlignment="1" applyProtection="1">
      <alignment horizontal="center"/>
    </xf>
    <xf numFmtId="165" fontId="0" fillId="0" borderId="14" xfId="2" applyFont="1" applyFill="1" applyBorder="1" applyAlignment="1" applyProtection="1">
      <alignment horizontal="center"/>
    </xf>
    <xf numFmtId="9" fontId="0" fillId="0" borderId="12" xfId="3" applyFont="1" applyFill="1" applyBorder="1" applyAlignment="1" applyProtection="1">
      <alignment horizontal="center"/>
      <protection locked="0"/>
    </xf>
    <xf numFmtId="9" fontId="0" fillId="0" borderId="14" xfId="3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68" fontId="0" fillId="0" borderId="12" xfId="1" applyFont="1" applyFill="1" applyBorder="1" applyAlignment="1" applyProtection="1">
      <alignment horizontal="center"/>
      <protection locked="0"/>
    </xf>
    <xf numFmtId="168" fontId="0" fillId="0" borderId="14" xfId="1" applyFont="1" applyFill="1" applyBorder="1" applyAlignment="1" applyProtection="1">
      <alignment horizontal="center"/>
      <protection locked="0"/>
    </xf>
    <xf numFmtId="165" fontId="13" fillId="0" borderId="12" xfId="2" applyFont="1" applyFill="1" applyBorder="1" applyAlignment="1" applyProtection="1">
      <alignment horizontal="center"/>
      <protection locked="0"/>
    </xf>
    <xf numFmtId="165" fontId="13" fillId="0" borderId="14" xfId="2" applyFont="1" applyFill="1" applyBorder="1" applyAlignment="1" applyProtection="1">
      <alignment horizontal="center"/>
      <protection locked="0"/>
    </xf>
    <xf numFmtId="165" fontId="13" fillId="0" borderId="12" xfId="2" applyFont="1" applyFill="1" applyBorder="1" applyAlignment="1" applyProtection="1">
      <alignment horizontal="center"/>
    </xf>
    <xf numFmtId="165" fontId="13" fillId="0" borderId="14" xfId="2" applyFont="1" applyFill="1" applyBorder="1" applyAlignment="1" applyProtection="1">
      <alignment horizontal="center"/>
    </xf>
    <xf numFmtId="9" fontId="0" fillId="0" borderId="12" xfId="3" applyFont="1" applyFill="1" applyBorder="1" applyAlignment="1" applyProtection="1">
      <protection locked="0"/>
    </xf>
    <xf numFmtId="9" fontId="0" fillId="0" borderId="14" xfId="3" applyFont="1" applyFill="1" applyBorder="1" applyAlignment="1" applyProtection="1">
      <protection locked="0"/>
    </xf>
    <xf numFmtId="9" fontId="0" fillId="0" borderId="12" xfId="3" applyFont="1" applyFill="1" applyBorder="1" applyAlignment="1" applyProtection="1"/>
    <xf numFmtId="9" fontId="0" fillId="0" borderId="14" xfId="3" applyFont="1" applyFill="1" applyBorder="1" applyAlignment="1" applyProtection="1"/>
    <xf numFmtId="165" fontId="0" fillId="0" borderId="14" xfId="2" applyFont="1" applyFill="1" applyBorder="1" applyAlignment="1" applyProtection="1"/>
    <xf numFmtId="0" fontId="14" fillId="0" borderId="0" xfId="0" applyFont="1" applyFill="1"/>
    <xf numFmtId="0" fontId="0" fillId="0" borderId="0" xfId="0" applyBorder="1"/>
    <xf numFmtId="0" fontId="13" fillId="0" borderId="21" xfId="0" applyFont="1" applyFill="1" applyBorder="1"/>
    <xf numFmtId="165" fontId="0" fillId="0" borderId="10" xfId="2" applyFont="1" applyFill="1" applyBorder="1" applyAlignment="1" applyProtection="1">
      <alignment horizontal="center"/>
    </xf>
    <xf numFmtId="165" fontId="0" fillId="0" borderId="13" xfId="2" applyFont="1" applyFill="1" applyBorder="1" applyAlignment="1" applyProtection="1">
      <alignment horizontal="center"/>
    </xf>
    <xf numFmtId="0" fontId="0" fillId="0" borderId="21" xfId="0" applyFill="1" applyBorder="1"/>
    <xf numFmtId="0" fontId="13" fillId="0" borderId="22" xfId="0" applyFont="1" applyFill="1" applyBorder="1"/>
    <xf numFmtId="0" fontId="13" fillId="0" borderId="7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/>
    </xf>
    <xf numFmtId="0" fontId="0" fillId="0" borderId="21" xfId="0" applyFont="1" applyFill="1" applyBorder="1"/>
    <xf numFmtId="165" fontId="0" fillId="0" borderId="25" xfId="2" applyFont="1" applyFill="1" applyBorder="1" applyAlignment="1" applyProtection="1">
      <alignment horizontal="center"/>
      <protection locked="0"/>
    </xf>
    <xf numFmtId="165" fontId="0" fillId="0" borderId="25" xfId="2" applyFont="1" applyFill="1" applyBorder="1" applyAlignment="1" applyProtection="1">
      <alignment horizontal="center"/>
    </xf>
    <xf numFmtId="165" fontId="0" fillId="0" borderId="23" xfId="2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8" xfId="0" applyFont="1" applyFill="1" applyBorder="1"/>
    <xf numFmtId="165" fontId="0" fillId="0" borderId="29" xfId="2" applyFont="1" applyFill="1" applyBorder="1" applyAlignment="1" applyProtection="1">
      <alignment horizontal="center"/>
    </xf>
    <xf numFmtId="0" fontId="0" fillId="0" borderId="30" xfId="0" applyFont="1" applyFill="1" applyBorder="1"/>
    <xf numFmtId="165" fontId="0" fillId="0" borderId="31" xfId="2" applyFont="1" applyFill="1" applyBorder="1" applyAlignment="1" applyProtection="1">
      <alignment horizontal="center"/>
      <protection locked="0"/>
    </xf>
    <xf numFmtId="0" fontId="13" fillId="0" borderId="30" xfId="0" applyFont="1" applyFill="1" applyBorder="1"/>
    <xf numFmtId="165" fontId="0" fillId="0" borderId="31" xfId="2" applyFont="1" applyFill="1" applyBorder="1" applyAlignment="1" applyProtection="1">
      <alignment horizontal="center"/>
    </xf>
    <xf numFmtId="0" fontId="13" fillId="0" borderId="30" xfId="0" applyFont="1" applyFill="1" applyBorder="1" applyAlignment="1">
      <alignment horizontal="left"/>
    </xf>
    <xf numFmtId="0" fontId="13" fillId="0" borderId="32" xfId="0" applyFont="1" applyFill="1" applyBorder="1"/>
    <xf numFmtId="165" fontId="0" fillId="0" borderId="33" xfId="2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>
      <alignment horizontal="center"/>
    </xf>
    <xf numFmtId="165" fontId="0" fillId="0" borderId="29" xfId="2" applyFont="1" applyFill="1" applyBorder="1" applyAlignment="1" applyProtection="1">
      <alignment horizontal="center"/>
      <protection locked="0"/>
    </xf>
    <xf numFmtId="165" fontId="0" fillId="0" borderId="24" xfId="2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65" fontId="13" fillId="0" borderId="7" xfId="2" applyFont="1" applyFill="1" applyBorder="1" applyAlignment="1" applyProtection="1">
      <alignment horizontal="center"/>
      <protection locked="0"/>
    </xf>
    <xf numFmtId="9" fontId="13" fillId="0" borderId="7" xfId="3" applyFont="1" applyFill="1" applyBorder="1" applyAlignment="1" applyProtection="1">
      <alignment horizontal="center"/>
      <protection locked="0"/>
    </xf>
    <xf numFmtId="9" fontId="13" fillId="0" borderId="8" xfId="3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center"/>
    </xf>
    <xf numFmtId="0" fontId="14" fillId="0" borderId="34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169" fontId="0" fillId="0" borderId="3" xfId="0" applyNumberFormat="1" applyFont="1" applyFill="1" applyBorder="1" applyProtection="1">
      <protection locked="0"/>
    </xf>
    <xf numFmtId="165" fontId="0" fillId="0" borderId="4" xfId="2" applyFont="1" applyFill="1" applyBorder="1" applyAlignment="1" applyProtection="1">
      <protection locked="0"/>
    </xf>
    <xf numFmtId="9" fontId="0" fillId="0" borderId="4" xfId="3" applyFont="1" applyFill="1" applyBorder="1" applyAlignment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169" fontId="0" fillId="0" borderId="6" xfId="0" applyNumberFormat="1" applyFont="1" applyFill="1" applyBorder="1" applyProtection="1">
      <protection locked="0"/>
    </xf>
    <xf numFmtId="9" fontId="0" fillId="0" borderId="7" xfId="3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right"/>
    </xf>
    <xf numFmtId="165" fontId="13" fillId="0" borderId="0" xfId="2" applyFont="1" applyFill="1" applyBorder="1" applyAlignment="1" applyProtection="1">
      <alignment horizontal="center"/>
    </xf>
    <xf numFmtId="165" fontId="13" fillId="0" borderId="0" xfId="2" applyFont="1" applyFill="1" applyBorder="1" applyAlignment="1" applyProtection="1"/>
    <xf numFmtId="9" fontId="0" fillId="0" borderId="0" xfId="3" applyFont="1" applyFill="1" applyBorder="1" applyAlignment="1" applyProtection="1"/>
    <xf numFmtId="169" fontId="0" fillId="0" borderId="11" xfId="0" applyNumberFormat="1" applyFont="1" applyFill="1" applyBorder="1" applyAlignment="1" applyProtection="1">
      <alignment horizontal="left"/>
      <protection locked="0"/>
    </xf>
    <xf numFmtId="165" fontId="13" fillId="0" borderId="7" xfId="2" applyFont="1" applyFill="1" applyBorder="1" applyAlignment="1" applyProtection="1"/>
    <xf numFmtId="9" fontId="13" fillId="0" borderId="7" xfId="3" applyFont="1" applyFill="1" applyBorder="1" applyAlignment="1" applyProtection="1"/>
    <xf numFmtId="165" fontId="13" fillId="0" borderId="8" xfId="2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4" fillId="0" borderId="15" xfId="0" applyFont="1" applyFill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3" fillId="0" borderId="22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0" fillId="0" borderId="43" xfId="0" applyFill="1" applyBorder="1" applyProtection="1"/>
    <xf numFmtId="165" fontId="13" fillId="0" borderId="13" xfId="2" applyFont="1" applyFill="1" applyBorder="1" applyAlignment="1" applyProtection="1">
      <alignment horizontal="center"/>
    </xf>
    <xf numFmtId="0" fontId="13" fillId="0" borderId="11" xfId="0" applyFont="1" applyFill="1" applyBorder="1" applyProtection="1"/>
    <xf numFmtId="0" fontId="13" fillId="0" borderId="11" xfId="0" applyFont="1" applyFill="1" applyBorder="1" applyAlignment="1" applyProtection="1">
      <alignment horizontal="left"/>
    </xf>
    <xf numFmtId="0" fontId="13" fillId="0" borderId="6" xfId="0" applyFont="1" applyFill="1" applyBorder="1" applyProtection="1"/>
    <xf numFmtId="0" fontId="14" fillId="0" borderId="0" xfId="0" applyFont="1" applyFill="1" applyProtection="1"/>
    <xf numFmtId="0" fontId="14" fillId="0" borderId="26" xfId="0" applyFont="1" applyFill="1" applyBorder="1" applyAlignment="1" applyProtection="1">
      <alignment horizontal="left"/>
    </xf>
    <xf numFmtId="0" fontId="14" fillId="0" borderId="21" xfId="0" applyFont="1" applyFill="1" applyBorder="1" applyAlignment="1" applyProtection="1">
      <alignment horizontal="center"/>
    </xf>
    <xf numFmtId="0" fontId="14" fillId="0" borderId="27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 wrapText="1"/>
    </xf>
    <xf numFmtId="0" fontId="13" fillId="0" borderId="28" xfId="0" applyFont="1" applyFill="1" applyBorder="1" applyProtection="1"/>
    <xf numFmtId="0" fontId="0" fillId="0" borderId="30" xfId="0" applyFont="1" applyFill="1" applyBorder="1" applyProtection="1"/>
    <xf numFmtId="0" fontId="0" fillId="0" borderId="30" xfId="0" applyFont="1" applyFill="1" applyBorder="1" applyAlignment="1" applyProtection="1">
      <alignment horizontal="left"/>
    </xf>
    <xf numFmtId="0" fontId="13" fillId="0" borderId="30" xfId="0" applyFont="1" applyFill="1" applyBorder="1" applyProtection="1"/>
    <xf numFmtId="0" fontId="13" fillId="0" borderId="30" xfId="0" applyFont="1" applyFill="1" applyBorder="1" applyAlignment="1" applyProtection="1">
      <alignment horizontal="left"/>
    </xf>
    <xf numFmtId="0" fontId="13" fillId="0" borderId="32" xfId="0" applyFont="1" applyFill="1" applyBorder="1" applyProtection="1"/>
    <xf numFmtId="0" fontId="0" fillId="0" borderId="0" xfId="0" applyProtection="1"/>
    <xf numFmtId="0" fontId="14" fillId="0" borderId="3" xfId="0" applyFont="1" applyFill="1" applyBorder="1" applyAlignment="1" applyProtection="1">
      <alignment horizontal="left"/>
    </xf>
    <xf numFmtId="0" fontId="14" fillId="0" borderId="4" xfId="0" applyFont="1" applyFill="1" applyBorder="1" applyAlignment="1" applyProtection="1">
      <alignment horizontal="center"/>
    </xf>
    <xf numFmtId="0" fontId="14" fillId="0" borderId="44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13" fillId="0" borderId="12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168" fontId="0" fillId="0" borderId="25" xfId="1" applyFont="1" applyFill="1" applyBorder="1" applyAlignment="1" applyProtection="1">
      <alignment horizontal="center"/>
      <protection locked="0"/>
    </xf>
    <xf numFmtId="168" fontId="0" fillId="0" borderId="12" xfId="1" applyFont="1" applyFill="1" applyBorder="1" applyAlignment="1" applyProtection="1">
      <protection locked="0"/>
    </xf>
    <xf numFmtId="168" fontId="0" fillId="0" borderId="25" xfId="1" applyFont="1" applyFill="1" applyBorder="1" applyAlignment="1" applyProtection="1">
      <protection locked="0"/>
    </xf>
    <xf numFmtId="168" fontId="0" fillId="0" borderId="14" xfId="1" applyFont="1" applyFill="1" applyBorder="1" applyAlignment="1" applyProtection="1">
      <protection locked="0"/>
    </xf>
    <xf numFmtId="165" fontId="13" fillId="0" borderId="25" xfId="2" applyFont="1" applyFill="1" applyBorder="1" applyAlignment="1" applyProtection="1">
      <alignment horizontal="center"/>
      <protection locked="0"/>
    </xf>
    <xf numFmtId="165" fontId="0" fillId="0" borderId="23" xfId="2" applyFont="1" applyFill="1" applyBorder="1" applyAlignment="1" applyProtection="1">
      <protection locked="0"/>
    </xf>
    <xf numFmtId="0" fontId="0" fillId="0" borderId="18" xfId="0" applyFill="1" applyBorder="1" applyProtection="1"/>
    <xf numFmtId="0" fontId="13" fillId="0" borderId="19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0" fontId="13" fillId="0" borderId="3" xfId="0" applyFont="1" applyFill="1" applyBorder="1" applyProtection="1"/>
    <xf numFmtId="168" fontId="0" fillId="0" borderId="4" xfId="1" applyFont="1" applyFill="1" applyBorder="1" applyAlignment="1" applyProtection="1">
      <alignment horizontal="center"/>
      <protection locked="0"/>
    </xf>
    <xf numFmtId="168" fontId="0" fillId="0" borderId="5" xfId="1" applyFont="1" applyFill="1" applyBorder="1" applyAlignment="1" applyProtection="1">
      <alignment horizontal="center"/>
      <protection locked="0"/>
    </xf>
    <xf numFmtId="168" fontId="0" fillId="0" borderId="12" xfId="1" applyFont="1" applyFill="1" applyBorder="1" applyAlignment="1" applyProtection="1">
      <alignment horizontal="center"/>
    </xf>
    <xf numFmtId="168" fontId="0" fillId="0" borderId="14" xfId="1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 wrapText="1"/>
    </xf>
    <xf numFmtId="0" fontId="13" fillId="0" borderId="8" xfId="0" applyFont="1" applyFill="1" applyBorder="1" applyAlignment="1" applyProtection="1">
      <alignment horizontal="center" wrapText="1"/>
    </xf>
    <xf numFmtId="0" fontId="13" fillId="0" borderId="28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15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18" fillId="0" borderId="0" xfId="0" applyFont="1"/>
    <xf numFmtId="167" fontId="0" fillId="0" borderId="12" xfId="2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/>
    <xf numFmtId="0" fontId="0" fillId="0" borderId="9" xfId="0" applyFont="1" applyFill="1" applyBorder="1"/>
    <xf numFmtId="0" fontId="0" fillId="0" borderId="37" xfId="0" applyFont="1" applyFill="1" applyBorder="1"/>
    <xf numFmtId="0" fontId="0" fillId="0" borderId="18" xfId="0" applyFont="1" applyFill="1" applyBorder="1" applyAlignment="1">
      <alignment horizontal="left"/>
    </xf>
    <xf numFmtId="167" fontId="0" fillId="0" borderId="19" xfId="2" applyNumberFormat="1" applyFont="1" applyFill="1" applyBorder="1" applyAlignment="1" applyProtection="1">
      <alignment horizontal="center"/>
      <protection locked="0"/>
    </xf>
    <xf numFmtId="0" fontId="13" fillId="0" borderId="55" xfId="0" applyFont="1" applyFill="1" applyBorder="1" applyAlignment="1">
      <alignment horizontal="left"/>
    </xf>
    <xf numFmtId="173" fontId="0" fillId="0" borderId="12" xfId="2" applyNumberFormat="1" applyFont="1" applyFill="1" applyBorder="1" applyAlignment="1" applyProtection="1">
      <protection locked="0"/>
    </xf>
    <xf numFmtId="173" fontId="0" fillId="0" borderId="19" xfId="2" applyNumberFormat="1" applyFont="1" applyFill="1" applyBorder="1" applyAlignment="1" applyProtection="1">
      <protection locked="0"/>
    </xf>
    <xf numFmtId="173" fontId="0" fillId="0" borderId="10" xfId="2" applyNumberFormat="1" applyFont="1" applyFill="1" applyBorder="1" applyAlignment="1" applyProtection="1"/>
    <xf numFmtId="173" fontId="0" fillId="0" borderId="12" xfId="2" applyNumberFormat="1" applyFont="1" applyFill="1" applyBorder="1" applyAlignment="1" applyProtection="1"/>
    <xf numFmtId="173" fontId="0" fillId="0" borderId="38" xfId="2" applyNumberFormat="1" applyFont="1" applyFill="1" applyBorder="1" applyAlignment="1" applyProtection="1"/>
    <xf numFmtId="173" fontId="0" fillId="0" borderId="14" xfId="2" applyNumberFormat="1" applyFont="1" applyFill="1" applyBorder="1" applyAlignment="1" applyProtection="1">
      <protection locked="0"/>
    </xf>
    <xf numFmtId="173" fontId="0" fillId="0" borderId="20" xfId="2" applyNumberFormat="1" applyFont="1" applyFill="1" applyBorder="1" applyAlignment="1" applyProtection="1">
      <protection locked="0"/>
    </xf>
    <xf numFmtId="173" fontId="13" fillId="0" borderId="56" xfId="2" applyNumberFormat="1" applyFont="1" applyFill="1" applyBorder="1" applyAlignment="1" applyProtection="1">
      <protection locked="0"/>
    </xf>
    <xf numFmtId="173" fontId="0" fillId="0" borderId="10" xfId="0" applyNumberFormat="1" applyFill="1" applyBorder="1" applyAlignment="1">
      <alignment horizontal="center"/>
    </xf>
    <xf numFmtId="173" fontId="0" fillId="0" borderId="38" xfId="0" applyNumberFormat="1" applyFill="1" applyBorder="1"/>
    <xf numFmtId="173" fontId="0" fillId="0" borderId="10" xfId="0" applyNumberFormat="1" applyFill="1" applyBorder="1"/>
    <xf numFmtId="173" fontId="0" fillId="0" borderId="13" xfId="0" applyNumberFormat="1" applyFill="1" applyBorder="1"/>
    <xf numFmtId="173" fontId="0" fillId="0" borderId="10" xfId="2" applyNumberFormat="1" applyFont="1" applyFill="1" applyBorder="1" applyAlignment="1" applyProtection="1">
      <protection locked="0"/>
    </xf>
    <xf numFmtId="173" fontId="0" fillId="0" borderId="19" xfId="0" applyNumberFormat="1" applyFill="1" applyBorder="1"/>
    <xf numFmtId="173" fontId="13" fillId="0" borderId="19" xfId="0" applyNumberFormat="1" applyFont="1" applyFill="1" applyBorder="1" applyAlignment="1">
      <alignment horizontal="center"/>
    </xf>
    <xf numFmtId="173" fontId="0" fillId="0" borderId="19" xfId="0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0" fontId="13" fillId="0" borderId="57" xfId="0" applyFont="1" applyFill="1" applyBorder="1" applyAlignment="1">
      <alignment horizontal="left"/>
    </xf>
    <xf numFmtId="173" fontId="13" fillId="0" borderId="58" xfId="2" applyNumberFormat="1" applyFont="1" applyFill="1" applyBorder="1" applyAlignment="1" applyProtection="1">
      <protection locked="0"/>
    </xf>
    <xf numFmtId="173" fontId="13" fillId="0" borderId="59" xfId="2" applyNumberFormat="1" applyFont="1" applyFill="1" applyBorder="1" applyAlignment="1" applyProtection="1">
      <protection locked="0"/>
    </xf>
    <xf numFmtId="0" fontId="0" fillId="0" borderId="14" xfId="0" applyFill="1" applyBorder="1"/>
    <xf numFmtId="173" fontId="0" fillId="0" borderId="13" xfId="2" applyNumberFormat="1" applyFont="1" applyFill="1" applyBorder="1" applyAlignment="1" applyProtection="1"/>
    <xf numFmtId="173" fontId="0" fillId="0" borderId="14" xfId="2" applyNumberFormat="1" applyFont="1" applyFill="1" applyBorder="1" applyAlignment="1" applyProtection="1"/>
    <xf numFmtId="173" fontId="0" fillId="0" borderId="39" xfId="2" applyNumberFormat="1" applyFont="1" applyFill="1" applyBorder="1" applyAlignment="1" applyProtection="1"/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9" fillId="0" borderId="0" xfId="0" applyFont="1"/>
    <xf numFmtId="0" fontId="0" fillId="0" borderId="70" xfId="0" applyFill="1" applyBorder="1" applyAlignment="1">
      <alignment horizontal="center"/>
    </xf>
    <xf numFmtId="9" fontId="16" fillId="0" borderId="70" xfId="3" applyFill="1" applyBorder="1" applyAlignment="1">
      <alignment horizontal="center"/>
    </xf>
    <xf numFmtId="9" fontId="16" fillId="0" borderId="71" xfId="3" applyFill="1" applyBorder="1" applyAlignment="1">
      <alignment horizontal="center"/>
    </xf>
    <xf numFmtId="170" fontId="16" fillId="0" borderId="10" xfId="1" applyNumberFormat="1" applyFill="1" applyBorder="1" applyAlignment="1" applyProtection="1">
      <alignment horizontal="center"/>
      <protection locked="0"/>
    </xf>
    <xf numFmtId="170" fontId="16" fillId="0" borderId="13" xfId="1" applyNumberFormat="1" applyFill="1" applyBorder="1" applyAlignment="1" applyProtection="1">
      <alignment horizontal="center"/>
      <protection locked="0"/>
    </xf>
    <xf numFmtId="170" fontId="16" fillId="0" borderId="12" xfId="1" applyNumberFormat="1" applyFill="1" applyBorder="1" applyAlignment="1" applyProtection="1">
      <alignment horizontal="center"/>
      <protection locked="0"/>
    </xf>
    <xf numFmtId="170" fontId="16" fillId="0" borderId="14" xfId="1" applyNumberFormat="1" applyFill="1" applyBorder="1" applyAlignment="1" applyProtection="1">
      <alignment horizontal="center"/>
      <protection locked="0"/>
    </xf>
    <xf numFmtId="170" fontId="16" fillId="0" borderId="14" xfId="1" applyNumberFormat="1" applyFill="1" applyBorder="1" applyAlignment="1" applyProtection="1">
      <protection locked="0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2" fontId="21" fillId="0" borderId="47" xfId="0" applyNumberFormat="1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3" fillId="0" borderId="47" xfId="0" applyFont="1" applyBorder="1" applyAlignment="1">
      <alignment horizontal="center"/>
    </xf>
    <xf numFmtId="175" fontId="23" fillId="0" borderId="48" xfId="2" applyNumberFormat="1" applyFont="1" applyBorder="1" applyAlignment="1">
      <alignment horizontal="center"/>
    </xf>
    <xf numFmtId="174" fontId="23" fillId="0" borderId="48" xfId="0" applyNumberFormat="1" applyFont="1" applyBorder="1"/>
    <xf numFmtId="174" fontId="23" fillId="0" borderId="49" xfId="0" applyNumberFormat="1" applyFont="1" applyBorder="1"/>
    <xf numFmtId="174" fontId="24" fillId="0" borderId="50" xfId="0" applyNumberFormat="1" applyFont="1" applyBorder="1"/>
    <xf numFmtId="43" fontId="23" fillId="0" borderId="0" xfId="0" applyNumberFormat="1" applyFont="1"/>
    <xf numFmtId="174" fontId="24" fillId="0" borderId="45" xfId="0" applyNumberFormat="1" applyFont="1" applyBorder="1"/>
    <xf numFmtId="0" fontId="25" fillId="0" borderId="0" xfId="0" applyFont="1"/>
    <xf numFmtId="176" fontId="24" fillId="0" borderId="45" xfId="3" applyNumberFormat="1" applyFont="1" applyBorder="1"/>
    <xf numFmtId="0" fontId="26" fillId="0" borderId="0" xfId="0" applyFont="1"/>
    <xf numFmtId="0" fontId="24" fillId="0" borderId="73" xfId="0" applyFont="1" applyBorder="1"/>
    <xf numFmtId="0" fontId="24" fillId="0" borderId="45" xfId="0" applyFont="1" applyBorder="1" applyAlignment="1">
      <alignment horizontal="center"/>
    </xf>
    <xf numFmtId="0" fontId="23" fillId="0" borderId="79" xfId="0" applyFont="1" applyBorder="1"/>
    <xf numFmtId="9" fontId="23" fillId="0" borderId="80" xfId="3" applyFont="1" applyBorder="1" applyAlignment="1">
      <alignment horizontal="center"/>
    </xf>
    <xf numFmtId="171" fontId="23" fillId="0" borderId="51" xfId="0" applyNumberFormat="1" applyFont="1" applyBorder="1"/>
    <xf numFmtId="0" fontId="24" fillId="0" borderId="0" xfId="0" applyFont="1" applyBorder="1" applyAlignment="1">
      <alignment horizontal="center"/>
    </xf>
    <xf numFmtId="171" fontId="23" fillId="0" borderId="0" xfId="0" applyNumberFormat="1" applyFont="1" applyBorder="1"/>
    <xf numFmtId="0" fontId="23" fillId="0" borderId="0" xfId="0" applyFont="1" applyFill="1" applyBorder="1"/>
    <xf numFmtId="0" fontId="20" fillId="0" borderId="0" xfId="0" applyFont="1" applyAlignment="1">
      <alignment vertical="top"/>
    </xf>
    <xf numFmtId="0" fontId="21" fillId="0" borderId="72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2" fillId="0" borderId="64" xfId="0" applyFont="1" applyBorder="1"/>
    <xf numFmtId="165" fontId="22" fillId="0" borderId="65" xfId="2" applyFont="1" applyBorder="1"/>
    <xf numFmtId="167" fontId="21" fillId="0" borderId="49" xfId="0" applyNumberFormat="1" applyFont="1" applyBorder="1" applyAlignment="1">
      <alignment horizontal="center"/>
    </xf>
    <xf numFmtId="0" fontId="21" fillId="10" borderId="75" xfId="0" applyFont="1" applyFill="1" applyBorder="1"/>
    <xf numFmtId="177" fontId="21" fillId="0" borderId="45" xfId="0" applyNumberFormat="1" applyFont="1" applyBorder="1"/>
    <xf numFmtId="0" fontId="21" fillId="0" borderId="64" xfId="0" applyFont="1" applyFill="1" applyBorder="1"/>
    <xf numFmtId="165" fontId="24" fillId="0" borderId="65" xfId="0" applyNumberFormat="1" applyFont="1" applyBorder="1"/>
    <xf numFmtId="0" fontId="21" fillId="0" borderId="0" xfId="0" applyFont="1"/>
    <xf numFmtId="177" fontId="21" fillId="0" borderId="49" xfId="0" applyNumberFormat="1" applyFont="1" applyBorder="1"/>
    <xf numFmtId="177" fontId="21" fillId="0" borderId="0" xfId="0" applyNumberFormat="1" applyFont="1" applyBorder="1"/>
    <xf numFmtId="0" fontId="21" fillId="0" borderId="0" xfId="0" applyFont="1" applyFill="1" applyBorder="1"/>
    <xf numFmtId="165" fontId="24" fillId="0" borderId="0" xfId="0" applyNumberFormat="1" applyFont="1" applyBorder="1"/>
    <xf numFmtId="0" fontId="28" fillId="0" borderId="73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1" fillId="0" borderId="77" xfId="0" applyFont="1" applyFill="1" applyBorder="1" applyAlignment="1">
      <alignment horizontal="center"/>
    </xf>
    <xf numFmtId="0" fontId="28" fillId="0" borderId="79" xfId="0" applyFont="1" applyFill="1" applyBorder="1" applyAlignment="1">
      <alignment horizontal="center"/>
    </xf>
    <xf numFmtId="0" fontId="28" fillId="0" borderId="79" xfId="0" applyFont="1" applyFill="1" applyBorder="1"/>
    <xf numFmtId="179" fontId="29" fillId="0" borderId="64" xfId="1" applyNumberFormat="1" applyFont="1" applyFill="1" applyBorder="1"/>
    <xf numFmtId="0" fontId="29" fillId="0" borderId="76" xfId="0" applyFont="1" applyFill="1" applyBorder="1" applyAlignment="1">
      <alignment horizontal="center"/>
    </xf>
    <xf numFmtId="9" fontId="23" fillId="0" borderId="79" xfId="3" applyFont="1" applyBorder="1" applyAlignment="1">
      <alignment horizontal="center"/>
    </xf>
    <xf numFmtId="1" fontId="23" fillId="0" borderId="80" xfId="0" applyNumberFormat="1" applyFont="1" applyBorder="1" applyAlignment="1">
      <alignment horizontal="center"/>
    </xf>
    <xf numFmtId="174" fontId="23" fillId="0" borderId="62" xfId="2" applyNumberFormat="1" applyFont="1" applyBorder="1"/>
    <xf numFmtId="178" fontId="23" fillId="0" borderId="62" xfId="2" applyNumberFormat="1" applyFont="1" applyBorder="1"/>
    <xf numFmtId="0" fontId="29" fillId="0" borderId="0" xfId="0" applyFont="1" applyFill="1" applyBorder="1"/>
    <xf numFmtId="170" fontId="24" fillId="0" borderId="49" xfId="1" applyNumberFormat="1" applyFont="1" applyFill="1" applyBorder="1"/>
    <xf numFmtId="1" fontId="28" fillId="0" borderId="45" xfId="0" applyNumberFormat="1" applyFont="1" applyFill="1" applyBorder="1" applyAlignment="1">
      <alignment horizontal="center"/>
    </xf>
    <xf numFmtId="178" fontId="24" fillId="0" borderId="45" xfId="0" applyNumberFormat="1" applyFont="1" applyBorder="1"/>
    <xf numFmtId="0" fontId="28" fillId="0" borderId="45" xfId="0" applyFont="1" applyFill="1" applyBorder="1" applyAlignment="1">
      <alignment vertical="center" wrapText="1"/>
    </xf>
    <xf numFmtId="10" fontId="28" fillId="0" borderId="5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70" fontId="24" fillId="0" borderId="45" xfId="1" applyNumberFormat="1" applyFont="1" applyBorder="1"/>
    <xf numFmtId="0" fontId="23" fillId="0" borderId="52" xfId="0" applyFont="1" applyBorder="1"/>
    <xf numFmtId="170" fontId="23" fillId="0" borderId="53" xfId="1" applyNumberFormat="1" applyFont="1" applyBorder="1"/>
    <xf numFmtId="170" fontId="23" fillId="0" borderId="54" xfId="0" applyNumberFormat="1" applyFont="1" applyBorder="1"/>
    <xf numFmtId="0" fontId="27" fillId="0" borderId="0" xfId="20" applyFont="1" applyFill="1"/>
    <xf numFmtId="170" fontId="23" fillId="0" borderId="45" xfId="1" applyNumberFormat="1" applyFont="1" applyBorder="1"/>
    <xf numFmtId="0" fontId="23" fillId="0" borderId="0" xfId="0" applyFont="1" applyAlignment="1">
      <alignment horizontal="center"/>
    </xf>
    <xf numFmtId="171" fontId="24" fillId="0" borderId="46" xfId="0" applyNumberFormat="1" applyFont="1" applyBorder="1"/>
    <xf numFmtId="44" fontId="23" fillId="0" borderId="0" xfId="0" applyNumberFormat="1" applyFont="1"/>
    <xf numFmtId="171" fontId="24" fillId="0" borderId="45" xfId="0" applyNumberFormat="1" applyFont="1" applyBorder="1"/>
    <xf numFmtId="171" fontId="24" fillId="0" borderId="0" xfId="0" applyNumberFormat="1" applyFont="1" applyBorder="1"/>
    <xf numFmtId="0" fontId="24" fillId="0" borderId="60" xfId="0" applyFont="1" applyBorder="1" applyAlignment="1">
      <alignment horizontal="center"/>
    </xf>
    <xf numFmtId="9" fontId="23" fillId="0" borderId="61" xfId="3" applyFont="1" applyBorder="1" applyAlignment="1">
      <alignment horizontal="center"/>
    </xf>
    <xf numFmtId="0" fontId="24" fillId="0" borderId="0" xfId="0" applyFont="1"/>
    <xf numFmtId="174" fontId="23" fillId="0" borderId="61" xfId="2" applyNumberFormat="1" applyFont="1" applyBorder="1"/>
    <xf numFmtId="178" fontId="23" fillId="0" borderId="62" xfId="0" applyNumberFormat="1" applyFont="1" applyBorder="1"/>
    <xf numFmtId="178" fontId="23" fillId="0" borderId="63" xfId="0" applyNumberFormat="1" applyFont="1" applyBorder="1"/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left"/>
    </xf>
    <xf numFmtId="180" fontId="31" fillId="0" borderId="62" xfId="0" applyNumberFormat="1" applyFont="1" applyFill="1" applyBorder="1" applyAlignment="1">
      <alignment horizontal="center"/>
    </xf>
    <xf numFmtId="0" fontId="30" fillId="0" borderId="60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0" fontId="24" fillId="0" borderId="45" xfId="0" applyNumberFormat="1" applyFont="1" applyBorder="1" applyAlignment="1">
      <alignment horizontal="center"/>
    </xf>
    <xf numFmtId="180" fontId="24" fillId="0" borderId="50" xfId="0" applyNumberFormat="1" applyFont="1" applyBorder="1" applyAlignment="1">
      <alignment horizontal="center"/>
    </xf>
    <xf numFmtId="171" fontId="24" fillId="0" borderId="82" xfId="0" applyNumberFormat="1" applyFont="1" applyBorder="1"/>
    <xf numFmtId="171" fontId="24" fillId="0" borderId="78" xfId="0" applyNumberFormat="1" applyFont="1" applyBorder="1"/>
    <xf numFmtId="0" fontId="22" fillId="0" borderId="0" xfId="0" applyFont="1" applyBorder="1"/>
    <xf numFmtId="0" fontId="23" fillId="0" borderId="0" xfId="0" applyFont="1" applyBorder="1"/>
    <xf numFmtId="9" fontId="23" fillId="0" borderId="0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3" fillId="0" borderId="64" xfId="0" applyFont="1" applyBorder="1"/>
    <xf numFmtId="0" fontId="23" fillId="0" borderId="72" xfId="0" applyFont="1" applyBorder="1" applyAlignment="1">
      <alignment horizontal="center"/>
    </xf>
    <xf numFmtId="177" fontId="23" fillId="0" borderId="72" xfId="0" applyNumberFormat="1" applyFont="1" applyBorder="1"/>
    <xf numFmtId="177" fontId="23" fillId="0" borderId="65" xfId="1" applyNumberFormat="1" applyFont="1" applyBorder="1"/>
    <xf numFmtId="165" fontId="21" fillId="0" borderId="49" xfId="2" applyFont="1" applyBorder="1"/>
    <xf numFmtId="0" fontId="23" fillId="0" borderId="53" xfId="0" applyFont="1" applyBorder="1" applyAlignment="1">
      <alignment horizontal="center"/>
    </xf>
    <xf numFmtId="177" fontId="23" fillId="0" borderId="53" xfId="0" applyNumberFormat="1" applyFont="1" applyBorder="1"/>
    <xf numFmtId="177" fontId="23" fillId="0" borderId="54" xfId="1" applyNumberFormat="1" applyFont="1" applyBorder="1"/>
    <xf numFmtId="0" fontId="21" fillId="0" borderId="47" xfId="0" applyFont="1" applyBorder="1"/>
    <xf numFmtId="9" fontId="16" fillId="9" borderId="2" xfId="3" applyFill="1" applyBorder="1" applyProtection="1">
      <protection locked="0"/>
    </xf>
    <xf numFmtId="170" fontId="23" fillId="0" borderId="0" xfId="0" applyNumberFormat="1" applyFont="1"/>
    <xf numFmtId="173" fontId="0" fillId="0" borderId="0" xfId="0" applyNumberFormat="1" applyFill="1"/>
    <xf numFmtId="0" fontId="13" fillId="0" borderId="0" xfId="0" applyFont="1" applyFill="1" applyAlignment="1">
      <alignment horizontal="center"/>
    </xf>
    <xf numFmtId="181" fontId="0" fillId="0" borderId="0" xfId="0" applyNumberFormat="1" applyFill="1"/>
    <xf numFmtId="0" fontId="23" fillId="0" borderId="64" xfId="0" applyFont="1" applyFill="1" applyBorder="1"/>
    <xf numFmtId="0" fontId="24" fillId="0" borderId="72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2" fontId="23" fillId="0" borderId="0" xfId="0" applyNumberFormat="1" applyFont="1"/>
    <xf numFmtId="178" fontId="23" fillId="0" borderId="0" xfId="0" applyNumberFormat="1" applyFont="1"/>
    <xf numFmtId="0" fontId="24" fillId="0" borderId="64" xfId="0" applyFont="1" applyFill="1" applyBorder="1" applyAlignment="1">
      <alignment horizontal="center"/>
    </xf>
    <xf numFmtId="170" fontId="16" fillId="0" borderId="0" xfId="1" applyNumberFormat="1" applyFill="1"/>
    <xf numFmtId="0" fontId="13" fillId="0" borderId="45" xfId="0" applyFont="1" applyFill="1" applyBorder="1" applyAlignment="1">
      <alignment horizontal="center"/>
    </xf>
    <xf numFmtId="170" fontId="13" fillId="0" borderId="45" xfId="1" applyNumberFormat="1" applyFont="1" applyFill="1" applyBorder="1"/>
    <xf numFmtId="0" fontId="13" fillId="0" borderId="0" xfId="0" applyFont="1" applyFill="1" applyBorder="1"/>
    <xf numFmtId="182" fontId="0" fillId="0" borderId="12" xfId="2" applyNumberFormat="1" applyFont="1" applyFill="1" applyBorder="1" applyAlignment="1" applyProtection="1">
      <alignment horizontal="right"/>
      <protection locked="0"/>
    </xf>
    <xf numFmtId="182" fontId="0" fillId="0" borderId="14" xfId="2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Border="1" applyAlignment="1">
      <alignment horizontal="center"/>
    </xf>
    <xf numFmtId="0" fontId="24" fillId="0" borderId="83" xfId="0" applyFont="1" applyBorder="1"/>
    <xf numFmtId="165" fontId="23" fillId="0" borderId="84" xfId="0" applyNumberFormat="1" applyFont="1" applyFill="1" applyBorder="1"/>
    <xf numFmtId="165" fontId="23" fillId="0" borderId="85" xfId="0" applyNumberFormat="1" applyFont="1" applyFill="1" applyBorder="1"/>
    <xf numFmtId="0" fontId="24" fillId="0" borderId="47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10" fontId="13" fillId="0" borderId="19" xfId="0" applyNumberFormat="1" applyFont="1" applyFill="1" applyBorder="1" applyAlignment="1" applyProtection="1">
      <alignment horizontal="center"/>
      <protection locked="0"/>
    </xf>
    <xf numFmtId="10" fontId="13" fillId="0" borderId="20" xfId="0" applyNumberFormat="1" applyFont="1" applyFill="1" applyBorder="1" applyAlignment="1" applyProtection="1">
      <alignment horizontal="center"/>
      <protection locked="0"/>
    </xf>
    <xf numFmtId="10" fontId="13" fillId="0" borderId="7" xfId="2" applyNumberFormat="1" applyFont="1" applyFill="1" applyBorder="1" applyAlignment="1" applyProtection="1">
      <alignment horizontal="center"/>
      <protection locked="0"/>
    </xf>
    <xf numFmtId="10" fontId="13" fillId="0" borderId="8" xfId="2" applyNumberFormat="1" applyFont="1" applyFill="1" applyBorder="1" applyAlignment="1" applyProtection="1">
      <alignment horizontal="center"/>
      <protection locked="0"/>
    </xf>
    <xf numFmtId="182" fontId="13" fillId="0" borderId="12" xfId="0" applyNumberFormat="1" applyFont="1" applyFill="1" applyBorder="1" applyAlignment="1" applyProtection="1">
      <alignment horizontal="right"/>
      <protection locked="0"/>
    </xf>
    <xf numFmtId="182" fontId="13" fillId="0" borderId="14" xfId="0" applyNumberFormat="1" applyFont="1" applyFill="1" applyBorder="1" applyAlignment="1" applyProtection="1">
      <alignment horizontal="right"/>
      <protection locked="0"/>
    </xf>
    <xf numFmtId="170" fontId="13" fillId="0" borderId="7" xfId="1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0" fontId="16" fillId="0" borderId="0" xfId="1" applyNumberFormat="1" applyFill="1" applyBorder="1" applyAlignment="1" applyProtection="1">
      <alignment horizontal="center"/>
      <protection locked="0"/>
    </xf>
    <xf numFmtId="170" fontId="16" fillId="0" borderId="0" xfId="1" applyNumberFormat="1" applyFill="1" applyBorder="1" applyAlignment="1" applyProtection="1">
      <protection locked="0"/>
    </xf>
    <xf numFmtId="182" fontId="0" fillId="0" borderId="0" xfId="2" applyNumberFormat="1" applyFont="1" applyFill="1" applyBorder="1" applyAlignment="1" applyProtection="1">
      <alignment horizontal="right"/>
      <protection locked="0"/>
    </xf>
    <xf numFmtId="182" fontId="13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ill="1" applyBorder="1"/>
    <xf numFmtId="10" fontId="13" fillId="0" borderId="0" xfId="0" applyNumberFormat="1" applyFont="1" applyFill="1" applyBorder="1" applyAlignment="1" applyProtection="1">
      <alignment horizontal="center"/>
      <protection locked="0"/>
    </xf>
    <xf numFmtId="10" fontId="13" fillId="0" borderId="0" xfId="2" applyNumberFormat="1" applyFont="1" applyFill="1" applyBorder="1" applyAlignment="1" applyProtection="1">
      <alignment horizontal="center"/>
      <protection locked="0"/>
    </xf>
    <xf numFmtId="0" fontId="13" fillId="0" borderId="4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0" fontId="16" fillId="0" borderId="24" xfId="1" applyNumberFormat="1" applyFill="1" applyBorder="1" applyAlignment="1" applyProtection="1">
      <alignment horizontal="center"/>
      <protection locked="0"/>
    </xf>
    <xf numFmtId="170" fontId="16" fillId="0" borderId="25" xfId="1" applyNumberFormat="1" applyFill="1" applyBorder="1" applyAlignment="1" applyProtection="1">
      <alignment horizontal="center"/>
      <protection locked="0"/>
    </xf>
    <xf numFmtId="165" fontId="0" fillId="0" borderId="25" xfId="2" applyFont="1" applyFill="1" applyBorder="1" applyAlignment="1" applyProtection="1">
      <protection locked="0"/>
    </xf>
    <xf numFmtId="182" fontId="0" fillId="0" borderId="25" xfId="2" applyNumberFormat="1" applyFont="1" applyFill="1" applyBorder="1" applyAlignment="1" applyProtection="1">
      <alignment horizontal="right"/>
      <protection locked="0"/>
    </xf>
    <xf numFmtId="170" fontId="13" fillId="0" borderId="23" xfId="1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>
      <alignment horizontal="center"/>
    </xf>
    <xf numFmtId="165" fontId="0" fillId="0" borderId="0" xfId="2" applyFont="1" applyFill="1" applyBorder="1" applyAlignment="1" applyProtection="1">
      <alignment horizontal="center"/>
      <protection locked="0"/>
    </xf>
    <xf numFmtId="165" fontId="0" fillId="0" borderId="0" xfId="2" applyFont="1" applyFill="1" applyBorder="1" applyAlignment="1" applyProtection="1">
      <protection locked="0"/>
    </xf>
    <xf numFmtId="165" fontId="0" fillId="0" borderId="0" xfId="2" applyFont="1" applyFill="1" applyBorder="1" applyAlignment="1" applyProtection="1">
      <alignment horizontal="center"/>
    </xf>
    <xf numFmtId="9" fontId="0" fillId="0" borderId="0" xfId="3" applyFont="1" applyFill="1" applyBorder="1" applyAlignment="1" applyProtection="1">
      <alignment horizontal="center"/>
      <protection locked="0"/>
    </xf>
    <xf numFmtId="168" fontId="0" fillId="0" borderId="0" xfId="1" applyFont="1" applyFill="1" applyBorder="1" applyAlignment="1" applyProtection="1">
      <alignment horizontal="center"/>
      <protection locked="0"/>
    </xf>
    <xf numFmtId="165" fontId="13" fillId="0" borderId="0" xfId="2" applyFont="1" applyFill="1" applyBorder="1" applyAlignment="1" applyProtection="1">
      <alignment horizontal="center"/>
      <protection locked="0"/>
    </xf>
    <xf numFmtId="9" fontId="0" fillId="0" borderId="0" xfId="3" applyFont="1" applyFill="1" applyBorder="1" applyAlignment="1" applyProtection="1">
      <protection locked="0"/>
    </xf>
    <xf numFmtId="165" fontId="0" fillId="0" borderId="0" xfId="2" applyFont="1" applyFill="1" applyBorder="1" applyAlignment="1" applyProtection="1"/>
    <xf numFmtId="0" fontId="13" fillId="0" borderId="1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170" fontId="16" fillId="0" borderId="17" xfId="1" applyNumberFormat="1" applyFill="1" applyBorder="1" applyAlignment="1" applyProtection="1">
      <alignment horizontal="center"/>
      <protection locked="0"/>
    </xf>
    <xf numFmtId="0" fontId="13" fillId="0" borderId="86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170" fontId="16" fillId="0" borderId="86" xfId="1" applyNumberFormat="1" applyFill="1" applyBorder="1" applyAlignment="1" applyProtection="1">
      <alignment horizontal="center"/>
      <protection locked="0"/>
    </xf>
    <xf numFmtId="165" fontId="0" fillId="0" borderId="86" xfId="2" applyFont="1" applyFill="1" applyBorder="1" applyAlignment="1" applyProtection="1">
      <protection locked="0"/>
    </xf>
    <xf numFmtId="182" fontId="0" fillId="0" borderId="86" xfId="2" applyNumberFormat="1" applyFont="1" applyFill="1" applyBorder="1" applyAlignment="1" applyProtection="1">
      <alignment horizontal="right"/>
      <protection locked="0"/>
    </xf>
    <xf numFmtId="170" fontId="13" fillId="0" borderId="86" xfId="1" applyNumberFormat="1" applyFont="1" applyFill="1" applyBorder="1" applyAlignment="1" applyProtection="1">
      <alignment horizontal="center"/>
      <protection locked="0"/>
    </xf>
    <xf numFmtId="170" fontId="0" fillId="0" borderId="27" xfId="2" applyNumberFormat="1" applyFont="1" applyFill="1" applyBorder="1" applyAlignment="1" applyProtection="1">
      <alignment horizontal="center"/>
      <protection locked="0"/>
    </xf>
    <xf numFmtId="170" fontId="0" fillId="0" borderId="27" xfId="2" applyNumberFormat="1" applyFont="1" applyFill="1" applyBorder="1" applyAlignment="1" applyProtection="1">
      <protection locked="0"/>
    </xf>
    <xf numFmtId="170" fontId="0" fillId="0" borderId="88" xfId="2" applyNumberFormat="1" applyFont="1" applyFill="1" applyBorder="1" applyAlignment="1" applyProtection="1">
      <alignment horizontal="center"/>
      <protection locked="0"/>
    </xf>
    <xf numFmtId="170" fontId="0" fillId="0" borderId="87" xfId="2" applyNumberFormat="1" applyFont="1" applyFill="1" applyBorder="1" applyAlignment="1" applyProtection="1">
      <alignment horizontal="center"/>
      <protection locked="0"/>
    </xf>
    <xf numFmtId="183" fontId="16" fillId="0" borderId="19" xfId="1" applyNumberFormat="1" applyFill="1" applyBorder="1" applyAlignment="1" applyProtection="1">
      <alignment horizontal="center"/>
      <protection locked="0"/>
    </xf>
    <xf numFmtId="183" fontId="16" fillId="0" borderId="20" xfId="1" applyNumberFormat="1" applyFill="1" applyBorder="1" applyAlignment="1" applyProtection="1">
      <alignment horizontal="center"/>
      <protection locked="0"/>
    </xf>
    <xf numFmtId="0" fontId="24" fillId="0" borderId="0" xfId="0" applyFont="1" applyBorder="1"/>
    <xf numFmtId="0" fontId="31" fillId="0" borderId="63" xfId="0" applyFont="1" applyFill="1" applyBorder="1" applyAlignment="1">
      <alignment horizontal="left"/>
    </xf>
    <xf numFmtId="180" fontId="31" fillId="0" borderId="63" xfId="0" applyNumberFormat="1" applyFont="1" applyFill="1" applyBorder="1" applyAlignment="1">
      <alignment horizontal="center"/>
    </xf>
    <xf numFmtId="0" fontId="24" fillId="0" borderId="81" xfId="0" applyFont="1" applyBorder="1" applyAlignment="1">
      <alignment horizontal="center"/>
    </xf>
    <xf numFmtId="171" fontId="23" fillId="0" borderId="89" xfId="0" applyNumberFormat="1" applyFont="1" applyBorder="1"/>
    <xf numFmtId="0" fontId="23" fillId="0" borderId="83" xfId="0" applyFont="1" applyBorder="1" applyAlignment="1">
      <alignment horizontal="left" vertical="center"/>
    </xf>
    <xf numFmtId="0" fontId="0" fillId="0" borderId="6" xfId="0" applyFont="1" applyFill="1" applyBorder="1"/>
    <xf numFmtId="170" fontId="16" fillId="0" borderId="12" xfId="1" applyNumberFormat="1" applyFill="1" applyBorder="1" applyAlignment="1" applyProtection="1">
      <alignment horizontal="center"/>
    </xf>
    <xf numFmtId="170" fontId="16" fillId="0" borderId="14" xfId="1" applyNumberFormat="1" applyFill="1" applyBorder="1" applyAlignment="1" applyProtection="1">
      <alignment horizontal="center"/>
    </xf>
    <xf numFmtId="171" fontId="24" fillId="0" borderId="90" xfId="0" applyNumberFormat="1" applyFont="1" applyBorder="1"/>
    <xf numFmtId="9" fontId="0" fillId="0" borderId="70" xfId="3" applyFont="1" applyFill="1" applyBorder="1" applyAlignment="1">
      <alignment horizontal="center"/>
    </xf>
    <xf numFmtId="0" fontId="34" fillId="0" borderId="0" xfId="0" applyFont="1"/>
    <xf numFmtId="0" fontId="23" fillId="0" borderId="65" xfId="0" applyFont="1" applyBorder="1"/>
    <xf numFmtId="176" fontId="23" fillId="0" borderId="80" xfId="3" applyNumberFormat="1" applyFont="1" applyBorder="1" applyAlignment="1">
      <alignment horizontal="center"/>
    </xf>
    <xf numFmtId="170" fontId="13" fillId="0" borderId="45" xfId="1" applyNumberFormat="1" applyFont="1" applyBorder="1" applyAlignment="1">
      <alignment horizontal="center"/>
    </xf>
    <xf numFmtId="0" fontId="22" fillId="0" borderId="91" xfId="0" applyFont="1" applyBorder="1"/>
    <xf numFmtId="0" fontId="22" fillId="0" borderId="73" xfId="0" applyFont="1" applyBorder="1"/>
    <xf numFmtId="0" fontId="23" fillId="0" borderId="61" xfId="0" applyFont="1" applyBorder="1" applyAlignment="1">
      <alignment horizontal="center"/>
    </xf>
    <xf numFmtId="9" fontId="13" fillId="0" borderId="45" xfId="3" applyFont="1" applyBorder="1" applyAlignment="1">
      <alignment horizontal="center"/>
    </xf>
    <xf numFmtId="170" fontId="13" fillId="0" borderId="46" xfId="1" applyNumberFormat="1" applyFont="1" applyFill="1" applyBorder="1"/>
    <xf numFmtId="170" fontId="16" fillId="0" borderId="85" xfId="1" applyNumberFormat="1" applyFill="1" applyBorder="1"/>
    <xf numFmtId="0" fontId="13" fillId="0" borderId="4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170" fontId="13" fillId="0" borderId="12" xfId="1" applyNumberFormat="1" applyFont="1" applyFill="1" applyBorder="1" applyAlignment="1" applyProtection="1">
      <alignment horizontal="center"/>
      <protection locked="0"/>
    </xf>
    <xf numFmtId="170" fontId="13" fillId="0" borderId="14" xfId="1" applyNumberFormat="1" applyFont="1" applyFill="1" applyBorder="1" applyAlignment="1" applyProtection="1">
      <alignment horizontal="center"/>
      <protection locked="0"/>
    </xf>
    <xf numFmtId="170" fontId="16" fillId="0" borderId="51" xfId="1" applyNumberFormat="1" applyFill="1" applyBorder="1"/>
    <xf numFmtId="0" fontId="13" fillId="0" borderId="46" xfId="0" applyFont="1" applyFill="1" applyBorder="1" applyAlignment="1">
      <alignment horizontal="center"/>
    </xf>
    <xf numFmtId="0" fontId="0" fillId="0" borderId="61" xfId="0" applyFill="1" applyBorder="1"/>
    <xf numFmtId="0" fontId="36" fillId="0" borderId="0" xfId="0" applyFont="1" applyFill="1" applyBorder="1"/>
    <xf numFmtId="165" fontId="24" fillId="0" borderId="76" xfId="0" applyNumberFormat="1" applyFont="1" applyBorder="1"/>
    <xf numFmtId="0" fontId="23" fillId="0" borderId="72" xfId="0" applyFont="1" applyBorder="1"/>
    <xf numFmtId="3" fontId="23" fillId="0" borderId="0" xfId="0" applyNumberFormat="1" applyFont="1" applyBorder="1"/>
    <xf numFmtId="173" fontId="22" fillId="0" borderId="46" xfId="2" applyNumberFormat="1" applyFont="1" applyBorder="1"/>
    <xf numFmtId="0" fontId="23" fillId="0" borderId="46" xfId="0" applyFont="1" applyBorder="1"/>
    <xf numFmtId="0" fontId="23" fillId="0" borderId="45" xfId="0" applyFont="1" applyBorder="1"/>
    <xf numFmtId="165" fontId="22" fillId="0" borderId="54" xfId="2" applyFont="1" applyBorder="1"/>
    <xf numFmtId="0" fontId="23" fillId="0" borderId="47" xfId="0" applyFont="1" applyBorder="1"/>
    <xf numFmtId="1" fontId="23" fillId="0" borderId="49" xfId="0" applyNumberFormat="1" applyFont="1" applyBorder="1"/>
    <xf numFmtId="170" fontId="16" fillId="11" borderId="12" xfId="1" applyNumberFormat="1" applyFill="1" applyBorder="1" applyAlignment="1" applyProtection="1">
      <alignment horizontal="center"/>
      <protection locked="0"/>
    </xf>
    <xf numFmtId="170" fontId="16" fillId="11" borderId="14" xfId="1" applyNumberFormat="1" applyFill="1" applyBorder="1" applyAlignment="1" applyProtection="1">
      <alignment horizontal="center"/>
      <protection locked="0"/>
    </xf>
    <xf numFmtId="165" fontId="37" fillId="0" borderId="0" xfId="2" applyFont="1" applyFill="1" applyBorder="1" applyAlignment="1" applyProtection="1">
      <alignment horizontal="left"/>
      <protection locked="0"/>
    </xf>
    <xf numFmtId="170" fontId="13" fillId="0" borderId="12" xfId="1" applyNumberFormat="1" applyFont="1" applyFill="1" applyBorder="1" applyAlignment="1" applyProtection="1">
      <alignment horizontal="center"/>
    </xf>
    <xf numFmtId="170" fontId="13" fillId="0" borderId="14" xfId="1" applyNumberFormat="1" applyFont="1" applyFill="1" applyBorder="1" applyAlignment="1" applyProtection="1">
      <alignment horizontal="center"/>
    </xf>
    <xf numFmtId="0" fontId="13" fillId="13" borderId="21" xfId="0" applyFont="1" applyFill="1" applyBorder="1"/>
    <xf numFmtId="0" fontId="22" fillId="0" borderId="83" xfId="0" applyFont="1" applyBorder="1"/>
    <xf numFmtId="171" fontId="23" fillId="0" borderId="84" xfId="2" applyNumberFormat="1" applyFont="1" applyBorder="1"/>
    <xf numFmtId="0" fontId="23" fillId="0" borderId="84" xfId="0" applyFont="1" applyBorder="1" applyAlignment="1">
      <alignment horizontal="center"/>
    </xf>
    <xf numFmtId="171" fontId="23" fillId="0" borderId="85" xfId="0" applyNumberFormat="1" applyFont="1" applyBorder="1"/>
    <xf numFmtId="171" fontId="23" fillId="0" borderId="84" xfId="2" applyNumberFormat="1" applyFont="1" applyFill="1" applyBorder="1"/>
    <xf numFmtId="0" fontId="21" fillId="0" borderId="83" xfId="0" applyFont="1" applyBorder="1" applyAlignment="1">
      <alignment horizontal="center"/>
    </xf>
    <xf numFmtId="0" fontId="21" fillId="0" borderId="84" xfId="0" applyFont="1" applyBorder="1"/>
    <xf numFmtId="170" fontId="23" fillId="0" borderId="84" xfId="1" applyNumberFormat="1" applyFont="1" applyBorder="1" applyAlignment="1">
      <alignment horizontal="center"/>
    </xf>
    <xf numFmtId="171" fontId="23" fillId="0" borderId="83" xfId="0" applyNumberFormat="1" applyFont="1" applyBorder="1"/>
    <xf numFmtId="171" fontId="23" fillId="0" borderId="84" xfId="0" applyNumberFormat="1" applyFont="1" applyBorder="1"/>
    <xf numFmtId="0" fontId="23" fillId="0" borderId="83" xfId="0" applyFont="1" applyBorder="1"/>
    <xf numFmtId="167" fontId="23" fillId="0" borderId="84" xfId="0" applyNumberFormat="1" applyFont="1" applyBorder="1" applyAlignment="1">
      <alignment horizontal="center"/>
    </xf>
    <xf numFmtId="177" fontId="22" fillId="0" borderId="85" xfId="0" applyNumberFormat="1" applyFont="1" applyBorder="1"/>
    <xf numFmtId="0" fontId="0" fillId="13" borderId="21" xfId="0" applyFill="1" applyBorder="1"/>
    <xf numFmtId="1" fontId="0" fillId="0" borderId="12" xfId="2" applyNumberFormat="1" applyFont="1" applyFill="1" applyBorder="1" applyAlignment="1" applyProtection="1">
      <alignment horizontal="center"/>
      <protection locked="0"/>
    </xf>
    <xf numFmtId="1" fontId="0" fillId="0" borderId="12" xfId="2" applyNumberFormat="1" applyFont="1" applyFill="1" applyBorder="1" applyAlignment="1" applyProtection="1">
      <alignment horizontal="center"/>
    </xf>
    <xf numFmtId="1" fontId="0" fillId="0" borderId="12" xfId="2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/>
    </xf>
    <xf numFmtId="170" fontId="16" fillId="0" borderId="10" xfId="1" applyNumberFormat="1" applyFill="1" applyBorder="1" applyAlignment="1" applyProtection="1">
      <alignment horizontal="center"/>
    </xf>
    <xf numFmtId="170" fontId="16" fillId="0" borderId="24" xfId="1" applyNumberFormat="1" applyFill="1" applyBorder="1" applyAlignment="1" applyProtection="1">
      <alignment horizontal="center"/>
    </xf>
    <xf numFmtId="170" fontId="16" fillId="0" borderId="13" xfId="1" applyNumberFormat="1" applyFill="1" applyBorder="1" applyAlignment="1" applyProtection="1">
      <alignment horizontal="center"/>
    </xf>
    <xf numFmtId="170" fontId="16" fillId="0" borderId="25" xfId="1" applyNumberFormat="1" applyFill="1" applyBorder="1" applyAlignment="1" applyProtection="1">
      <alignment horizontal="center"/>
    </xf>
    <xf numFmtId="170" fontId="16" fillId="0" borderId="7" xfId="1" applyNumberFormat="1" applyFill="1" applyBorder="1" applyAlignment="1" applyProtection="1">
      <alignment horizontal="center"/>
      <protection locked="0"/>
    </xf>
    <xf numFmtId="170" fontId="16" fillId="0" borderId="8" xfId="1" applyNumberFormat="1" applyFill="1" applyBorder="1" applyAlignment="1" applyProtection="1">
      <alignment horizontal="center"/>
      <protection locked="0"/>
    </xf>
    <xf numFmtId="170" fontId="16" fillId="0" borderId="31" xfId="1" applyNumberFormat="1" applyFill="1" applyBorder="1" applyAlignment="1" applyProtection="1">
      <alignment horizontal="center"/>
      <protection locked="0"/>
    </xf>
    <xf numFmtId="170" fontId="16" fillId="0" borderId="31" xfId="1" applyNumberFormat="1" applyFill="1" applyBorder="1" applyAlignment="1" applyProtection="1">
      <alignment horizontal="center"/>
    </xf>
    <xf numFmtId="170" fontId="16" fillId="0" borderId="29" xfId="1" applyNumberFormat="1" applyFill="1" applyBorder="1" applyAlignment="1" applyProtection="1">
      <alignment horizontal="center"/>
      <protection locked="0"/>
    </xf>
    <xf numFmtId="170" fontId="16" fillId="0" borderId="12" xfId="1" applyNumberFormat="1" applyFill="1" applyBorder="1" applyAlignment="1" applyProtection="1">
      <protection locked="0"/>
    </xf>
    <xf numFmtId="0" fontId="38" fillId="0" borderId="83" xfId="0" applyFont="1" applyFill="1" applyBorder="1" applyAlignment="1">
      <alignment horizontal="center"/>
    </xf>
    <xf numFmtId="0" fontId="38" fillId="0" borderId="84" xfId="0" applyFont="1" applyFill="1" applyBorder="1" applyAlignment="1">
      <alignment horizontal="center"/>
    </xf>
    <xf numFmtId="0" fontId="38" fillId="0" borderId="85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right"/>
    </xf>
    <xf numFmtId="0" fontId="0" fillId="15" borderId="78" xfId="0" applyFill="1" applyBorder="1"/>
    <xf numFmtId="0" fontId="13" fillId="0" borderId="50" xfId="0" applyFont="1" applyFill="1" applyBorder="1" applyAlignment="1"/>
    <xf numFmtId="0" fontId="0" fillId="15" borderId="50" xfId="0" applyFill="1" applyBorder="1"/>
    <xf numFmtId="170" fontId="0" fillId="0" borderId="12" xfId="1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/>
    <xf numFmtId="0" fontId="37" fillId="0" borderId="0" xfId="0" applyFont="1" applyFill="1"/>
    <xf numFmtId="170" fontId="16" fillId="13" borderId="12" xfId="1" applyNumberFormat="1" applyFill="1" applyBorder="1" applyAlignment="1" applyProtection="1">
      <alignment horizontal="center"/>
      <protection locked="0"/>
    </xf>
    <xf numFmtId="170" fontId="13" fillId="13" borderId="12" xfId="1" applyNumberFormat="1" applyFont="1" applyFill="1" applyBorder="1" applyAlignment="1" applyProtection="1">
      <alignment horizontal="center"/>
      <protection locked="0"/>
    </xf>
    <xf numFmtId="170" fontId="13" fillId="13" borderId="14" xfId="1" applyNumberFormat="1" applyFont="1" applyFill="1" applyBorder="1" applyAlignment="1" applyProtection="1">
      <alignment horizontal="center"/>
      <protection locked="0"/>
    </xf>
    <xf numFmtId="0" fontId="13" fillId="13" borderId="30" xfId="0" applyFont="1" applyFill="1" applyBorder="1"/>
    <xf numFmtId="0" fontId="13" fillId="0" borderId="92" xfId="0" applyFont="1" applyBorder="1"/>
    <xf numFmtId="9" fontId="13" fillId="3" borderId="92" xfId="3" applyFont="1" applyFill="1" applyBorder="1" applyAlignment="1" applyProtection="1"/>
    <xf numFmtId="0" fontId="13" fillId="3" borderId="92" xfId="0" applyFont="1" applyFill="1" applyBorder="1" applyAlignment="1">
      <alignment horizontal="center"/>
    </xf>
    <xf numFmtId="164" fontId="13" fillId="3" borderId="92" xfId="0" applyNumberFormat="1" applyFont="1" applyFill="1" applyBorder="1" applyAlignment="1">
      <alignment horizontal="center"/>
    </xf>
    <xf numFmtId="0" fontId="0" fillId="9" borderId="93" xfId="0" applyFill="1" applyBorder="1" applyProtection="1">
      <protection locked="0"/>
    </xf>
    <xf numFmtId="0" fontId="0" fillId="9" borderId="94" xfId="0" applyFill="1" applyBorder="1"/>
    <xf numFmtId="0" fontId="0" fillId="9" borderId="95" xfId="0" applyFill="1" applyBorder="1"/>
    <xf numFmtId="170" fontId="16" fillId="9" borderId="92" xfId="1" applyNumberFormat="1" applyFill="1" applyBorder="1" applyProtection="1">
      <protection locked="0"/>
    </xf>
    <xf numFmtId="2" fontId="0" fillId="9" borderId="92" xfId="0" applyNumberFormat="1" applyFill="1" applyBorder="1" applyProtection="1">
      <protection locked="0"/>
    </xf>
    <xf numFmtId="0" fontId="0" fillId="9" borderId="92" xfId="0" applyFill="1" applyBorder="1" applyProtection="1">
      <protection locked="0"/>
    </xf>
    <xf numFmtId="0" fontId="0" fillId="9" borderId="96" xfId="0" applyFill="1" applyBorder="1" applyProtection="1">
      <protection locked="0"/>
    </xf>
    <xf numFmtId="0" fontId="22" fillId="0" borderId="97" xfId="0" applyFont="1" applyBorder="1"/>
    <xf numFmtId="171" fontId="23" fillId="0" borderId="98" xfId="2" applyNumberFormat="1" applyFont="1" applyBorder="1"/>
    <xf numFmtId="0" fontId="23" fillId="0" borderId="98" xfId="0" applyFont="1" applyBorder="1" applyAlignment="1">
      <alignment horizontal="center"/>
    </xf>
    <xf numFmtId="171" fontId="23" fillId="0" borderId="99" xfId="0" applyNumberFormat="1" applyFont="1" applyBorder="1"/>
    <xf numFmtId="171" fontId="23" fillId="0" borderId="100" xfId="0" applyNumberFormat="1" applyFont="1" applyBorder="1"/>
    <xf numFmtId="171" fontId="23" fillId="0" borderId="101" xfId="0" applyNumberFormat="1" applyFont="1" applyBorder="1"/>
    <xf numFmtId="171" fontId="23" fillId="0" borderId="97" xfId="0" applyNumberFormat="1" applyFont="1" applyBorder="1"/>
    <xf numFmtId="0" fontId="23" fillId="0" borderId="99" xfId="0" applyFont="1" applyBorder="1"/>
    <xf numFmtId="0" fontId="23" fillId="0" borderId="97" xfId="0" applyFont="1" applyBorder="1" applyAlignment="1">
      <alignment horizontal="left" vertical="center"/>
    </xf>
    <xf numFmtId="0" fontId="22" fillId="0" borderId="102" xfId="0" applyFont="1" applyBorder="1"/>
    <xf numFmtId="0" fontId="23" fillId="0" borderId="103" xfId="0" applyFont="1" applyBorder="1" applyAlignment="1">
      <alignment horizontal="center"/>
    </xf>
    <xf numFmtId="9" fontId="23" fillId="0" borderId="103" xfId="3" applyFont="1" applyBorder="1" applyAlignment="1">
      <alignment horizontal="center"/>
    </xf>
    <xf numFmtId="0" fontId="22" fillId="0" borderId="104" xfId="0" applyFont="1" applyBorder="1"/>
    <xf numFmtId="0" fontId="23" fillId="0" borderId="105" xfId="0" applyFont="1" applyBorder="1" applyAlignment="1">
      <alignment horizontal="center"/>
    </xf>
    <xf numFmtId="9" fontId="23" fillId="0" borderId="105" xfId="3" applyFont="1" applyBorder="1" applyAlignment="1">
      <alignment horizontal="center"/>
    </xf>
    <xf numFmtId="174" fontId="23" fillId="0" borderId="103" xfId="2" applyNumberFormat="1" applyFont="1" applyBorder="1"/>
    <xf numFmtId="178" fontId="23" fillId="0" borderId="106" xfId="0" applyNumberFormat="1" applyFont="1" applyBorder="1"/>
    <xf numFmtId="0" fontId="21" fillId="0" borderId="97" xfId="0" applyFont="1" applyBorder="1" applyAlignment="1">
      <alignment horizontal="center"/>
    </xf>
    <xf numFmtId="0" fontId="21" fillId="0" borderId="98" xfId="0" applyFont="1" applyBorder="1"/>
    <xf numFmtId="170" fontId="23" fillId="0" borderId="98" xfId="1" applyNumberFormat="1" applyFont="1" applyBorder="1" applyAlignment="1">
      <alignment horizontal="center"/>
    </xf>
    <xf numFmtId="174" fontId="23" fillId="0" borderId="107" xfId="2" applyNumberFormat="1" applyFont="1" applyBorder="1"/>
    <xf numFmtId="0" fontId="23" fillId="0" borderId="100" xfId="0" applyFont="1" applyBorder="1" applyAlignment="1">
      <alignment horizontal="center"/>
    </xf>
    <xf numFmtId="0" fontId="30" fillId="0" borderId="103" xfId="0" applyFont="1" applyFill="1" applyBorder="1" applyAlignment="1">
      <alignment horizontal="center"/>
    </xf>
    <xf numFmtId="0" fontId="31" fillId="0" borderId="106" xfId="0" applyFont="1" applyFill="1" applyBorder="1" applyAlignment="1">
      <alignment horizontal="left"/>
    </xf>
    <xf numFmtId="180" fontId="31" fillId="0" borderId="106" xfId="0" applyNumberFormat="1" applyFont="1" applyFill="1" applyBorder="1" applyAlignment="1">
      <alignment horizontal="center"/>
    </xf>
    <xf numFmtId="0" fontId="30" fillId="0" borderId="105" xfId="0" applyFont="1" applyFill="1" applyBorder="1" applyAlignment="1">
      <alignment horizontal="center"/>
    </xf>
    <xf numFmtId="0" fontId="31" fillId="0" borderId="108" xfId="0" applyFont="1" applyFill="1" applyBorder="1" applyAlignment="1">
      <alignment horizontal="left"/>
    </xf>
    <xf numFmtId="180" fontId="31" fillId="0" borderId="108" xfId="0" applyNumberFormat="1" applyFont="1" applyFill="1" applyBorder="1" applyAlignment="1">
      <alignment horizontal="center"/>
    </xf>
    <xf numFmtId="0" fontId="24" fillId="0" borderId="97" xfId="0" applyFont="1" applyBorder="1"/>
    <xf numFmtId="171" fontId="23" fillId="0" borderId="98" xfId="0" applyNumberFormat="1" applyFont="1" applyBorder="1"/>
    <xf numFmtId="0" fontId="30" fillId="0" borderId="107" xfId="0" applyFont="1" applyFill="1" applyBorder="1" applyAlignment="1">
      <alignment horizontal="center"/>
    </xf>
    <xf numFmtId="0" fontId="23" fillId="0" borderId="102" xfId="0" applyFont="1" applyBorder="1"/>
    <xf numFmtId="171" fontId="23" fillId="0" borderId="109" xfId="0" applyNumberFormat="1" applyFont="1" applyBorder="1"/>
    <xf numFmtId="0" fontId="23" fillId="0" borderId="104" xfId="0" applyFont="1" applyBorder="1"/>
    <xf numFmtId="174" fontId="23" fillId="0" borderId="97" xfId="0" applyNumberFormat="1" applyFont="1" applyBorder="1"/>
    <xf numFmtId="174" fontId="23" fillId="0" borderId="98" xfId="0" applyNumberFormat="1" applyFont="1" applyBorder="1"/>
    <xf numFmtId="171" fontId="23" fillId="0" borderId="110" xfId="0" applyNumberFormat="1" applyFont="1" applyBorder="1"/>
    <xf numFmtId="176" fontId="23" fillId="0" borderId="103" xfId="3" applyNumberFormat="1" applyFont="1" applyBorder="1" applyAlignment="1">
      <alignment horizontal="center"/>
    </xf>
    <xf numFmtId="176" fontId="23" fillId="0" borderId="105" xfId="3" applyNumberFormat="1" applyFont="1" applyBorder="1" applyAlignment="1">
      <alignment horizontal="center"/>
    </xf>
    <xf numFmtId="174" fontId="23" fillId="0" borderId="97" xfId="0" applyNumberFormat="1" applyFont="1" applyFill="1" applyBorder="1"/>
    <xf numFmtId="174" fontId="23" fillId="0" borderId="98" xfId="0" applyNumberFormat="1" applyFont="1" applyFill="1" applyBorder="1"/>
    <xf numFmtId="171" fontId="23" fillId="0" borderId="99" xfId="0" applyNumberFormat="1" applyFont="1" applyFill="1" applyBorder="1"/>
    <xf numFmtId="171" fontId="23" fillId="0" borderId="110" xfId="0" applyNumberFormat="1" applyFont="1" applyFill="1" applyBorder="1"/>
    <xf numFmtId="171" fontId="23" fillId="0" borderId="98" xfId="0" applyNumberFormat="1" applyFont="1" applyFill="1" applyBorder="1"/>
    <xf numFmtId="0" fontId="23" fillId="0" borderId="99" xfId="0" applyFont="1" applyBorder="1" applyAlignment="1">
      <alignment horizontal="center"/>
    </xf>
    <xf numFmtId="0" fontId="23" fillId="0" borderId="97" xfId="0" applyFont="1" applyBorder="1"/>
    <xf numFmtId="0" fontId="27" fillId="0" borderId="99" xfId="20" applyFont="1" applyBorder="1"/>
    <xf numFmtId="0" fontId="21" fillId="0" borderId="97" xfId="0" applyFont="1" applyFill="1" applyBorder="1"/>
    <xf numFmtId="165" fontId="24" fillId="0" borderId="99" xfId="0" applyNumberFormat="1" applyFont="1" applyBorder="1"/>
    <xf numFmtId="0" fontId="27" fillId="0" borderId="101" xfId="20" applyFont="1" applyBorder="1"/>
    <xf numFmtId="165" fontId="24" fillId="0" borderId="101" xfId="0" applyNumberFormat="1" applyFont="1" applyBorder="1"/>
    <xf numFmtId="0" fontId="23" fillId="10" borderId="97" xfId="0" applyFont="1" applyFill="1" applyBorder="1"/>
    <xf numFmtId="165" fontId="22" fillId="0" borderId="98" xfId="2" applyFont="1" applyBorder="1"/>
    <xf numFmtId="165" fontId="22" fillId="0" borderId="99" xfId="2" applyFont="1" applyBorder="1"/>
    <xf numFmtId="177" fontId="23" fillId="0" borderId="98" xfId="0" applyNumberFormat="1" applyFont="1" applyBorder="1"/>
    <xf numFmtId="177" fontId="23" fillId="0" borderId="99" xfId="1" applyNumberFormat="1" applyFont="1" applyBorder="1"/>
    <xf numFmtId="0" fontId="24" fillId="0" borderId="98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3" fontId="23" fillId="0" borderId="99" xfId="0" applyNumberFormat="1" applyFont="1" applyBorder="1"/>
    <xf numFmtId="0" fontId="28" fillId="0" borderId="102" xfId="0" applyFont="1" applyFill="1" applyBorder="1" applyAlignment="1">
      <alignment horizontal="center"/>
    </xf>
    <xf numFmtId="0" fontId="28" fillId="0" borderId="102" xfId="0" applyFont="1" applyFill="1" applyBorder="1"/>
    <xf numFmtId="0" fontId="29" fillId="0" borderId="100" xfId="0" applyFont="1" applyFill="1" applyBorder="1" applyAlignment="1">
      <alignment horizontal="center"/>
    </xf>
    <xf numFmtId="9" fontId="23" fillId="0" borderId="102" xfId="3" applyFont="1" applyBorder="1" applyAlignment="1">
      <alignment horizontal="center"/>
    </xf>
    <xf numFmtId="1" fontId="23" fillId="0" borderId="103" xfId="0" applyNumberFormat="1" applyFont="1" applyBorder="1" applyAlignment="1">
      <alignment horizontal="center"/>
    </xf>
    <xf numFmtId="174" fontId="23" fillId="0" borderId="106" xfId="2" applyNumberFormat="1" applyFont="1" applyBorder="1"/>
    <xf numFmtId="178" fontId="23" fillId="0" borderId="106" xfId="2" applyNumberFormat="1" applyFont="1" applyBorder="1"/>
    <xf numFmtId="0" fontId="28" fillId="0" borderId="104" xfId="0" applyFont="1" applyFill="1" applyBorder="1" applyAlignment="1">
      <alignment horizontal="center"/>
    </xf>
    <xf numFmtId="0" fontId="28" fillId="0" borderId="104" xfId="0" applyFont="1" applyFill="1" applyBorder="1"/>
    <xf numFmtId="179" fontId="29" fillId="0" borderId="97" xfId="1" applyNumberFormat="1" applyFont="1" applyFill="1" applyBorder="1"/>
    <xf numFmtId="0" fontId="29" fillId="0" borderId="101" xfId="0" applyFont="1" applyFill="1" applyBorder="1" applyAlignment="1">
      <alignment horizontal="center"/>
    </xf>
    <xf numFmtId="9" fontId="23" fillId="0" borderId="104" xfId="3" applyFont="1" applyBorder="1" applyAlignment="1">
      <alignment horizontal="center"/>
    </xf>
    <xf numFmtId="1" fontId="23" fillId="0" borderId="107" xfId="0" applyNumberFormat="1" applyFont="1" applyBorder="1" applyAlignment="1">
      <alignment horizontal="center"/>
    </xf>
    <xf numFmtId="0" fontId="0" fillId="0" borderId="103" xfId="0" applyFill="1" applyBorder="1"/>
    <xf numFmtId="170" fontId="16" fillId="0" borderId="109" xfId="1" applyNumberFormat="1" applyFill="1" applyBorder="1"/>
    <xf numFmtId="0" fontId="0" fillId="0" borderId="105" xfId="0" applyFill="1" applyBorder="1"/>
    <xf numFmtId="170" fontId="16" fillId="0" borderId="110" xfId="1" applyNumberFormat="1" applyFill="1" applyBorder="1"/>
    <xf numFmtId="170" fontId="16" fillId="0" borderId="99" xfId="1" applyNumberFormat="1" applyFill="1" applyBorder="1"/>
    <xf numFmtId="0" fontId="13" fillId="0" borderId="111" xfId="0" applyFont="1" applyFill="1" applyBorder="1"/>
    <xf numFmtId="173" fontId="13" fillId="0" borderId="112" xfId="2" applyNumberFormat="1" applyFont="1" applyFill="1" applyBorder="1" applyAlignment="1" applyProtection="1">
      <protection locked="0"/>
    </xf>
    <xf numFmtId="173" fontId="13" fillId="0" borderId="113" xfId="2" applyNumberFormat="1" applyFont="1" applyFill="1" applyBorder="1" applyAlignment="1" applyProtection="1">
      <protection locked="0"/>
    </xf>
    <xf numFmtId="173" fontId="0" fillId="0" borderId="112" xfId="2" applyNumberFormat="1" applyFont="1" applyFill="1" applyBorder="1" applyAlignment="1" applyProtection="1">
      <protection locked="0"/>
    </xf>
    <xf numFmtId="173" fontId="0" fillId="0" borderId="113" xfId="2" applyNumberFormat="1" applyFont="1" applyFill="1" applyBorder="1" applyAlignment="1" applyProtection="1">
      <protection locked="0"/>
    </xf>
    <xf numFmtId="0" fontId="13" fillId="0" borderId="114" xfId="0" applyFont="1" applyFill="1" applyBorder="1" applyAlignment="1">
      <alignment horizontal="left"/>
    </xf>
    <xf numFmtId="173" fontId="13" fillId="0" borderId="115" xfId="2" applyNumberFormat="1" applyFont="1" applyFill="1" applyBorder="1" applyAlignment="1" applyProtection="1">
      <protection locked="0"/>
    </xf>
    <xf numFmtId="173" fontId="0" fillId="0" borderId="115" xfId="2" applyNumberFormat="1" applyFont="1" applyFill="1" applyBorder="1" applyAlignment="1" applyProtection="1">
      <protection locked="0"/>
    </xf>
    <xf numFmtId="173" fontId="0" fillId="0" borderId="116" xfId="2" applyNumberFormat="1" applyFont="1" applyFill="1" applyBorder="1" applyAlignment="1" applyProtection="1">
      <protection locked="0"/>
    </xf>
    <xf numFmtId="0" fontId="0" fillId="0" borderId="117" xfId="0" applyFill="1" applyBorder="1" applyAlignment="1">
      <alignment horizontal="right"/>
    </xf>
    <xf numFmtId="170" fontId="16" fillId="0" borderId="118" xfId="1" applyNumberFormat="1" applyFill="1" applyBorder="1"/>
    <xf numFmtId="0" fontId="0" fillId="0" borderId="118" xfId="0" applyFill="1" applyBorder="1"/>
    <xf numFmtId="0" fontId="0" fillId="0" borderId="119" xfId="0" applyFill="1" applyBorder="1"/>
    <xf numFmtId="170" fontId="16" fillId="0" borderId="117" xfId="1" applyNumberFormat="1" applyFill="1" applyBorder="1"/>
    <xf numFmtId="170" fontId="16" fillId="0" borderId="119" xfId="1" applyNumberFormat="1" applyFill="1" applyBorder="1"/>
    <xf numFmtId="170" fontId="16" fillId="0" borderId="120" xfId="1" applyNumberFormat="1" applyFill="1" applyBorder="1"/>
    <xf numFmtId="170" fontId="16" fillId="0" borderId="121" xfId="1" applyNumberFormat="1" applyFill="1" applyBorder="1"/>
    <xf numFmtId="170" fontId="16" fillId="0" borderId="122" xfId="1" applyNumberFormat="1" applyFill="1" applyBorder="1"/>
    <xf numFmtId="170" fontId="0" fillId="0" borderId="118" xfId="0" applyNumberFormat="1" applyFill="1" applyBorder="1"/>
    <xf numFmtId="170" fontId="0" fillId="0" borderId="119" xfId="0" applyNumberFormat="1" applyFill="1" applyBorder="1"/>
    <xf numFmtId="0" fontId="22" fillId="0" borderId="117" xfId="0" applyFont="1" applyBorder="1"/>
    <xf numFmtId="171" fontId="23" fillId="0" borderId="118" xfId="2" applyNumberFormat="1" applyFont="1" applyBorder="1"/>
    <xf numFmtId="0" fontId="23" fillId="0" borderId="118" xfId="0" applyFont="1" applyBorder="1" applyAlignment="1">
      <alignment horizontal="center"/>
    </xf>
    <xf numFmtId="171" fontId="23" fillId="0" borderId="119" xfId="0" applyNumberFormat="1" applyFont="1" applyBorder="1"/>
    <xf numFmtId="171" fontId="23" fillId="0" borderId="117" xfId="0" applyNumberFormat="1" applyFont="1" applyBorder="1"/>
    <xf numFmtId="0" fontId="23" fillId="0" borderId="119" xfId="0" applyFont="1" applyBorder="1"/>
    <xf numFmtId="0" fontId="23" fillId="0" borderId="117" xfId="0" applyFont="1" applyBorder="1" applyAlignment="1">
      <alignment horizontal="left" vertical="center"/>
    </xf>
    <xf numFmtId="165" fontId="23" fillId="0" borderId="117" xfId="2" applyFont="1" applyBorder="1"/>
    <xf numFmtId="165" fontId="23" fillId="0" borderId="119" xfId="2" applyFont="1" applyBorder="1"/>
    <xf numFmtId="171" fontId="23" fillId="0" borderId="118" xfId="0" applyNumberFormat="1" applyFont="1" applyBorder="1"/>
    <xf numFmtId="171" fontId="23" fillId="0" borderId="118" xfId="2" applyNumberFormat="1" applyFont="1" applyFill="1" applyBorder="1"/>
    <xf numFmtId="0" fontId="23" fillId="0" borderId="117" xfId="0" applyFont="1" applyBorder="1"/>
    <xf numFmtId="172" fontId="23" fillId="0" borderId="118" xfId="2" applyNumberFormat="1" applyFont="1" applyBorder="1"/>
    <xf numFmtId="9" fontId="16" fillId="0" borderId="118" xfId="3" applyBorder="1"/>
    <xf numFmtId="0" fontId="23" fillId="0" borderId="120" xfId="0" applyFont="1" applyBorder="1" applyAlignment="1">
      <alignment horizontal="left" vertical="center"/>
    </xf>
    <xf numFmtId="171" fontId="23" fillId="0" borderId="121" xfId="2" applyNumberFormat="1" applyFont="1" applyBorder="1"/>
    <xf numFmtId="0" fontId="23" fillId="0" borderId="121" xfId="0" applyFont="1" applyBorder="1" applyAlignment="1">
      <alignment horizontal="center"/>
    </xf>
    <xf numFmtId="0" fontId="21" fillId="0" borderId="117" xfId="0" applyFont="1" applyBorder="1" applyAlignment="1">
      <alignment horizontal="center"/>
    </xf>
    <xf numFmtId="0" fontId="21" fillId="0" borderId="118" xfId="0" applyFont="1" applyBorder="1"/>
    <xf numFmtId="170" fontId="23" fillId="0" borderId="118" xfId="1" applyNumberFormat="1" applyFont="1" applyBorder="1" applyAlignment="1">
      <alignment horizontal="center"/>
    </xf>
    <xf numFmtId="0" fontId="23" fillId="0" borderId="118" xfId="0" applyFont="1" applyBorder="1"/>
    <xf numFmtId="0" fontId="24" fillId="0" borderId="118" xfId="0" applyFont="1" applyBorder="1" applyAlignment="1">
      <alignment horizontal="center"/>
    </xf>
    <xf numFmtId="0" fontId="24" fillId="0" borderId="117" xfId="0" applyFont="1" applyBorder="1"/>
    <xf numFmtId="165" fontId="23" fillId="0" borderId="118" xfId="0" applyNumberFormat="1" applyFont="1" applyFill="1" applyBorder="1"/>
    <xf numFmtId="165" fontId="23" fillId="0" borderId="119" xfId="0" applyNumberFormat="1" applyFont="1" applyFill="1" applyBorder="1"/>
    <xf numFmtId="178" fontId="23" fillId="0" borderId="117" xfId="0" applyNumberFormat="1" applyFont="1" applyBorder="1"/>
    <xf numFmtId="178" fontId="23" fillId="0" borderId="118" xfId="0" applyNumberFormat="1" applyFont="1" applyBorder="1"/>
    <xf numFmtId="165" fontId="22" fillId="0" borderId="119" xfId="2" applyFont="1" applyBorder="1"/>
    <xf numFmtId="167" fontId="23" fillId="0" borderId="118" xfId="0" applyNumberFormat="1" applyFont="1" applyBorder="1" applyAlignment="1">
      <alignment horizontal="center"/>
    </xf>
    <xf numFmtId="177" fontId="22" fillId="0" borderId="119" xfId="0" applyNumberFormat="1" applyFont="1" applyBorder="1"/>
    <xf numFmtId="165" fontId="21" fillId="0" borderId="119" xfId="2" applyFont="1" applyBorder="1"/>
    <xf numFmtId="0" fontId="23" fillId="0" borderId="120" xfId="0" applyFont="1" applyBorder="1"/>
    <xf numFmtId="167" fontId="23" fillId="0" borderId="121" xfId="0" applyNumberFormat="1" applyFont="1" applyBorder="1" applyAlignment="1">
      <alignment horizontal="center"/>
    </xf>
    <xf numFmtId="0" fontId="23" fillId="0" borderId="121" xfId="0" applyFont="1" applyBorder="1"/>
    <xf numFmtId="177" fontId="22" fillId="0" borderId="122" xfId="0" applyNumberFormat="1" applyFont="1" applyBorder="1"/>
    <xf numFmtId="9" fontId="23" fillId="0" borderId="118" xfId="0" applyNumberFormat="1" applyFont="1" applyBorder="1"/>
    <xf numFmtId="9" fontId="23" fillId="0" borderId="119" xfId="0" applyNumberFormat="1" applyFont="1" applyBorder="1"/>
    <xf numFmtId="0" fontId="23" fillId="10" borderId="117" xfId="0" applyFont="1" applyFill="1" applyBorder="1"/>
    <xf numFmtId="165" fontId="22" fillId="0" borderId="118" xfId="2" applyFont="1" applyBorder="1"/>
    <xf numFmtId="0" fontId="23" fillId="0" borderId="122" xfId="0" applyFont="1" applyBorder="1" applyAlignment="1">
      <alignment horizontal="center"/>
    </xf>
    <xf numFmtId="0" fontId="22" fillId="0" borderId="120" xfId="0" applyFont="1" applyBorder="1"/>
    <xf numFmtId="165" fontId="22" fillId="0" borderId="122" xfId="2" applyFont="1" applyBorder="1"/>
    <xf numFmtId="3" fontId="23" fillId="0" borderId="119" xfId="0" applyNumberFormat="1" applyFont="1" applyBorder="1"/>
    <xf numFmtId="0" fontId="23" fillId="0" borderId="122" xfId="0" applyFont="1" applyBorder="1"/>
    <xf numFmtId="179" fontId="29" fillId="0" borderId="117" xfId="1" applyNumberFormat="1" applyFont="1" applyFill="1" applyBorder="1"/>
    <xf numFmtId="0" fontId="24" fillId="0" borderId="118" xfId="0" applyFont="1" applyBorder="1"/>
    <xf numFmtId="168" fontId="23" fillId="0" borderId="118" xfId="0" applyNumberFormat="1" applyFont="1" applyBorder="1"/>
    <xf numFmtId="0" fontId="24" fillId="0" borderId="117" xfId="0" applyFont="1" applyFill="1" applyBorder="1"/>
    <xf numFmtId="173" fontId="23" fillId="0" borderId="118" xfId="0" applyNumberFormat="1" applyFont="1" applyFill="1" applyBorder="1"/>
    <xf numFmtId="173" fontId="23" fillId="0" borderId="119" xfId="0" applyNumberFormat="1" applyFont="1" applyFill="1" applyBorder="1"/>
    <xf numFmtId="181" fontId="23" fillId="0" borderId="118" xfId="0" applyNumberFormat="1" applyFont="1" applyFill="1" applyBorder="1"/>
    <xf numFmtId="181" fontId="23" fillId="0" borderId="119" xfId="0" applyNumberFormat="1" applyFont="1" applyFill="1" applyBorder="1"/>
    <xf numFmtId="168" fontId="23" fillId="0" borderId="118" xfId="1" applyFont="1" applyBorder="1"/>
    <xf numFmtId="170" fontId="16" fillId="0" borderId="118" xfId="1" applyNumberFormat="1" applyBorder="1" applyAlignment="1">
      <alignment horizontal="center"/>
    </xf>
    <xf numFmtId="170" fontId="16" fillId="0" borderId="121" xfId="1" applyNumberFormat="1" applyBorder="1" applyAlignment="1">
      <alignment horizontal="center"/>
    </xf>
    <xf numFmtId="173" fontId="13" fillId="0" borderId="92" xfId="2" applyNumberFormat="1" applyFont="1" applyFill="1" applyBorder="1" applyAlignment="1" applyProtection="1">
      <protection locked="0"/>
    </xf>
    <xf numFmtId="173" fontId="0" fillId="0" borderId="92" xfId="2" applyNumberFormat="1" applyFont="1" applyFill="1" applyBorder="1" applyAlignment="1" applyProtection="1">
      <protection locked="0"/>
    </xf>
    <xf numFmtId="0" fontId="13" fillId="0" borderId="92" xfId="0" applyFont="1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1" fontId="0" fillId="0" borderId="118" xfId="0" applyNumberFormat="1" applyFill="1" applyBorder="1"/>
    <xf numFmtId="2" fontId="0" fillId="0" borderId="118" xfId="0" applyNumberFormat="1" applyFill="1" applyBorder="1"/>
    <xf numFmtId="0" fontId="13" fillId="12" borderId="118" xfId="0" applyFont="1" applyFill="1" applyBorder="1"/>
    <xf numFmtId="1" fontId="0" fillId="12" borderId="118" xfId="0" applyNumberFormat="1" applyFill="1" applyBorder="1"/>
    <xf numFmtId="0" fontId="0" fillId="12" borderId="118" xfId="0" applyFill="1" applyBorder="1"/>
    <xf numFmtId="0" fontId="13" fillId="14" borderId="118" xfId="0" applyFont="1" applyFill="1" applyBorder="1"/>
    <xf numFmtId="1" fontId="0" fillId="14" borderId="118" xfId="0" applyNumberFormat="1" applyFill="1" applyBorder="1"/>
    <xf numFmtId="165" fontId="0" fillId="0" borderId="92" xfId="2" applyFont="1" applyFill="1" applyBorder="1" applyAlignment="1" applyProtection="1">
      <protection locked="0"/>
    </xf>
    <xf numFmtId="0" fontId="0" fillId="0" borderId="92" xfId="0" applyFill="1" applyBorder="1" applyProtection="1">
      <protection locked="0"/>
    </xf>
    <xf numFmtId="9" fontId="0" fillId="0" borderId="92" xfId="3" applyFont="1" applyFill="1" applyBorder="1" applyAlignment="1" applyProtection="1">
      <protection locked="0"/>
    </xf>
    <xf numFmtId="0" fontId="0" fillId="0" borderId="92" xfId="0" applyBorder="1"/>
    <xf numFmtId="165" fontId="13" fillId="0" borderId="92" xfId="2" applyFont="1" applyFill="1" applyBorder="1" applyAlignment="1" applyProtection="1">
      <alignment horizontal="center"/>
      <protection locked="0"/>
    </xf>
    <xf numFmtId="170" fontId="16" fillId="13" borderId="25" xfId="1" applyNumberFormat="1" applyFill="1" applyBorder="1" applyAlignment="1" applyProtection="1">
      <alignment horizontal="center"/>
      <protection locked="0"/>
    </xf>
    <xf numFmtId="0" fontId="24" fillId="0" borderId="73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0" fontId="16" fillId="0" borderId="12" xfId="1" applyNumberFormat="1" applyFont="1" applyFill="1" applyBorder="1" applyAlignment="1" applyProtection="1">
      <alignment horizontal="center"/>
      <protection locked="0"/>
    </xf>
    <xf numFmtId="170" fontId="16" fillId="0" borderId="14" xfId="1" applyNumberFormat="1" applyFont="1" applyFill="1" applyBorder="1" applyAlignment="1" applyProtection="1">
      <alignment horizontal="center"/>
      <protection locked="0"/>
    </xf>
    <xf numFmtId="170" fontId="13" fillId="0" borderId="12" xfId="1" applyNumberFormat="1" applyFont="1" applyFill="1" applyBorder="1" applyAlignment="1" applyProtection="1">
      <protection locked="0"/>
    </xf>
    <xf numFmtId="170" fontId="13" fillId="0" borderId="14" xfId="1" applyNumberFormat="1" applyFont="1" applyFill="1" applyBorder="1" applyAlignment="1" applyProtection="1">
      <protection locked="0"/>
    </xf>
    <xf numFmtId="10" fontId="13" fillId="0" borderId="19" xfId="3" applyNumberFormat="1" applyFont="1" applyFill="1" applyBorder="1" applyAlignment="1" applyProtection="1">
      <alignment horizontal="center"/>
      <protection locked="0"/>
    </xf>
    <xf numFmtId="10" fontId="13" fillId="0" borderId="20" xfId="3" applyNumberFormat="1" applyFont="1" applyFill="1" applyBorder="1" applyAlignment="1" applyProtection="1">
      <alignment horizontal="center"/>
      <protection locked="0"/>
    </xf>
    <xf numFmtId="10" fontId="13" fillId="0" borderId="7" xfId="3" applyNumberFormat="1" applyFont="1" applyFill="1" applyBorder="1" applyAlignment="1" applyProtection="1">
      <alignment horizontal="center"/>
      <protection locked="0"/>
    </xf>
    <xf numFmtId="10" fontId="13" fillId="0" borderId="8" xfId="3" applyNumberFormat="1" applyFont="1" applyFill="1" applyBorder="1" applyAlignment="1" applyProtection="1">
      <alignment horizontal="center"/>
      <protection locked="0"/>
    </xf>
    <xf numFmtId="9" fontId="13" fillId="0" borderId="12" xfId="3" applyFont="1" applyFill="1" applyBorder="1" applyAlignment="1" applyProtection="1">
      <alignment horizontal="center"/>
      <protection locked="0"/>
    </xf>
    <xf numFmtId="9" fontId="13" fillId="0" borderId="14" xfId="3" applyFont="1" applyFill="1" applyBorder="1" applyAlignment="1" applyProtection="1">
      <alignment horizontal="center"/>
      <protection locked="0"/>
    </xf>
    <xf numFmtId="170" fontId="13" fillId="0" borderId="19" xfId="1" applyNumberFormat="1" applyFont="1" applyFill="1" applyBorder="1" applyAlignment="1" applyProtection="1">
      <protection locked="0"/>
    </xf>
    <xf numFmtId="170" fontId="13" fillId="0" borderId="20" xfId="1" applyNumberFormat="1" applyFont="1" applyFill="1" applyBorder="1" applyAlignment="1" applyProtection="1">
      <protection locked="0"/>
    </xf>
    <xf numFmtId="10" fontId="13" fillId="0" borderId="7" xfId="3" applyNumberFormat="1" applyFont="1" applyFill="1" applyBorder="1" applyAlignment="1" applyProtection="1">
      <alignment horizontal="right"/>
      <protection locked="0"/>
    </xf>
    <xf numFmtId="10" fontId="13" fillId="0" borderId="8" xfId="3" applyNumberFormat="1" applyFont="1" applyFill="1" applyBorder="1" applyAlignment="1" applyProtection="1">
      <alignment horizontal="right"/>
      <protection locked="0"/>
    </xf>
    <xf numFmtId="170" fontId="16" fillId="0" borderId="65" xfId="1" applyNumberFormat="1" applyBorder="1"/>
    <xf numFmtId="170" fontId="16" fillId="0" borderId="119" xfId="1" applyNumberFormat="1" applyBorder="1"/>
    <xf numFmtId="168" fontId="16" fillId="0" borderId="119" xfId="1" applyNumberFormat="1" applyBorder="1"/>
    <xf numFmtId="168" fontId="16" fillId="0" borderId="99" xfId="1" applyNumberFormat="1" applyBorder="1"/>
    <xf numFmtId="170" fontId="13" fillId="0" borderId="7" xfId="1" applyNumberFormat="1" applyFont="1" applyFill="1" applyBorder="1" applyAlignment="1" applyProtection="1">
      <alignment horizontal="right"/>
      <protection locked="0"/>
    </xf>
    <xf numFmtId="170" fontId="13" fillId="0" borderId="8" xfId="1" applyNumberFormat="1" applyFont="1" applyFill="1" applyBorder="1" applyAlignment="1" applyProtection="1">
      <alignment horizontal="right"/>
      <protection locked="0"/>
    </xf>
    <xf numFmtId="170" fontId="16" fillId="0" borderId="123" xfId="1" applyNumberFormat="1" applyFill="1" applyBorder="1" applyAlignment="1" applyProtection="1">
      <alignment horizontal="center"/>
      <protection locked="0"/>
    </xf>
    <xf numFmtId="183" fontId="13" fillId="0" borderId="12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176" fontId="13" fillId="0" borderId="12" xfId="3" applyNumberFormat="1" applyFont="1" applyFill="1" applyBorder="1" applyAlignment="1" applyProtection="1">
      <protection locked="0"/>
    </xf>
    <xf numFmtId="176" fontId="13" fillId="0" borderId="14" xfId="3" applyNumberFormat="1" applyFont="1" applyFill="1" applyBorder="1" applyAlignment="1" applyProtection="1">
      <protection locked="0"/>
    </xf>
    <xf numFmtId="0" fontId="13" fillId="0" borderId="4" xfId="0" applyFont="1" applyFill="1" applyBorder="1" applyAlignment="1">
      <alignment horizontal="center"/>
    </xf>
    <xf numFmtId="170" fontId="13" fillId="0" borderId="25" xfId="1" applyNumberFormat="1" applyFont="1" applyFill="1" applyBorder="1" applyAlignment="1" applyProtection="1">
      <alignment horizontal="center"/>
      <protection locked="0"/>
    </xf>
    <xf numFmtId="170" fontId="13" fillId="0" borderId="8" xfId="1" applyNumberFormat="1" applyFont="1" applyFill="1" applyBorder="1" applyAlignment="1" applyProtection="1">
      <alignment horizontal="center"/>
      <protection locked="0"/>
    </xf>
    <xf numFmtId="0" fontId="0" fillId="11" borderId="30" xfId="0" applyFont="1" applyFill="1" applyBorder="1"/>
    <xf numFmtId="170" fontId="16" fillId="0" borderId="3" xfId="1" applyNumberFormat="1" applyFill="1" applyBorder="1" applyAlignment="1" applyProtection="1">
      <alignment horizontal="center"/>
    </xf>
    <xf numFmtId="170" fontId="16" fillId="0" borderId="4" xfId="1" applyNumberFormat="1" applyFill="1" applyBorder="1" applyAlignment="1" applyProtection="1">
      <alignment horizontal="center"/>
    </xf>
    <xf numFmtId="170" fontId="16" fillId="0" borderId="5" xfId="1" applyNumberFormat="1" applyFill="1" applyBorder="1" applyAlignment="1" applyProtection="1">
      <alignment horizontal="center"/>
    </xf>
    <xf numFmtId="170" fontId="16" fillId="0" borderId="11" xfId="1" applyNumberFormat="1" applyFill="1" applyBorder="1" applyAlignment="1" applyProtection="1">
      <alignment horizontal="center"/>
      <protection locked="0"/>
    </xf>
    <xf numFmtId="170" fontId="16" fillId="13" borderId="14" xfId="1" applyNumberFormat="1" applyFill="1" applyBorder="1" applyAlignment="1" applyProtection="1">
      <alignment horizontal="center"/>
      <protection locked="0"/>
    </xf>
    <xf numFmtId="170" fontId="16" fillId="11" borderId="11" xfId="1" applyNumberFormat="1" applyFill="1" applyBorder="1" applyAlignment="1" applyProtection="1">
      <alignment horizontal="center"/>
      <protection locked="0"/>
    </xf>
    <xf numFmtId="170" fontId="16" fillId="0" borderId="11" xfId="1" applyNumberFormat="1" applyFill="1" applyBorder="1" applyAlignment="1" applyProtection="1">
      <alignment horizontal="center"/>
    </xf>
    <xf numFmtId="170" fontId="16" fillId="13" borderId="11" xfId="1" applyNumberFormat="1" applyFill="1" applyBorder="1" applyAlignment="1" applyProtection="1">
      <alignment horizontal="center"/>
      <protection locked="0"/>
    </xf>
    <xf numFmtId="170" fontId="16" fillId="0" borderId="6" xfId="1" applyNumberFormat="1" applyFill="1" applyBorder="1" applyAlignment="1" applyProtection="1">
      <alignment horizontal="center"/>
      <protection locked="0"/>
    </xf>
    <xf numFmtId="170" fontId="0" fillId="0" borderId="0" xfId="0" applyNumberFormat="1" applyFill="1"/>
    <xf numFmtId="0" fontId="0" fillId="9" borderId="92" xfId="0" applyFill="1" applyBorder="1" applyAlignment="1" applyProtection="1">
      <alignment horizontal="center"/>
      <protection locked="0"/>
    </xf>
    <xf numFmtId="0" fontId="24" fillId="0" borderId="73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1" fillId="0" borderId="6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73" xfId="0" applyFont="1" applyBorder="1" applyAlignment="1">
      <alignment horizontal="right"/>
    </xf>
    <xf numFmtId="0" fontId="21" fillId="0" borderId="74" xfId="0" applyFont="1" applyBorder="1" applyAlignment="1">
      <alignment horizontal="right"/>
    </xf>
    <xf numFmtId="0" fontId="21" fillId="0" borderId="52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66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20" fillId="0" borderId="73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13" fillId="0" borderId="69" xfId="0" applyFont="1" applyFill="1" applyBorder="1" applyAlignment="1">
      <alignment horizontal="center" wrapText="1"/>
    </xf>
    <xf numFmtId="0" fontId="13" fillId="0" borderId="7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39" fillId="0" borderId="73" xfId="0" applyFont="1" applyFill="1" applyBorder="1" applyAlignment="1">
      <alignment horizontal="center"/>
    </xf>
    <xf numFmtId="0" fontId="39" fillId="0" borderId="75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170" fontId="13" fillId="0" borderId="73" xfId="0" applyNumberFormat="1" applyFont="1" applyFill="1" applyBorder="1" applyAlignment="1">
      <alignment horizontal="center"/>
    </xf>
    <xf numFmtId="170" fontId="13" fillId="0" borderId="75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0" fontId="13" fillId="0" borderId="33" xfId="1" applyNumberFormat="1" applyFont="1" applyFill="1" applyBorder="1" applyAlignment="1" applyProtection="1">
      <alignment horizontal="center"/>
      <protection locked="0"/>
    </xf>
    <xf numFmtId="173" fontId="13" fillId="0" borderId="0" xfId="0" applyNumberFormat="1" applyFont="1" applyFill="1"/>
    <xf numFmtId="1" fontId="0" fillId="0" borderId="0" xfId="0" applyNumberFormat="1" applyFill="1"/>
    <xf numFmtId="170" fontId="13" fillId="0" borderId="92" xfId="1" applyNumberFormat="1" applyFont="1" applyFill="1" applyBorder="1" applyAlignment="1" applyProtection="1">
      <protection locked="0"/>
    </xf>
    <xf numFmtId="0" fontId="13" fillId="0" borderId="47" xfId="0" applyFont="1" applyFill="1" applyBorder="1"/>
    <xf numFmtId="0" fontId="0" fillId="0" borderId="49" xfId="0" applyFill="1" applyBorder="1"/>
    <xf numFmtId="0" fontId="13" fillId="0" borderId="0" xfId="0" applyFont="1" applyFill="1" applyAlignment="1">
      <alignment horizontal="right"/>
    </xf>
    <xf numFmtId="2" fontId="13" fillId="0" borderId="92" xfId="0" applyNumberFormat="1" applyFont="1" applyFill="1" applyBorder="1" applyProtection="1">
      <protection locked="0"/>
    </xf>
    <xf numFmtId="10" fontId="13" fillId="0" borderId="92" xfId="3" applyNumberFormat="1" applyFont="1" applyFill="1" applyBorder="1" applyAlignment="1" applyProtection="1">
      <protection locked="0"/>
    </xf>
    <xf numFmtId="2" fontId="13" fillId="0" borderId="48" xfId="0" applyNumberFormat="1" applyFont="1" applyFill="1" applyBorder="1"/>
    <xf numFmtId="0" fontId="41" fillId="0" borderId="0" xfId="0" applyFont="1" applyFill="1"/>
    <xf numFmtId="9" fontId="16" fillId="0" borderId="124" xfId="3" applyFill="1" applyBorder="1" applyAlignment="1">
      <alignment horizontal="center" vertical="center"/>
    </xf>
    <xf numFmtId="9" fontId="16" fillId="0" borderId="126" xfId="3" applyFill="1" applyBorder="1" applyAlignment="1">
      <alignment horizontal="center" vertical="center"/>
    </xf>
    <xf numFmtId="170" fontId="0" fillId="0" borderId="125" xfId="0" applyNumberFormat="1" applyFill="1" applyBorder="1" applyAlignment="1">
      <alignment horizontal="center" vertical="center"/>
    </xf>
    <xf numFmtId="170" fontId="0" fillId="0" borderId="127" xfId="0" applyNumberFormat="1" applyFill="1" applyBorder="1" applyAlignment="1">
      <alignment horizontal="center" vertical="center"/>
    </xf>
    <xf numFmtId="9" fontId="16" fillId="0" borderId="83" xfId="3" applyFill="1" applyBorder="1" applyAlignment="1">
      <alignment horizontal="center" vertical="center"/>
    </xf>
    <xf numFmtId="170" fontId="0" fillId="0" borderId="85" xfId="0" applyNumberForma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21">
    <cellStyle name="Accent" xfId="16"/>
    <cellStyle name="Accent 1" xfId="17"/>
    <cellStyle name="Accent 2" xfId="18"/>
    <cellStyle name="Accent 3" xfId="19"/>
    <cellStyle name="Bad" xfId="13"/>
    <cellStyle name="Error" xfId="15"/>
    <cellStyle name="Footnote" xfId="9"/>
    <cellStyle name="Good" xfId="11"/>
    <cellStyle name="Heading" xfId="4"/>
    <cellStyle name="Heading 1" xfId="5"/>
    <cellStyle name="Heading 2" xfId="6"/>
    <cellStyle name="Hipervínculo" xfId="20" builtinId="8"/>
    <cellStyle name="Millares" xfId="1" builtinId="3"/>
    <cellStyle name="Moneda" xfId="2" builtinId="4"/>
    <cellStyle name="Neutral" xfId="12" builtinId="28" customBuiltin="1"/>
    <cellStyle name="Normal" xfId="0" builtinId="0"/>
    <cellStyle name="Note" xfId="8"/>
    <cellStyle name="Porcentaje" xfId="3" builtinId="5"/>
    <cellStyle name="Status" xfId="10"/>
    <cellStyle name="Text" xfId="7"/>
    <cellStyle name="Warning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Diagrama Equilibrio Año 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'E-Costos'!$B$142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'E-Costos'!$A$143:$A$159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'E-Costos'!$B$143:$B$159</c:f>
              <c:numCache>
                <c:formatCode>_(* #,##0_);_(* \(#,##0\);_(* \-??_);_(@_)</c:formatCode>
                <c:ptCount val="17"/>
                <c:pt idx="0">
                  <c:v>8145121.4190701246</c:v>
                </c:pt>
                <c:pt idx="1">
                  <c:v>8145121.4190701246</c:v>
                </c:pt>
                <c:pt idx="2">
                  <c:v>8145121.4190701246</c:v>
                </c:pt>
                <c:pt idx="3">
                  <c:v>8145121.4190701246</c:v>
                </c:pt>
                <c:pt idx="4">
                  <c:v>8145121.4190701246</c:v>
                </c:pt>
                <c:pt idx="5">
                  <c:v>8145121.4190701246</c:v>
                </c:pt>
                <c:pt idx="6">
                  <c:v>8145121.4190701246</c:v>
                </c:pt>
                <c:pt idx="7">
                  <c:v>8145121.4190701246</c:v>
                </c:pt>
                <c:pt idx="8">
                  <c:v>8145121.4190701246</c:v>
                </c:pt>
                <c:pt idx="9">
                  <c:v>8145121.4190701246</c:v>
                </c:pt>
                <c:pt idx="10">
                  <c:v>8145121.4190701246</c:v>
                </c:pt>
                <c:pt idx="11">
                  <c:v>8145121.4190701246</c:v>
                </c:pt>
                <c:pt idx="12">
                  <c:v>8145121.4190701246</c:v>
                </c:pt>
                <c:pt idx="13">
                  <c:v>8145121.4190701246</c:v>
                </c:pt>
                <c:pt idx="14">
                  <c:v>8145121.4190701246</c:v>
                </c:pt>
                <c:pt idx="15">
                  <c:v>8145121.4190701246</c:v>
                </c:pt>
                <c:pt idx="16">
                  <c:v>8145121.4190701246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BF6-4DA5-89F3-0E08145102FA}"/>
            </c:ext>
          </c:extLst>
        </c:ser>
        <c:ser>
          <c:idx val="1"/>
          <c:order val="1"/>
          <c:tx>
            <c:strRef>
              <c:f>'E-Costos'!$C$142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'E-Costos'!$A$143:$A$159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'E-Costos'!$C$143:$C$159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3340089.9176150411</c:v>
                </c:pt>
                <c:pt idx="2">
                  <c:v>6680179.8352300823</c:v>
                </c:pt>
                <c:pt idx="3">
                  <c:v>10020269.752845123</c:v>
                </c:pt>
                <c:pt idx="4">
                  <c:v>13360359.670460165</c:v>
                </c:pt>
                <c:pt idx="5">
                  <c:v>16700449.588075206</c:v>
                </c:pt>
                <c:pt idx="6">
                  <c:v>20040539.505690247</c:v>
                </c:pt>
                <c:pt idx="7">
                  <c:v>23380629.423305288</c:v>
                </c:pt>
                <c:pt idx="8">
                  <c:v>26720719.340920329</c:v>
                </c:pt>
                <c:pt idx="9">
                  <c:v>30060809.25853537</c:v>
                </c:pt>
                <c:pt idx="10">
                  <c:v>33400899.176150411</c:v>
                </c:pt>
                <c:pt idx="11">
                  <c:v>36740989.093765453</c:v>
                </c:pt>
                <c:pt idx="12">
                  <c:v>40081079.011380494</c:v>
                </c:pt>
                <c:pt idx="13">
                  <c:v>43421168.928995535</c:v>
                </c:pt>
                <c:pt idx="14">
                  <c:v>46761258.846610576</c:v>
                </c:pt>
                <c:pt idx="15">
                  <c:v>50101348.764225617</c:v>
                </c:pt>
                <c:pt idx="16">
                  <c:v>53441438.681840658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BF6-4DA5-89F3-0E08145102FA}"/>
            </c:ext>
          </c:extLst>
        </c:ser>
        <c:ser>
          <c:idx val="2"/>
          <c:order val="2"/>
          <c:tx>
            <c:strRef>
              <c:f>'E-Costos'!$D$142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'E-Costos'!$A$143:$A$159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'E-Costos'!$D$143:$D$159</c:f>
              <c:numCache>
                <c:formatCode>_(* #,##0_);_(* \(#,##0\);_(* \-??_);_(@_)</c:formatCode>
                <c:ptCount val="17"/>
                <c:pt idx="0">
                  <c:v>8145121.4190701246</c:v>
                </c:pt>
                <c:pt idx="1">
                  <c:v>11485211.336685166</c:v>
                </c:pt>
                <c:pt idx="2">
                  <c:v>14825301.254300207</c:v>
                </c:pt>
                <c:pt idx="3">
                  <c:v>18165391.171915248</c:v>
                </c:pt>
                <c:pt idx="4">
                  <c:v>21505481.089530289</c:v>
                </c:pt>
                <c:pt idx="5">
                  <c:v>24845571.00714533</c:v>
                </c:pt>
                <c:pt idx="6">
                  <c:v>28185660.924760371</c:v>
                </c:pt>
                <c:pt idx="7">
                  <c:v>31525750.842375413</c:v>
                </c:pt>
                <c:pt idx="8">
                  <c:v>34865840.759990454</c:v>
                </c:pt>
                <c:pt idx="9">
                  <c:v>38205930.677605495</c:v>
                </c:pt>
                <c:pt idx="10">
                  <c:v>41546020.595220536</c:v>
                </c:pt>
                <c:pt idx="11">
                  <c:v>44886110.512835577</c:v>
                </c:pt>
                <c:pt idx="12">
                  <c:v>48226200.430450618</c:v>
                </c:pt>
                <c:pt idx="13">
                  <c:v>51566290.348065659</c:v>
                </c:pt>
                <c:pt idx="14">
                  <c:v>54906380.265680701</c:v>
                </c:pt>
                <c:pt idx="15">
                  <c:v>58246470.183295742</c:v>
                </c:pt>
                <c:pt idx="16">
                  <c:v>61586560.100910783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BF6-4DA5-89F3-0E08145102FA}"/>
            </c:ext>
          </c:extLst>
        </c:ser>
        <c:ser>
          <c:idx val="3"/>
          <c:order val="3"/>
          <c:tx>
            <c:strRef>
              <c:f>'E-Costos'!$E$142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'E-Costos'!$A$143:$A$159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'E-Costos'!$E$143:$E$159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5000000</c:v>
                </c:pt>
                <c:pt idx="2">
                  <c:v>10000000</c:v>
                </c:pt>
                <c:pt idx="3">
                  <c:v>15000000</c:v>
                </c:pt>
                <c:pt idx="4">
                  <c:v>20000000</c:v>
                </c:pt>
                <c:pt idx="5">
                  <c:v>25000000</c:v>
                </c:pt>
                <c:pt idx="6">
                  <c:v>30000000</c:v>
                </c:pt>
                <c:pt idx="7">
                  <c:v>35000000</c:v>
                </c:pt>
                <c:pt idx="8">
                  <c:v>40000000</c:v>
                </c:pt>
                <c:pt idx="9">
                  <c:v>45000000</c:v>
                </c:pt>
                <c:pt idx="10">
                  <c:v>50000000</c:v>
                </c:pt>
                <c:pt idx="11">
                  <c:v>55000000</c:v>
                </c:pt>
                <c:pt idx="12">
                  <c:v>60000000</c:v>
                </c:pt>
                <c:pt idx="13">
                  <c:v>65000000</c:v>
                </c:pt>
                <c:pt idx="14">
                  <c:v>70000000</c:v>
                </c:pt>
                <c:pt idx="15">
                  <c:v>75000000</c:v>
                </c:pt>
                <c:pt idx="16">
                  <c:v>80000000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BF6-4DA5-89F3-0E081451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58192"/>
        <c:axId val="32358752"/>
      </c:scatterChart>
      <c:valAx>
        <c:axId val="3235819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2358752"/>
        <c:crosses val="autoZero"/>
        <c:crossBetween val="midCat"/>
      </c:valAx>
      <c:valAx>
        <c:axId val="32358752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32358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Diagrama Equilibrio Año 5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'E-Costos'!$B$142</c:f>
              <c:strCache>
                <c:ptCount val="1"/>
                <c:pt idx="0">
                  <c:v>Costo Fijo</c:v>
                </c:pt>
              </c:strCache>
            </c:strRef>
          </c:tx>
          <c:marker>
            <c:symbol val="none"/>
          </c:marker>
          <c:xVal>
            <c:numRef>
              <c:f>'E-Costos'!$A$164:$A$180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'E-Costos'!$B$164:$B$180</c:f>
              <c:numCache>
                <c:formatCode>_(* #,##0_);_(* \(#,##0\);_(* \-??_);_(@_)</c:formatCode>
                <c:ptCount val="17"/>
                <c:pt idx="0">
                  <c:v>8684290.7684303299</c:v>
                </c:pt>
                <c:pt idx="1">
                  <c:v>8684290.7684303299</c:v>
                </c:pt>
                <c:pt idx="2">
                  <c:v>8684290.7684303299</c:v>
                </c:pt>
                <c:pt idx="3">
                  <c:v>8684290.7684303299</c:v>
                </c:pt>
                <c:pt idx="4">
                  <c:v>8684290.7684303299</c:v>
                </c:pt>
                <c:pt idx="5">
                  <c:v>8684290.7684303299</c:v>
                </c:pt>
                <c:pt idx="6">
                  <c:v>8684290.7684303299</c:v>
                </c:pt>
                <c:pt idx="7">
                  <c:v>8684290.7684303299</c:v>
                </c:pt>
                <c:pt idx="8">
                  <c:v>8684290.7684303299</c:v>
                </c:pt>
                <c:pt idx="9">
                  <c:v>8684290.7684303299</c:v>
                </c:pt>
                <c:pt idx="10">
                  <c:v>8684290.7684303299</c:v>
                </c:pt>
                <c:pt idx="11">
                  <c:v>8684290.7684303299</c:v>
                </c:pt>
                <c:pt idx="12">
                  <c:v>8684290.7684303299</c:v>
                </c:pt>
                <c:pt idx="13">
                  <c:v>8684290.7684303299</c:v>
                </c:pt>
                <c:pt idx="14">
                  <c:v>8684290.7684303299</c:v>
                </c:pt>
                <c:pt idx="15">
                  <c:v>8684290.7684303299</c:v>
                </c:pt>
                <c:pt idx="16">
                  <c:v>8684290.7684303299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9DF-4105-89E5-2F470A28D1BA}"/>
            </c:ext>
          </c:extLst>
        </c:ser>
        <c:ser>
          <c:idx val="1"/>
          <c:order val="1"/>
          <c:tx>
            <c:strRef>
              <c:f>'E-Costos'!$C$142</c:f>
              <c:strCache>
                <c:ptCount val="1"/>
                <c:pt idx="0">
                  <c:v>Costo Variable</c:v>
                </c:pt>
              </c:strCache>
            </c:strRef>
          </c:tx>
          <c:marker>
            <c:symbol val="none"/>
          </c:marker>
          <c:xVal>
            <c:numRef>
              <c:f>'E-Costos'!$A$164:$A$180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'E-Costos'!$C$164:$C$180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3308510.5541642108</c:v>
                </c:pt>
                <c:pt idx="2">
                  <c:v>6617021.1083284216</c:v>
                </c:pt>
                <c:pt idx="3">
                  <c:v>9925531.6624926329</c:v>
                </c:pt>
                <c:pt idx="4">
                  <c:v>13234042.216656843</c:v>
                </c:pt>
                <c:pt idx="5">
                  <c:v>16542552.770821055</c:v>
                </c:pt>
                <c:pt idx="6">
                  <c:v>19851063.324985266</c:v>
                </c:pt>
                <c:pt idx="7">
                  <c:v>23159573.879149478</c:v>
                </c:pt>
                <c:pt idx="8">
                  <c:v>26468084.433313686</c:v>
                </c:pt>
                <c:pt idx="9">
                  <c:v>29776594.987477899</c:v>
                </c:pt>
                <c:pt idx="10">
                  <c:v>33085105.541642111</c:v>
                </c:pt>
                <c:pt idx="11">
                  <c:v>36393616.095806316</c:v>
                </c:pt>
                <c:pt idx="12">
                  <c:v>39702126.649970531</c:v>
                </c:pt>
                <c:pt idx="13">
                  <c:v>43010637.20413474</c:v>
                </c:pt>
                <c:pt idx="14">
                  <c:v>46319147.758298956</c:v>
                </c:pt>
                <c:pt idx="15">
                  <c:v>49627658.312463157</c:v>
                </c:pt>
                <c:pt idx="16">
                  <c:v>52936168.866627373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9DF-4105-89E5-2F470A28D1BA}"/>
            </c:ext>
          </c:extLst>
        </c:ser>
        <c:ser>
          <c:idx val="2"/>
          <c:order val="2"/>
          <c:tx>
            <c:strRef>
              <c:f>'E-Costos'!$D$142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xVal>
            <c:numRef>
              <c:f>'E-Costos'!$A$164:$A$180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'E-Costos'!$D$164:$D$180</c:f>
              <c:numCache>
                <c:formatCode>_(* #,##0_);_(* \(#,##0\);_(* \-??_);_(@_)</c:formatCode>
                <c:ptCount val="17"/>
                <c:pt idx="0">
                  <c:v>8684290.7684303299</c:v>
                </c:pt>
                <c:pt idx="1">
                  <c:v>11992801.32259454</c:v>
                </c:pt>
                <c:pt idx="2">
                  <c:v>15301311.876758751</c:v>
                </c:pt>
                <c:pt idx="3">
                  <c:v>18609822.430922963</c:v>
                </c:pt>
                <c:pt idx="4">
                  <c:v>21918332.985087171</c:v>
                </c:pt>
                <c:pt idx="5">
                  <c:v>25226843.539251387</c:v>
                </c:pt>
                <c:pt idx="6">
                  <c:v>28535354.093415596</c:v>
                </c:pt>
                <c:pt idx="7">
                  <c:v>31843864.647579808</c:v>
                </c:pt>
                <c:pt idx="8">
                  <c:v>35152375.20174402</c:v>
                </c:pt>
                <c:pt idx="9">
                  <c:v>38460885.755908228</c:v>
                </c:pt>
                <c:pt idx="10">
                  <c:v>41769396.310072437</c:v>
                </c:pt>
                <c:pt idx="11">
                  <c:v>45077906.864236645</c:v>
                </c:pt>
                <c:pt idx="12">
                  <c:v>48386417.418400861</c:v>
                </c:pt>
                <c:pt idx="13">
                  <c:v>51694927.97256507</c:v>
                </c:pt>
                <c:pt idx="14">
                  <c:v>55003438.526729286</c:v>
                </c:pt>
                <c:pt idx="15">
                  <c:v>58311949.080893487</c:v>
                </c:pt>
                <c:pt idx="16">
                  <c:v>61620459.635057703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9DF-4105-89E5-2F470A28D1BA}"/>
            </c:ext>
          </c:extLst>
        </c:ser>
        <c:ser>
          <c:idx val="3"/>
          <c:order val="3"/>
          <c:tx>
            <c:strRef>
              <c:f>'E-Costos'!$E$142</c:f>
              <c:strCache>
                <c:ptCount val="1"/>
                <c:pt idx="0">
                  <c:v>Ventas</c:v>
                </c:pt>
              </c:strCache>
            </c:strRef>
          </c:tx>
          <c:marker>
            <c:symbol val="none"/>
          </c:marker>
          <c:xVal>
            <c:numRef>
              <c:f>'E-Costos'!$A$164:$A$180</c:f>
              <c:numCache>
                <c:formatCode>_(* #,##0_);_(* \(#,##0\);_(* \-??_);_(@_)</c:formatCode>
                <c:ptCount val="17"/>
                <c:pt idx="0" formatCode="General">
                  <c:v>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  <c:pt idx="6">
                  <c:v>600000</c:v>
                </c:pt>
                <c:pt idx="7">
                  <c:v>700000</c:v>
                </c:pt>
                <c:pt idx="8">
                  <c:v>800000</c:v>
                </c:pt>
                <c:pt idx="9">
                  <c:v>900000</c:v>
                </c:pt>
                <c:pt idx="10">
                  <c:v>1000000</c:v>
                </c:pt>
                <c:pt idx="11">
                  <c:v>1100000</c:v>
                </c:pt>
                <c:pt idx="12">
                  <c:v>1200000</c:v>
                </c:pt>
                <c:pt idx="13">
                  <c:v>1300000</c:v>
                </c:pt>
                <c:pt idx="14">
                  <c:v>1400000</c:v>
                </c:pt>
                <c:pt idx="15">
                  <c:v>1500000</c:v>
                </c:pt>
                <c:pt idx="16">
                  <c:v>1600000</c:v>
                </c:pt>
              </c:numCache>
            </c:numRef>
          </c:xVal>
          <c:yVal>
            <c:numRef>
              <c:f>'E-Costos'!$E$164:$E$180</c:f>
              <c:numCache>
                <c:formatCode>_(* #,##0_);_(* \(#,##0\);_(* \-??_);_(@_)</c:formatCode>
                <c:ptCount val="17"/>
                <c:pt idx="0">
                  <c:v>0</c:v>
                </c:pt>
                <c:pt idx="1">
                  <c:v>5000000</c:v>
                </c:pt>
                <c:pt idx="2">
                  <c:v>10000000</c:v>
                </c:pt>
                <c:pt idx="3">
                  <c:v>15000000</c:v>
                </c:pt>
                <c:pt idx="4">
                  <c:v>20000000</c:v>
                </c:pt>
                <c:pt idx="5">
                  <c:v>25000000</c:v>
                </c:pt>
                <c:pt idx="6">
                  <c:v>30000000</c:v>
                </c:pt>
                <c:pt idx="7">
                  <c:v>35000000</c:v>
                </c:pt>
                <c:pt idx="8">
                  <c:v>40000000</c:v>
                </c:pt>
                <c:pt idx="9">
                  <c:v>45000000</c:v>
                </c:pt>
                <c:pt idx="10">
                  <c:v>50000000</c:v>
                </c:pt>
                <c:pt idx="11">
                  <c:v>55000000</c:v>
                </c:pt>
                <c:pt idx="12">
                  <c:v>60000000</c:v>
                </c:pt>
                <c:pt idx="13">
                  <c:v>65000000</c:v>
                </c:pt>
                <c:pt idx="14">
                  <c:v>70000000</c:v>
                </c:pt>
                <c:pt idx="15">
                  <c:v>75000000</c:v>
                </c:pt>
                <c:pt idx="16">
                  <c:v>80000000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9DF-4105-89E5-2F470A28D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6544"/>
        <c:axId val="212837104"/>
      </c:scatterChart>
      <c:valAx>
        <c:axId val="21283654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12837104"/>
        <c:crosses val="autoZero"/>
        <c:crossBetween val="midCat"/>
      </c:valAx>
      <c:valAx>
        <c:axId val="212837104"/>
        <c:scaling>
          <c:orientation val="minMax"/>
        </c:scaling>
        <c:delete val="0"/>
        <c:axPos val="l"/>
        <c:majorGridlines/>
        <c:numFmt formatCode="_(* #,##0_);_(* \(#,##0\);_(* \-??_);_(@_)" sourceLinked="1"/>
        <c:majorTickMark val="out"/>
        <c:minorTickMark val="none"/>
        <c:tickLblPos val="nextTo"/>
        <c:crossAx val="212836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'E-Form'!$L$3</c:f>
              <c:strCache>
                <c:ptCount val="1"/>
                <c:pt idx="0">
                  <c:v>Saldo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'E-Form'!$A$4:$A$9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'E-Form'!$L$4:$L$9</c:f>
              <c:numCache>
                <c:formatCode>_(* #,##0_);_(* \(#,##0\);_(* \-??_);_(@_)</c:formatCode>
                <c:ptCount val="6"/>
                <c:pt idx="0">
                  <c:v>-23665894.25496674</c:v>
                </c:pt>
                <c:pt idx="1">
                  <c:v>10432808.936938101</c:v>
                </c:pt>
                <c:pt idx="2">
                  <c:v>9264303.1709141284</c:v>
                </c:pt>
                <c:pt idx="3">
                  <c:v>9424488.7246678062</c:v>
                </c:pt>
                <c:pt idx="4">
                  <c:v>9366875.6454111785</c:v>
                </c:pt>
                <c:pt idx="5">
                  <c:v>26175820.776786085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261712"/>
        <c:axId val="236260592"/>
      </c:barChart>
      <c:catAx>
        <c:axId val="23626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6260592"/>
        <c:crosses val="autoZero"/>
        <c:auto val="1"/>
        <c:lblAlgn val="ctr"/>
        <c:lblOffset val="100"/>
        <c:noMultiLvlLbl val="0"/>
      </c:catAx>
      <c:valAx>
        <c:axId val="23626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\-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3626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'E-Form'!$J$26</c:f>
              <c:strCache>
                <c:ptCount val="1"/>
                <c:pt idx="0">
                  <c:v>VAN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'E-Form'!$I$27:$I$36</c:f>
              <c:numCache>
                <c:formatCode>0%</c:formatCode>
                <c:ptCount val="1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</c:numCache>
            </c:numRef>
          </c:xVal>
          <c:yVal>
            <c:numRef>
              <c:f>'E-Form'!$J$27:$J$36</c:f>
              <c:numCache>
                <c:formatCode>_(* #,##0_);_(* \(#,##0\);_(* \-??_);_(@_)</c:formatCode>
                <c:ptCount val="10"/>
                <c:pt idx="0">
                  <c:v>31029930.319046613</c:v>
                </c:pt>
                <c:pt idx="1">
                  <c:v>23206511.646669507</c:v>
                </c:pt>
                <c:pt idx="2">
                  <c:v>16977562.678615205</c:v>
                </c:pt>
                <c:pt idx="3">
                  <c:v>11952323.581073482</c:v>
                </c:pt>
                <c:pt idx="4">
                  <c:v>7848810.3674963834</c:v>
                </c:pt>
                <c:pt idx="5">
                  <c:v>4460400.808984492</c:v>
                </c:pt>
                <c:pt idx="6">
                  <c:v>1633545.4533331227</c:v>
                </c:pt>
                <c:pt idx="7">
                  <c:v>-747361.1858139243</c:v>
                </c:pt>
                <c:pt idx="8">
                  <c:v>-2770415.5868195496</c:v>
                </c:pt>
                <c:pt idx="9">
                  <c:v>-4503510.4102931917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298144"/>
        <c:axId val="216295344"/>
      </c:scatterChart>
      <c:valAx>
        <c:axId val="21629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6295344"/>
        <c:crosses val="autoZero"/>
        <c:crossBetween val="midCat"/>
      </c:valAx>
      <c:valAx>
        <c:axId val="21629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\-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1629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103188</xdr:colOff>
      <xdr:row>339</xdr:row>
      <xdr:rowOff>127000</xdr:rowOff>
    </xdr:from>
    <xdr:to>
      <xdr:col>9</xdr:col>
      <xdr:colOff>653618</xdr:colOff>
      <xdr:row>341</xdr:row>
      <xdr:rowOff>153458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774412E-EB59-45C0-86CE-AA73B9695B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8585" t="43302" r="27288" b="49289"/>
        <a:stretch/>
      </xdr:blipFill>
      <xdr:spPr>
        <a:xfrm>
          <a:off x="6897688" y="44688125"/>
          <a:ext cx="4082617" cy="34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17318</xdr:colOff>
      <xdr:row>140</xdr:row>
      <xdr:rowOff>0</xdr:rowOff>
    </xdr:from>
    <xdr:to>
      <xdr:col>12</xdr:col>
      <xdr:colOff>17318</xdr:colOff>
      <xdr:row>160</xdr:row>
      <xdr:rowOff>8659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17319</xdr:colOff>
      <xdr:row>160</xdr:row>
      <xdr:rowOff>173181</xdr:rowOff>
    </xdr:from>
    <xdr:to>
      <xdr:col>12</xdr:col>
      <xdr:colOff>17319</xdr:colOff>
      <xdr:row>180</xdr:row>
      <xdr:rowOff>129884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42862</xdr:rowOff>
    </xdr:from>
    <xdr:to>
      <xdr:col>5</xdr:col>
      <xdr:colOff>762000</xdr:colOff>
      <xdr:row>39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24</xdr:row>
      <xdr:rowOff>4762</xdr:rowOff>
    </xdr:from>
    <xdr:to>
      <xdr:col>16</xdr:col>
      <xdr:colOff>352425</xdr:colOff>
      <xdr:row>42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mueble.mercadolibre.com.ar/MLA-669642890-planta-industrialdeposito-863m2-venta-con-renta-_J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1"/>
  <sheetViews>
    <sheetView zoomScale="115" zoomScaleNormal="115" zoomScalePageLayoutView="115" workbookViewId="0">
      <selection activeCell="B14" sqref="B14"/>
    </sheetView>
  </sheetViews>
  <sheetFormatPr baseColWidth="10" defaultColWidth="11" defaultRowHeight="12.75" x14ac:dyDescent="0.2"/>
  <cols>
    <col min="1" max="1" width="42.28515625" customWidth="1"/>
    <col min="2" max="2" width="11.140625" customWidth="1"/>
    <col min="3" max="3" width="11" customWidth="1"/>
    <col min="4" max="4" width="17.42578125" customWidth="1"/>
  </cols>
  <sheetData>
    <row r="1" spans="1:7" x14ac:dyDescent="0.2">
      <c r="A1" s="1" t="s">
        <v>0</v>
      </c>
      <c r="E1" s="526">
        <v>3</v>
      </c>
    </row>
    <row r="3" spans="1:7" x14ac:dyDescent="0.2">
      <c r="A3" s="2" t="s">
        <v>1</v>
      </c>
      <c r="B3" s="527">
        <v>0.21</v>
      </c>
    </row>
    <row r="4" spans="1:7" x14ac:dyDescent="0.2">
      <c r="A4" s="2" t="s">
        <v>2</v>
      </c>
      <c r="B4" s="527">
        <v>0.35</v>
      </c>
    </row>
    <row r="5" spans="1:7" x14ac:dyDescent="0.2">
      <c r="A5" s="2" t="s">
        <v>3</v>
      </c>
      <c r="B5" s="527">
        <v>0.04</v>
      </c>
      <c r="C5" t="s">
        <v>4</v>
      </c>
      <c r="G5" s="3"/>
    </row>
    <row r="7" spans="1:7" x14ac:dyDescent="0.2">
      <c r="A7" s="2" t="s">
        <v>5</v>
      </c>
      <c r="B7" t="s">
        <v>6</v>
      </c>
    </row>
    <row r="8" spans="1:7" x14ac:dyDescent="0.2">
      <c r="A8" s="4" t="s">
        <v>7</v>
      </c>
      <c r="B8" s="528">
        <v>30</v>
      </c>
      <c r="C8" t="s">
        <v>8</v>
      </c>
    </row>
    <row r="9" spans="1:7" x14ac:dyDescent="0.2">
      <c r="A9" s="4" t="s">
        <v>9</v>
      </c>
      <c r="B9" s="528">
        <v>10</v>
      </c>
      <c r="C9" t="s">
        <v>8</v>
      </c>
    </row>
    <row r="10" spans="1:7" x14ac:dyDescent="0.2">
      <c r="A10" s="4" t="s">
        <v>10</v>
      </c>
      <c r="B10" s="528">
        <v>10</v>
      </c>
      <c r="C10" t="s">
        <v>8</v>
      </c>
    </row>
    <row r="11" spans="1:7" x14ac:dyDescent="0.2">
      <c r="A11" s="4" t="s">
        <v>11</v>
      </c>
      <c r="B11" s="528">
        <v>5</v>
      </c>
      <c r="C11" t="s">
        <v>8</v>
      </c>
    </row>
    <row r="12" spans="1:7" x14ac:dyDescent="0.2">
      <c r="A12" s="4" t="s">
        <v>12</v>
      </c>
      <c r="B12" s="528">
        <v>5</v>
      </c>
      <c r="C12" t="s">
        <v>8</v>
      </c>
    </row>
    <row r="13" spans="1:7" x14ac:dyDescent="0.2">
      <c r="A13" s="4" t="s">
        <v>13</v>
      </c>
      <c r="B13" s="528">
        <v>3</v>
      </c>
      <c r="C13" t="s">
        <v>8</v>
      </c>
    </row>
    <row r="14" spans="1:7" x14ac:dyDescent="0.2">
      <c r="A14" s="4" t="s">
        <v>14</v>
      </c>
      <c r="B14" s="528">
        <v>5</v>
      </c>
      <c r="C14" t="s">
        <v>8</v>
      </c>
    </row>
    <row r="15" spans="1:7" x14ac:dyDescent="0.2">
      <c r="A15" s="4" t="s">
        <v>15</v>
      </c>
      <c r="B15" s="529">
        <v>0.03</v>
      </c>
    </row>
    <row r="17" spans="1:7" x14ac:dyDescent="0.2">
      <c r="A17" s="2" t="s">
        <v>16</v>
      </c>
      <c r="B17" s="530" t="s">
        <v>17</v>
      </c>
      <c r="C17" s="531"/>
      <c r="D17" s="531"/>
      <c r="E17" s="531"/>
      <c r="F17" s="531"/>
      <c r="G17" s="532"/>
    </row>
    <row r="19" spans="1:7" x14ac:dyDescent="0.2">
      <c r="A19" s="2" t="s">
        <v>18</v>
      </c>
      <c r="B19" s="533">
        <v>1305000</v>
      </c>
      <c r="C19" t="s">
        <v>19</v>
      </c>
    </row>
    <row r="20" spans="1:7" x14ac:dyDescent="0.2">
      <c r="A20" s="2" t="s">
        <v>20</v>
      </c>
      <c r="B20" s="534">
        <v>27</v>
      </c>
      <c r="C20" t="s">
        <v>21</v>
      </c>
    </row>
    <row r="22" spans="1:7" x14ac:dyDescent="0.2">
      <c r="A22" s="2" t="s">
        <v>22</v>
      </c>
    </row>
    <row r="23" spans="1:7" x14ac:dyDescent="0.2">
      <c r="A23" s="2" t="s">
        <v>23</v>
      </c>
      <c r="B23" s="535">
        <v>14</v>
      </c>
      <c r="C23" t="s">
        <v>24</v>
      </c>
    </row>
    <row r="24" spans="1:7" x14ac:dyDescent="0.2">
      <c r="A24" s="2" t="s">
        <v>25</v>
      </c>
      <c r="B24" s="535">
        <v>4</v>
      </c>
      <c r="C24" t="s">
        <v>24</v>
      </c>
    </row>
    <row r="25" spans="1:7" x14ac:dyDescent="0.2">
      <c r="A25" s="2" t="s">
        <v>26</v>
      </c>
      <c r="B25" s="535">
        <v>4</v>
      </c>
      <c r="C25" t="s">
        <v>24</v>
      </c>
    </row>
    <row r="27" spans="1:7" x14ac:dyDescent="0.2">
      <c r="A27" s="2" t="s">
        <v>27</v>
      </c>
      <c r="B27" s="535">
        <v>724.5</v>
      </c>
      <c r="C27" t="s">
        <v>28</v>
      </c>
    </row>
    <row r="28" spans="1:7" x14ac:dyDescent="0.2">
      <c r="A28" s="2" t="s">
        <v>29</v>
      </c>
      <c r="B28" s="535">
        <v>12</v>
      </c>
      <c r="C28" t="s">
        <v>30</v>
      </c>
    </row>
    <row r="29" spans="1:7" x14ac:dyDescent="0.2">
      <c r="A29" s="2" t="s">
        <v>31</v>
      </c>
      <c r="B29" s="535">
        <v>2</v>
      </c>
      <c r="C29" t="s">
        <v>30</v>
      </c>
    </row>
    <row r="32" spans="1:7" x14ac:dyDescent="0.2">
      <c r="A32" s="2" t="s">
        <v>32</v>
      </c>
      <c r="B32" s="535">
        <v>17.899999999999999</v>
      </c>
      <c r="C32" t="s">
        <v>33</v>
      </c>
      <c r="D32" s="535">
        <v>1</v>
      </c>
      <c r="E32" t="s">
        <v>34</v>
      </c>
    </row>
    <row r="33" spans="1:7" x14ac:dyDescent="0.2">
      <c r="A33" s="5"/>
      <c r="B33" s="535">
        <v>21.95</v>
      </c>
      <c r="C33" t="s">
        <v>33</v>
      </c>
      <c r="D33" s="535">
        <v>1</v>
      </c>
      <c r="E33" s="207" t="s">
        <v>35</v>
      </c>
    </row>
    <row r="34" spans="1:7" x14ac:dyDescent="0.2">
      <c r="A34" s="5"/>
    </row>
    <row r="35" spans="1:7" x14ac:dyDescent="0.2">
      <c r="A35" s="2" t="s">
        <v>36</v>
      </c>
      <c r="B35" s="536"/>
      <c r="C35" t="s">
        <v>37</v>
      </c>
      <c r="G35" s="3" t="s">
        <v>38</v>
      </c>
    </row>
    <row r="36" spans="1:7" x14ac:dyDescent="0.2">
      <c r="A36" s="2" t="s">
        <v>39</v>
      </c>
      <c r="B36" s="755" t="s">
        <v>40</v>
      </c>
      <c r="C36" s="755"/>
      <c r="D36" s="755"/>
    </row>
    <row r="37" spans="1:7" x14ac:dyDescent="0.2">
      <c r="A37" s="2" t="s">
        <v>41</v>
      </c>
      <c r="B37" s="365">
        <v>1</v>
      </c>
    </row>
    <row r="38" spans="1:7" x14ac:dyDescent="0.2">
      <c r="A38" s="2"/>
    </row>
    <row r="39" spans="1:7" x14ac:dyDescent="0.2">
      <c r="A39" s="2" t="s">
        <v>42</v>
      </c>
      <c r="B39" s="535">
        <v>30</v>
      </c>
    </row>
    <row r="40" spans="1:7" x14ac:dyDescent="0.2">
      <c r="A40" s="2" t="s">
        <v>43</v>
      </c>
      <c r="B40" s="535"/>
    </row>
    <row r="41" spans="1:7" x14ac:dyDescent="0.2">
      <c r="A41" s="2" t="s">
        <v>44</v>
      </c>
      <c r="B41" s="535"/>
      <c r="C41" t="s">
        <v>37</v>
      </c>
    </row>
    <row r="631" spans="25:25" x14ac:dyDescent="0.2">
      <c r="Y631" s="3" t="s">
        <v>45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F1" sqref="F1"/>
    </sheetView>
  </sheetViews>
  <sheetFormatPr baseColWidth="10" defaultColWidth="11.42578125" defaultRowHeight="12.75" x14ac:dyDescent="0.2"/>
  <cols>
    <col min="1" max="1" width="32.140625" style="141" customWidth="1"/>
    <col min="2" max="7" width="14" style="141" customWidth="1"/>
    <col min="8" max="8" width="17.42578125" style="141" customWidth="1"/>
    <col min="9" max="16384" width="11.42578125" style="141"/>
  </cols>
  <sheetData>
    <row r="1" spans="1:7" x14ac:dyDescent="0.2">
      <c r="A1" s="1" t="s">
        <v>0</v>
      </c>
      <c r="B1"/>
      <c r="C1"/>
      <c r="D1"/>
      <c r="E1" s="703"/>
      <c r="F1" s="526">
        <f>InfoInicial!E1</f>
        <v>3</v>
      </c>
    </row>
    <row r="2" spans="1:7" ht="15.75" x14ac:dyDescent="0.25">
      <c r="A2" s="142" t="s">
        <v>587</v>
      </c>
      <c r="B2" s="143"/>
      <c r="C2" s="143"/>
      <c r="D2" s="143"/>
      <c r="E2" s="143"/>
      <c r="F2" s="143"/>
      <c r="G2" s="144"/>
    </row>
    <row r="3" spans="1:7" x14ac:dyDescent="0.2">
      <c r="A3" s="145" t="s">
        <v>398</v>
      </c>
      <c r="B3" s="146" t="s">
        <v>194</v>
      </c>
      <c r="C3" s="146" t="s">
        <v>399</v>
      </c>
      <c r="D3" s="146" t="s">
        <v>400</v>
      </c>
      <c r="E3" s="146" t="s">
        <v>401</v>
      </c>
      <c r="F3" s="147" t="s">
        <v>402</v>
      </c>
      <c r="G3" s="148" t="s">
        <v>212</v>
      </c>
    </row>
    <row r="4" spans="1:7" x14ac:dyDescent="0.2">
      <c r="A4" s="141" t="s">
        <v>588</v>
      </c>
      <c r="B4" s="42"/>
      <c r="C4" s="42"/>
      <c r="D4" s="42"/>
      <c r="E4" s="42"/>
      <c r="F4" s="89"/>
      <c r="G4" s="43"/>
    </row>
    <row r="5" spans="1:7" x14ac:dyDescent="0.2">
      <c r="A5" s="141" t="s">
        <v>589</v>
      </c>
      <c r="B5" s="42"/>
      <c r="C5" s="42"/>
      <c r="D5" s="42"/>
      <c r="E5" s="42"/>
      <c r="F5" s="89"/>
      <c r="G5" s="43"/>
    </row>
    <row r="6" spans="1:7" x14ac:dyDescent="0.2">
      <c r="A6" s="141" t="s">
        <v>590</v>
      </c>
      <c r="B6" s="42"/>
      <c r="C6" s="42"/>
      <c r="D6" s="42"/>
      <c r="E6" s="42"/>
      <c r="F6" s="89"/>
      <c r="G6" s="43"/>
    </row>
    <row r="7" spans="1:7" x14ac:dyDescent="0.2">
      <c r="A7" s="141" t="s">
        <v>422</v>
      </c>
      <c r="B7" s="62"/>
      <c r="C7" s="62"/>
      <c r="D7" s="62"/>
      <c r="E7" s="62"/>
      <c r="F7" s="90"/>
      <c r="G7" s="63"/>
    </row>
    <row r="8" spans="1:7" x14ac:dyDescent="0.2">
      <c r="A8" s="141" t="s">
        <v>591</v>
      </c>
      <c r="B8" s="42"/>
      <c r="C8" s="42"/>
      <c r="D8" s="42"/>
      <c r="E8" s="42"/>
      <c r="F8" s="89"/>
      <c r="G8" s="43"/>
    </row>
    <row r="9" spans="1:7" x14ac:dyDescent="0.2">
      <c r="A9" s="141" t="s">
        <v>592</v>
      </c>
      <c r="B9" s="42"/>
      <c r="C9" s="42"/>
      <c r="D9" s="42"/>
      <c r="E9" s="42"/>
      <c r="F9" s="89"/>
      <c r="G9" s="43"/>
    </row>
    <row r="10" spans="1:7" x14ac:dyDescent="0.2">
      <c r="A10" s="141" t="s">
        <v>593</v>
      </c>
      <c r="B10" s="42"/>
      <c r="C10" s="42"/>
      <c r="D10" s="42"/>
      <c r="E10" s="42"/>
      <c r="F10" s="89"/>
      <c r="G10" s="43"/>
    </row>
    <row r="11" spans="1:7" x14ac:dyDescent="0.2">
      <c r="A11" s="149" t="s">
        <v>594</v>
      </c>
      <c r="B11" s="42"/>
      <c r="C11" s="42"/>
      <c r="D11" s="42"/>
      <c r="E11" s="42"/>
      <c r="F11" s="89"/>
      <c r="G11" s="43"/>
    </row>
    <row r="12" spans="1:7" x14ac:dyDescent="0.2">
      <c r="A12" s="141" t="s">
        <v>595</v>
      </c>
      <c r="B12" s="42"/>
      <c r="C12" s="42"/>
      <c r="D12" s="42"/>
      <c r="E12" s="42"/>
      <c r="F12" s="89"/>
      <c r="G12" s="43"/>
    </row>
    <row r="13" spans="1:7" x14ac:dyDescent="0.2">
      <c r="A13" s="150" t="s">
        <v>596</v>
      </c>
      <c r="B13" s="42"/>
      <c r="C13" s="42"/>
      <c r="D13" s="42"/>
      <c r="E13" s="42"/>
      <c r="F13" s="89"/>
      <c r="G13" s="43"/>
    </row>
    <row r="14" spans="1:7" x14ac:dyDescent="0.2">
      <c r="A14" s="151" t="s">
        <v>597</v>
      </c>
      <c r="B14" s="48"/>
      <c r="C14" s="48"/>
      <c r="D14" s="48"/>
      <c r="E14" s="48"/>
      <c r="F14" s="91"/>
      <c r="G14" s="49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workbookViewId="0">
      <selection activeCell="D1" sqref="D1"/>
    </sheetView>
  </sheetViews>
  <sheetFormatPr baseColWidth="10" defaultColWidth="11.42578125" defaultRowHeight="12.75" x14ac:dyDescent="0.2"/>
  <cols>
    <col min="1" max="1" width="54.42578125" style="141" customWidth="1"/>
    <col min="2" max="4" width="14" style="141" customWidth="1"/>
    <col min="5" max="250" width="11.42578125" style="141" customWidth="1"/>
  </cols>
  <sheetData>
    <row r="1" spans="1:5" x14ac:dyDescent="0.2">
      <c r="A1" s="1" t="s">
        <v>0</v>
      </c>
      <c r="B1"/>
      <c r="C1"/>
      <c r="D1">
        <f>InfoInicial!E1</f>
        <v>3</v>
      </c>
      <c r="E1" s="526"/>
    </row>
    <row r="2" spans="1:5" ht="15.75" x14ac:dyDescent="0.25">
      <c r="A2" s="142" t="s">
        <v>598</v>
      </c>
      <c r="B2" s="143"/>
      <c r="C2" s="143"/>
      <c r="D2" s="144"/>
    </row>
    <row r="3" spans="1:5" x14ac:dyDescent="0.2">
      <c r="A3" s="145" t="s">
        <v>398</v>
      </c>
      <c r="B3" s="152" t="s">
        <v>359</v>
      </c>
      <c r="C3" s="152" t="s">
        <v>194</v>
      </c>
      <c r="D3" s="148" t="s">
        <v>212</v>
      </c>
    </row>
    <row r="4" spans="1:5" x14ac:dyDescent="0.2">
      <c r="A4" s="149" t="s">
        <v>599</v>
      </c>
      <c r="B4" s="62"/>
      <c r="C4" s="62"/>
      <c r="D4" s="63"/>
    </row>
    <row r="5" spans="1:5" x14ac:dyDescent="0.2">
      <c r="B5" s="42"/>
      <c r="C5" s="42"/>
      <c r="D5" s="43"/>
    </row>
    <row r="6" spans="1:5" x14ac:dyDescent="0.2">
      <c r="A6" s="141" t="s">
        <v>600</v>
      </c>
      <c r="B6" s="42"/>
      <c r="C6" s="42"/>
      <c r="D6" s="43"/>
    </row>
    <row r="7" spans="1:5" x14ac:dyDescent="0.2">
      <c r="A7" s="141" t="s">
        <v>601</v>
      </c>
      <c r="B7" s="42"/>
      <c r="C7" s="42"/>
      <c r="D7" s="43"/>
    </row>
    <row r="8" spans="1:5" x14ac:dyDescent="0.2">
      <c r="A8" s="149" t="s">
        <v>602</v>
      </c>
      <c r="B8" s="42"/>
      <c r="C8" s="42"/>
      <c r="D8" s="43"/>
    </row>
    <row r="9" spans="1:5" x14ac:dyDescent="0.2">
      <c r="A9" s="150" t="s">
        <v>603</v>
      </c>
      <c r="B9" s="42"/>
      <c r="C9" s="42"/>
      <c r="D9" s="43"/>
    </row>
    <row r="10" spans="1:5" x14ac:dyDescent="0.2">
      <c r="A10" s="149" t="s">
        <v>604</v>
      </c>
      <c r="B10" s="42"/>
      <c r="C10" s="42"/>
      <c r="D10" s="43"/>
    </row>
    <row r="11" spans="1:5" x14ac:dyDescent="0.2">
      <c r="A11" s="149" t="s">
        <v>605</v>
      </c>
      <c r="B11" s="62"/>
      <c r="C11" s="62"/>
      <c r="D11" s="63"/>
    </row>
    <row r="12" spans="1:5" x14ac:dyDescent="0.2">
      <c r="A12" s="150" t="s">
        <v>606</v>
      </c>
      <c r="B12" s="42"/>
      <c r="C12" s="42"/>
      <c r="D12" s="43"/>
    </row>
    <row r="13" spans="1:5" x14ac:dyDescent="0.2">
      <c r="A13" s="141" t="s">
        <v>607</v>
      </c>
      <c r="B13" s="42"/>
      <c r="C13" s="42"/>
      <c r="D13" s="43"/>
    </row>
    <row r="14" spans="1:5" x14ac:dyDescent="0.2">
      <c r="A14" s="141" t="s">
        <v>608</v>
      </c>
      <c r="B14" s="42"/>
      <c r="C14" s="42"/>
      <c r="D14" s="43"/>
    </row>
    <row r="15" spans="1:5" x14ac:dyDescent="0.2">
      <c r="A15" s="149" t="s">
        <v>609</v>
      </c>
      <c r="B15" s="42"/>
      <c r="C15" s="42"/>
      <c r="D15" s="43"/>
    </row>
    <row r="16" spans="1:5" x14ac:dyDescent="0.2">
      <c r="A16" s="141" t="s">
        <v>422</v>
      </c>
      <c r="B16" s="62"/>
      <c r="C16" s="62"/>
      <c r="D16" s="63"/>
    </row>
    <row r="17" spans="1:5" x14ac:dyDescent="0.2">
      <c r="A17" s="141" t="s">
        <v>610</v>
      </c>
      <c r="B17" s="42"/>
      <c r="C17" s="42"/>
      <c r="D17" s="43"/>
    </row>
    <row r="18" spans="1:5" x14ac:dyDescent="0.2">
      <c r="A18" s="141" t="s">
        <v>611</v>
      </c>
      <c r="B18" s="42"/>
      <c r="C18" s="42"/>
      <c r="D18" s="43"/>
    </row>
    <row r="19" spans="1:5" x14ac:dyDescent="0.2">
      <c r="A19" s="141" t="s">
        <v>612</v>
      </c>
      <c r="B19" s="42"/>
      <c r="C19" s="42"/>
      <c r="D19" s="43"/>
    </row>
    <row r="20" spans="1:5" x14ac:dyDescent="0.2">
      <c r="A20" s="149" t="s">
        <v>613</v>
      </c>
      <c r="B20" s="42"/>
      <c r="C20" s="42"/>
      <c r="D20" s="43"/>
    </row>
    <row r="21" spans="1:5" x14ac:dyDescent="0.2">
      <c r="A21" s="141" t="s">
        <v>614</v>
      </c>
      <c r="B21" s="42"/>
      <c r="C21" s="42"/>
      <c r="D21" s="43"/>
    </row>
    <row r="22" spans="1:5" x14ac:dyDescent="0.2">
      <c r="A22" s="149" t="s">
        <v>615</v>
      </c>
      <c r="B22" s="42"/>
      <c r="C22" s="42"/>
      <c r="D22" s="43"/>
    </row>
    <row r="23" spans="1:5" x14ac:dyDescent="0.2">
      <c r="A23" s="149" t="s">
        <v>616</v>
      </c>
      <c r="B23" s="42"/>
      <c r="C23" s="42"/>
      <c r="D23" s="43"/>
    </row>
    <row r="24" spans="1:5" x14ac:dyDescent="0.2">
      <c r="A24" s="149" t="s">
        <v>617</v>
      </c>
      <c r="B24" s="62"/>
      <c r="C24" s="62"/>
      <c r="D24" s="63"/>
    </row>
    <row r="25" spans="1:5" x14ac:dyDescent="0.2">
      <c r="A25" s="141" t="s">
        <v>618</v>
      </c>
      <c r="B25" s="42"/>
      <c r="C25" s="42"/>
      <c r="D25" s="43"/>
    </row>
    <row r="26" spans="1:5" x14ac:dyDescent="0.2">
      <c r="A26" s="141" t="s">
        <v>619</v>
      </c>
      <c r="B26" s="42"/>
      <c r="C26" s="42"/>
      <c r="D26" s="43"/>
    </row>
    <row r="27" spans="1:5" x14ac:dyDescent="0.2">
      <c r="A27" s="149" t="s">
        <v>620</v>
      </c>
      <c r="B27" s="42"/>
      <c r="C27" s="42"/>
      <c r="D27" s="43"/>
      <c r="E27" s="153"/>
    </row>
    <row r="28" spans="1:5" x14ac:dyDescent="0.2">
      <c r="A28" s="149" t="s">
        <v>621</v>
      </c>
      <c r="B28" s="62"/>
      <c r="C28" s="62"/>
      <c r="D28" s="90"/>
      <c r="E28" s="154" t="s">
        <v>622</v>
      </c>
    </row>
    <row r="29" spans="1:5" x14ac:dyDescent="0.2">
      <c r="A29" s="149" t="s">
        <v>623</v>
      </c>
      <c r="B29" s="42"/>
      <c r="C29" s="42"/>
      <c r="D29" s="89"/>
      <c r="E29" s="65"/>
    </row>
    <row r="30" spans="1:5" x14ac:dyDescent="0.2">
      <c r="A30" s="149" t="s">
        <v>624</v>
      </c>
      <c r="B30" s="42"/>
      <c r="C30" s="42"/>
      <c r="D30" s="89"/>
      <c r="E30" s="65"/>
    </row>
    <row r="31" spans="1:5" x14ac:dyDescent="0.2">
      <c r="A31" s="149" t="s">
        <v>625</v>
      </c>
      <c r="B31" s="42"/>
      <c r="C31" s="42"/>
      <c r="D31" s="89"/>
      <c r="E31" s="65"/>
    </row>
    <row r="32" spans="1:5" x14ac:dyDescent="0.2">
      <c r="A32" s="151" t="s">
        <v>212</v>
      </c>
      <c r="B32" s="48"/>
      <c r="C32" s="48"/>
      <c r="D32" s="91"/>
      <c r="E32" s="58"/>
    </row>
    <row r="34" spans="1:6" ht="15.75" x14ac:dyDescent="0.25">
      <c r="A34" s="142" t="s">
        <v>626</v>
      </c>
      <c r="B34" s="143"/>
      <c r="C34" s="143"/>
      <c r="D34" s="143"/>
      <c r="E34" s="143"/>
      <c r="F34" s="143"/>
    </row>
    <row r="35" spans="1:6" x14ac:dyDescent="0.2">
      <c r="A35" s="145" t="s">
        <v>398</v>
      </c>
      <c r="B35" s="146" t="s">
        <v>194</v>
      </c>
      <c r="C35" s="146" t="s">
        <v>399</v>
      </c>
      <c r="D35" s="146" t="s">
        <v>400</v>
      </c>
      <c r="E35" s="146" t="s">
        <v>401</v>
      </c>
      <c r="F35" s="146" t="s">
        <v>402</v>
      </c>
    </row>
    <row r="36" spans="1:6" x14ac:dyDescent="0.2">
      <c r="A36" s="155" t="s">
        <v>463</v>
      </c>
      <c r="B36" s="16"/>
      <c r="C36" s="16"/>
      <c r="D36" s="16"/>
      <c r="E36" s="16"/>
      <c r="F36" s="16"/>
    </row>
    <row r="37" spans="1:6" x14ac:dyDescent="0.2">
      <c r="A37" s="156" t="s">
        <v>462</v>
      </c>
      <c r="B37" s="16"/>
      <c r="C37" s="16"/>
      <c r="D37" s="16"/>
      <c r="E37" s="16"/>
      <c r="F37" s="16"/>
    </row>
    <row r="38" spans="1:6" x14ac:dyDescent="0.2">
      <c r="A38" s="155" t="s">
        <v>465</v>
      </c>
      <c r="B38" s="16"/>
      <c r="C38" s="16"/>
      <c r="D38" s="16"/>
      <c r="E38" s="16"/>
      <c r="F38" s="16"/>
    </row>
    <row r="39" spans="1:6" x14ac:dyDescent="0.2">
      <c r="A39" s="156" t="s">
        <v>464</v>
      </c>
      <c r="B39" s="16"/>
      <c r="C39" s="16"/>
      <c r="D39" s="16"/>
      <c r="E39" s="16"/>
      <c r="F39" s="16"/>
    </row>
    <row r="40" spans="1:6" x14ac:dyDescent="0.2">
      <c r="A40" s="155" t="s">
        <v>467</v>
      </c>
      <c r="B40" s="16"/>
      <c r="C40" s="16"/>
      <c r="D40" s="16"/>
      <c r="E40" s="16"/>
      <c r="F40" s="16"/>
    </row>
    <row r="41" spans="1:6" x14ac:dyDescent="0.2">
      <c r="A41" s="156" t="s">
        <v>466</v>
      </c>
      <c r="B41" s="16"/>
      <c r="C41" s="16"/>
      <c r="D41" s="16"/>
      <c r="E41" s="16"/>
      <c r="F41" s="16"/>
    </row>
    <row r="42" spans="1:6" x14ac:dyDescent="0.2">
      <c r="A42" s="156" t="s">
        <v>627</v>
      </c>
      <c r="B42" s="16"/>
      <c r="C42" s="16"/>
      <c r="D42" s="16"/>
      <c r="E42" s="16"/>
      <c r="F42" s="16"/>
    </row>
    <row r="43" spans="1:6" x14ac:dyDescent="0.2">
      <c r="A43" s="155" t="s">
        <v>468</v>
      </c>
      <c r="B43" s="16"/>
      <c r="C43" s="16"/>
      <c r="D43" s="16"/>
      <c r="E43" s="16"/>
      <c r="F43" s="16"/>
    </row>
    <row r="44" spans="1:6" x14ac:dyDescent="0.2">
      <c r="A44" s="157" t="s">
        <v>470</v>
      </c>
      <c r="B44" s="19"/>
      <c r="C44" s="19"/>
      <c r="D44" s="19"/>
      <c r="E44" s="19"/>
      <c r="F44" s="19"/>
    </row>
    <row r="45" spans="1:6" ht="15.75" x14ac:dyDescent="0.25">
      <c r="A45" s="158" t="s">
        <v>628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E1" sqref="E1"/>
    </sheetView>
  </sheetViews>
  <sheetFormatPr baseColWidth="10" defaultColWidth="11.42578125" defaultRowHeight="12.75" x14ac:dyDescent="0.2"/>
  <cols>
    <col min="1" max="1" width="43" style="141" customWidth="1"/>
    <col min="2" max="7" width="14" style="141" customWidth="1"/>
    <col min="8" max="8" width="17.42578125" style="141" customWidth="1"/>
    <col min="9" max="16384" width="11.42578125" style="141"/>
  </cols>
  <sheetData>
    <row r="1" spans="1:7" x14ac:dyDescent="0.2">
      <c r="A1" s="1" t="s">
        <v>0</v>
      </c>
      <c r="B1"/>
      <c r="C1"/>
      <c r="D1"/>
      <c r="E1" s="526">
        <f>InfoInicial!E1</f>
        <v>3</v>
      </c>
    </row>
    <row r="2" spans="1:7" ht="15.75" x14ac:dyDescent="0.25">
      <c r="A2" s="142" t="s">
        <v>530</v>
      </c>
      <c r="B2" s="143"/>
      <c r="C2" s="143"/>
      <c r="D2" s="143"/>
      <c r="E2" s="143"/>
      <c r="F2" s="143"/>
      <c r="G2" s="144"/>
    </row>
    <row r="3" spans="1:7" ht="15.75" x14ac:dyDescent="0.25">
      <c r="A3" s="159"/>
      <c r="B3" s="160" t="s">
        <v>531</v>
      </c>
      <c r="C3" s="160"/>
      <c r="D3" s="160"/>
      <c r="E3" s="160"/>
      <c r="F3" s="160"/>
      <c r="G3" s="161"/>
    </row>
    <row r="4" spans="1:7" x14ac:dyDescent="0.2">
      <c r="A4" s="162" t="s">
        <v>398</v>
      </c>
      <c r="B4" s="163" t="s">
        <v>359</v>
      </c>
      <c r="C4" s="146" t="s">
        <v>194</v>
      </c>
      <c r="D4" s="146" t="s">
        <v>399</v>
      </c>
      <c r="E4" s="146" t="s">
        <v>400</v>
      </c>
      <c r="F4" s="146" t="s">
        <v>401</v>
      </c>
      <c r="G4" s="148" t="s">
        <v>402</v>
      </c>
    </row>
    <row r="5" spans="1:7" x14ac:dyDescent="0.2">
      <c r="A5" s="164" t="s">
        <v>629</v>
      </c>
      <c r="B5" s="98"/>
      <c r="C5" s="82"/>
      <c r="D5" s="82"/>
      <c r="E5" s="82"/>
      <c r="F5" s="82"/>
      <c r="G5" s="83"/>
    </row>
    <row r="6" spans="1:7" x14ac:dyDescent="0.2">
      <c r="A6" s="165" t="s">
        <v>630</v>
      </c>
      <c r="B6" s="100"/>
      <c r="C6" s="42"/>
      <c r="D6" s="42"/>
      <c r="E6" s="42"/>
      <c r="F6" s="42"/>
      <c r="G6" s="43"/>
    </row>
    <row r="7" spans="1:7" x14ac:dyDescent="0.2">
      <c r="A7" s="165" t="s">
        <v>631</v>
      </c>
      <c r="B7" s="100"/>
      <c r="C7" s="42"/>
      <c r="D7" s="42"/>
      <c r="E7" s="42"/>
      <c r="F7" s="42"/>
      <c r="G7" s="43"/>
    </row>
    <row r="8" spans="1:7" x14ac:dyDescent="0.2">
      <c r="A8" s="166" t="s">
        <v>632</v>
      </c>
      <c r="B8" s="100"/>
      <c r="C8" s="42"/>
      <c r="D8" s="42"/>
      <c r="E8" s="42"/>
      <c r="F8" s="42"/>
      <c r="G8" s="43"/>
    </row>
    <row r="9" spans="1:7" x14ac:dyDescent="0.2">
      <c r="A9" s="166" t="s">
        <v>633</v>
      </c>
      <c r="B9" s="100"/>
      <c r="C9" s="42"/>
      <c r="D9" s="42"/>
      <c r="E9" s="42"/>
      <c r="F9" s="42"/>
      <c r="G9" s="43"/>
    </row>
    <row r="10" spans="1:7" x14ac:dyDescent="0.2">
      <c r="A10" s="167" t="s">
        <v>634</v>
      </c>
      <c r="B10" s="100"/>
      <c r="C10" s="42"/>
      <c r="D10" s="42"/>
      <c r="E10" s="42"/>
      <c r="F10" s="42"/>
      <c r="G10" s="43"/>
    </row>
    <row r="11" spans="1:7" x14ac:dyDescent="0.2">
      <c r="A11" s="167"/>
      <c r="B11" s="102"/>
      <c r="C11" s="62"/>
      <c r="D11" s="62"/>
      <c r="E11" s="62"/>
      <c r="F11" s="62"/>
      <c r="G11" s="63"/>
    </row>
    <row r="12" spans="1:7" x14ac:dyDescent="0.2">
      <c r="A12" s="165" t="s">
        <v>541</v>
      </c>
      <c r="B12" s="100"/>
      <c r="C12" s="42"/>
      <c r="D12" s="42"/>
      <c r="E12" s="42"/>
      <c r="F12" s="42"/>
      <c r="G12" s="43"/>
    </row>
    <row r="13" spans="1:7" x14ac:dyDescent="0.2">
      <c r="A13" s="165" t="s">
        <v>542</v>
      </c>
      <c r="B13" s="100"/>
      <c r="C13" s="42"/>
      <c r="D13" s="42"/>
      <c r="E13" s="42"/>
      <c r="F13" s="42"/>
      <c r="G13" s="43"/>
    </row>
    <row r="14" spans="1:7" x14ac:dyDescent="0.2">
      <c r="A14" s="167" t="s">
        <v>635</v>
      </c>
      <c r="B14" s="100"/>
      <c r="C14" s="42"/>
      <c r="D14" s="42"/>
      <c r="E14" s="42"/>
      <c r="F14" s="42"/>
      <c r="G14" s="43"/>
    </row>
    <row r="15" spans="1:7" x14ac:dyDescent="0.2">
      <c r="A15" s="165"/>
      <c r="B15" s="102"/>
      <c r="C15" s="62"/>
      <c r="D15" s="62"/>
      <c r="E15" s="62"/>
      <c r="F15" s="62"/>
      <c r="G15" s="63"/>
    </row>
    <row r="16" spans="1:7" x14ac:dyDescent="0.2">
      <c r="A16" s="168" t="s">
        <v>636</v>
      </c>
      <c r="B16" s="100"/>
      <c r="C16" s="42"/>
      <c r="D16" s="42"/>
      <c r="E16" s="42"/>
      <c r="F16" s="42"/>
      <c r="G16" s="43"/>
    </row>
    <row r="17" spans="1:7" x14ac:dyDescent="0.2">
      <c r="A17" s="168" t="s">
        <v>637</v>
      </c>
      <c r="B17" s="100"/>
      <c r="C17" s="42"/>
      <c r="D17" s="42"/>
      <c r="E17" s="42"/>
      <c r="F17" s="42"/>
      <c r="G17" s="43"/>
    </row>
    <row r="18" spans="1:7" x14ac:dyDescent="0.2">
      <c r="A18" s="167" t="s">
        <v>638</v>
      </c>
      <c r="B18" s="100"/>
      <c r="C18" s="42"/>
      <c r="D18" s="42"/>
      <c r="E18" s="42"/>
      <c r="F18" s="42"/>
      <c r="G18" s="43"/>
    </row>
    <row r="19" spans="1:7" x14ac:dyDescent="0.2">
      <c r="A19" s="167" t="s">
        <v>639</v>
      </c>
      <c r="B19" s="100"/>
      <c r="C19" s="42"/>
      <c r="D19" s="42"/>
      <c r="E19" s="42"/>
      <c r="F19" s="42"/>
      <c r="G19" s="43"/>
    </row>
    <row r="20" spans="1:7" x14ac:dyDescent="0.2">
      <c r="A20" s="165"/>
      <c r="B20" s="102"/>
      <c r="C20" s="62"/>
      <c r="D20" s="62"/>
      <c r="E20" s="62"/>
      <c r="F20" s="62"/>
      <c r="G20" s="63"/>
    </row>
    <row r="21" spans="1:7" x14ac:dyDescent="0.2">
      <c r="A21" s="169" t="s">
        <v>548</v>
      </c>
      <c r="B21" s="105"/>
      <c r="C21" s="48"/>
      <c r="D21" s="48"/>
      <c r="E21" s="48"/>
      <c r="F21" s="48"/>
      <c r="G21" s="49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E1" sqref="E1"/>
    </sheetView>
  </sheetViews>
  <sheetFormatPr baseColWidth="10" defaultColWidth="11.42578125" defaultRowHeight="12.75" x14ac:dyDescent="0.2"/>
  <cols>
    <col min="1" max="1" width="41" style="170" customWidth="1"/>
    <col min="2" max="8" width="14.85546875" style="170" customWidth="1"/>
    <col min="9" max="9" width="17.42578125" style="170" customWidth="1"/>
    <col min="10" max="16384" width="11.42578125" style="170"/>
  </cols>
  <sheetData>
    <row r="1" spans="1:8" x14ac:dyDescent="0.2">
      <c r="A1" s="1" t="s">
        <v>0</v>
      </c>
      <c r="B1"/>
      <c r="C1"/>
      <c r="D1"/>
      <c r="E1" s="526">
        <f>InfoInicial!E1</f>
        <v>3</v>
      </c>
    </row>
    <row r="3" spans="1:8" ht="15.75" x14ac:dyDescent="0.25">
      <c r="A3" s="171" t="s">
        <v>640</v>
      </c>
      <c r="B3" s="172"/>
      <c r="C3" s="172"/>
      <c r="D3" s="172"/>
      <c r="E3" s="172"/>
      <c r="F3" s="172"/>
      <c r="G3" s="173"/>
      <c r="H3" s="174"/>
    </row>
    <row r="4" spans="1:8" x14ac:dyDescent="0.2">
      <c r="A4" s="175"/>
      <c r="B4" s="176" t="s">
        <v>359</v>
      </c>
      <c r="C4" s="176" t="s">
        <v>194</v>
      </c>
      <c r="D4" s="176" t="s">
        <v>399</v>
      </c>
      <c r="E4" s="176" t="s">
        <v>400</v>
      </c>
      <c r="F4" s="176" t="s">
        <v>401</v>
      </c>
      <c r="G4" s="177" t="s">
        <v>402</v>
      </c>
      <c r="H4" s="178" t="s">
        <v>212</v>
      </c>
    </row>
    <row r="5" spans="1:8" x14ac:dyDescent="0.2">
      <c r="A5" s="149" t="s">
        <v>641</v>
      </c>
      <c r="B5" s="68"/>
      <c r="C5" s="68"/>
      <c r="D5" s="68"/>
      <c r="E5" s="68"/>
      <c r="F5" s="68"/>
      <c r="G5" s="179"/>
      <c r="H5" s="69"/>
    </row>
    <row r="6" spans="1:8" x14ac:dyDescent="0.2">
      <c r="A6" s="141" t="s">
        <v>642</v>
      </c>
      <c r="B6" s="42"/>
      <c r="C6" s="42"/>
      <c r="D6" s="42"/>
      <c r="E6" s="42"/>
      <c r="F6" s="42"/>
      <c r="G6" s="89"/>
      <c r="H6" s="43"/>
    </row>
    <row r="7" spans="1:8" x14ac:dyDescent="0.2">
      <c r="A7" s="141" t="s">
        <v>643</v>
      </c>
      <c r="B7" s="180"/>
      <c r="C7" s="180"/>
      <c r="D7" s="180"/>
      <c r="E7" s="180"/>
      <c r="F7" s="180"/>
      <c r="G7" s="181"/>
      <c r="H7" s="182"/>
    </row>
    <row r="8" spans="1:8" x14ac:dyDescent="0.2">
      <c r="A8" s="141" t="s">
        <v>644</v>
      </c>
      <c r="B8" s="42"/>
      <c r="C8" s="42"/>
      <c r="D8" s="42"/>
      <c r="E8" s="42"/>
      <c r="F8" s="42"/>
      <c r="G8" s="89"/>
      <c r="H8" s="43"/>
    </row>
    <row r="9" spans="1:8" x14ac:dyDescent="0.2">
      <c r="A9" s="141" t="s">
        <v>645</v>
      </c>
      <c r="B9" s="180"/>
      <c r="C9" s="180"/>
      <c r="D9" s="180"/>
      <c r="E9" s="180"/>
      <c r="F9" s="180"/>
      <c r="G9" s="181"/>
      <c r="H9" s="182"/>
    </row>
    <row r="10" spans="1:8" x14ac:dyDescent="0.2">
      <c r="A10" s="141" t="s">
        <v>646</v>
      </c>
      <c r="B10" s="42"/>
      <c r="C10" s="42"/>
      <c r="D10" s="42"/>
      <c r="E10" s="42"/>
      <c r="F10" s="42"/>
      <c r="G10" s="89"/>
      <c r="H10" s="43"/>
    </row>
    <row r="11" spans="1:8" x14ac:dyDescent="0.2">
      <c r="A11" s="141" t="s">
        <v>647</v>
      </c>
      <c r="B11" s="68"/>
      <c r="C11" s="68"/>
      <c r="D11" s="68"/>
      <c r="E11" s="68"/>
      <c r="F11" s="68"/>
      <c r="G11" s="179"/>
      <c r="H11" s="69"/>
    </row>
    <row r="12" spans="1:8" x14ac:dyDescent="0.2">
      <c r="A12" s="141"/>
      <c r="B12" s="42"/>
      <c r="C12" s="42"/>
      <c r="D12" s="42"/>
      <c r="E12" s="42"/>
      <c r="F12" s="42"/>
      <c r="G12" s="89"/>
      <c r="H12" s="43"/>
    </row>
    <row r="13" spans="1:8" x14ac:dyDescent="0.2">
      <c r="A13" s="149" t="s">
        <v>648</v>
      </c>
      <c r="B13" s="42"/>
      <c r="C13" s="42"/>
      <c r="D13" s="42"/>
      <c r="E13" s="42"/>
      <c r="F13" s="42"/>
      <c r="G13" s="89"/>
      <c r="H13" s="43"/>
    </row>
    <row r="14" spans="1:8" x14ac:dyDescent="0.2">
      <c r="A14" s="141" t="s">
        <v>649</v>
      </c>
      <c r="B14" s="180"/>
      <c r="C14" s="180"/>
      <c r="D14" s="180"/>
      <c r="E14" s="180"/>
      <c r="F14" s="180"/>
      <c r="G14" s="181"/>
      <c r="H14" s="182"/>
    </row>
    <row r="15" spans="1:8" x14ac:dyDescent="0.2">
      <c r="A15" s="141" t="s">
        <v>572</v>
      </c>
      <c r="B15" s="42"/>
      <c r="C15" s="42"/>
      <c r="D15" s="42"/>
      <c r="E15" s="42"/>
      <c r="F15" s="42"/>
      <c r="G15" s="89"/>
      <c r="H15" s="43"/>
    </row>
    <row r="16" spans="1:8" x14ac:dyDescent="0.2">
      <c r="A16" s="141" t="s">
        <v>650</v>
      </c>
      <c r="B16" s="42"/>
      <c r="C16" s="42"/>
      <c r="D16" s="42"/>
      <c r="E16" s="42"/>
      <c r="F16" s="42"/>
      <c r="G16" s="89"/>
      <c r="H16" s="43"/>
    </row>
    <row r="17" spans="1:14" x14ac:dyDescent="0.2">
      <c r="A17" s="141" t="s">
        <v>651</v>
      </c>
      <c r="B17" s="42"/>
      <c r="C17" s="42"/>
      <c r="D17" s="42"/>
      <c r="E17" s="42"/>
      <c r="F17" s="42"/>
      <c r="G17" s="89"/>
      <c r="H17" s="43"/>
    </row>
    <row r="18" spans="1:14" x14ac:dyDescent="0.2">
      <c r="A18" s="141" t="s">
        <v>652</v>
      </c>
      <c r="B18" s="180"/>
      <c r="C18" s="180"/>
      <c r="D18" s="180"/>
      <c r="E18" s="180"/>
      <c r="F18" s="180"/>
      <c r="G18" s="181"/>
      <c r="H18" s="182"/>
    </row>
    <row r="19" spans="1:14" x14ac:dyDescent="0.2">
      <c r="A19" s="141" t="s">
        <v>653</v>
      </c>
      <c r="B19" s="42"/>
      <c r="C19" s="42"/>
      <c r="D19" s="42"/>
      <c r="E19" s="42"/>
      <c r="F19" s="42"/>
      <c r="G19" s="89"/>
      <c r="H19" s="43"/>
    </row>
    <row r="20" spans="1:14" x14ac:dyDescent="0.2">
      <c r="A20" s="141" t="s">
        <v>654</v>
      </c>
      <c r="B20" s="180"/>
      <c r="C20" s="180"/>
      <c r="D20" s="180"/>
      <c r="E20" s="180"/>
      <c r="F20" s="180"/>
      <c r="G20" s="181"/>
      <c r="H20" s="182"/>
    </row>
    <row r="21" spans="1:14" x14ac:dyDescent="0.2">
      <c r="A21" s="141" t="s">
        <v>655</v>
      </c>
      <c r="B21" s="42"/>
      <c r="C21" s="42"/>
      <c r="D21" s="42"/>
      <c r="E21" s="42"/>
      <c r="F21" s="42"/>
      <c r="G21" s="89"/>
      <c r="H21" s="43"/>
    </row>
    <row r="22" spans="1:14" x14ac:dyDescent="0.2">
      <c r="A22" s="141" t="s">
        <v>656</v>
      </c>
      <c r="B22" s="68"/>
      <c r="C22" s="68"/>
      <c r="D22" s="68"/>
      <c r="E22" s="68"/>
      <c r="F22" s="68"/>
      <c r="G22" s="179"/>
      <c r="H22" s="69"/>
    </row>
    <row r="23" spans="1:14" x14ac:dyDescent="0.2">
      <c r="A23" s="141"/>
      <c r="B23" s="62"/>
      <c r="C23" s="62"/>
      <c r="D23" s="62"/>
      <c r="E23" s="62"/>
      <c r="F23" s="62"/>
      <c r="G23" s="90"/>
      <c r="H23" s="63"/>
    </row>
    <row r="24" spans="1:14" x14ac:dyDescent="0.2">
      <c r="A24" s="149" t="s">
        <v>657</v>
      </c>
      <c r="B24" s="42"/>
      <c r="C24" s="42"/>
      <c r="D24" s="42"/>
      <c r="E24" s="42"/>
      <c r="F24" s="42"/>
      <c r="G24" s="89"/>
      <c r="H24" s="43"/>
    </row>
    <row r="25" spans="1:14" x14ac:dyDescent="0.2">
      <c r="A25" s="149" t="s">
        <v>658</v>
      </c>
      <c r="B25" s="42"/>
      <c r="C25" s="42"/>
      <c r="D25" s="42"/>
      <c r="E25" s="42"/>
      <c r="F25" s="42"/>
      <c r="G25" s="89"/>
      <c r="H25" s="43"/>
    </row>
    <row r="26" spans="1:14" x14ac:dyDescent="0.2">
      <c r="A26" s="149"/>
      <c r="B26" s="62"/>
      <c r="C26" s="62"/>
      <c r="D26" s="62"/>
      <c r="E26" s="62"/>
      <c r="F26" s="62"/>
      <c r="G26" s="90"/>
      <c r="H26" s="63"/>
    </row>
    <row r="27" spans="1:14" x14ac:dyDescent="0.2">
      <c r="A27" s="149" t="s">
        <v>659</v>
      </c>
      <c r="B27" s="70"/>
      <c r="C27" s="70"/>
      <c r="D27" s="70"/>
      <c r="E27" s="70"/>
      <c r="F27" s="70"/>
      <c r="G27" s="183"/>
      <c r="H27" s="71"/>
    </row>
    <row r="28" spans="1:14" x14ac:dyDescent="0.2">
      <c r="A28" s="157" t="s">
        <v>660</v>
      </c>
      <c r="B28" s="19"/>
      <c r="C28" s="19"/>
      <c r="D28" s="19"/>
      <c r="E28" s="19"/>
      <c r="F28" s="19"/>
      <c r="G28" s="184"/>
      <c r="H28" s="34"/>
      <c r="I28" s="141"/>
      <c r="J28" s="141"/>
      <c r="K28" s="141"/>
      <c r="L28" s="141"/>
      <c r="M28" s="141"/>
      <c r="N28" s="141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E1" sqref="E1"/>
    </sheetView>
  </sheetViews>
  <sheetFormatPr baseColWidth="10" defaultColWidth="11.42578125" defaultRowHeight="12.75" x14ac:dyDescent="0.2"/>
  <cols>
    <col min="1" max="1" width="37.7109375" style="141" customWidth="1"/>
    <col min="2" max="7" width="14.85546875" style="141" customWidth="1"/>
    <col min="8" max="8" width="17.42578125" style="141" customWidth="1"/>
    <col min="9" max="16384" width="11.42578125" style="141"/>
  </cols>
  <sheetData>
    <row r="1" spans="1:7" x14ac:dyDescent="0.2">
      <c r="A1" s="1" t="s">
        <v>0</v>
      </c>
      <c r="B1"/>
      <c r="C1"/>
      <c r="D1"/>
      <c r="E1" s="526">
        <f>InfoInicial!E1</f>
        <v>3</v>
      </c>
    </row>
    <row r="3" spans="1:7" ht="15.75" x14ac:dyDescent="0.25">
      <c r="A3" s="171" t="s">
        <v>661</v>
      </c>
      <c r="B3" s="172"/>
      <c r="C3" s="172"/>
      <c r="D3" s="172"/>
      <c r="E3" s="172"/>
      <c r="F3" s="172"/>
      <c r="G3" s="174"/>
    </row>
    <row r="4" spans="1:7" x14ac:dyDescent="0.2">
      <c r="A4" s="185"/>
      <c r="B4" s="186" t="s">
        <v>359</v>
      </c>
      <c r="C4" s="186" t="s">
        <v>194</v>
      </c>
      <c r="D4" s="186" t="s">
        <v>399</v>
      </c>
      <c r="E4" s="186" t="s">
        <v>400</v>
      </c>
      <c r="F4" s="186" t="s">
        <v>401</v>
      </c>
      <c r="G4" s="187" t="s">
        <v>402</v>
      </c>
    </row>
    <row r="5" spans="1:7" x14ac:dyDescent="0.2">
      <c r="A5" s="188" t="s">
        <v>662</v>
      </c>
      <c r="B5" s="189"/>
      <c r="C5" s="189"/>
      <c r="D5" s="189"/>
      <c r="E5" s="189"/>
      <c r="F5" s="189"/>
      <c r="G5" s="190"/>
    </row>
    <row r="6" spans="1:7" x14ac:dyDescent="0.2">
      <c r="A6" s="155" t="s">
        <v>663</v>
      </c>
      <c r="B6" s="62"/>
      <c r="C6" s="62"/>
      <c r="D6" s="62"/>
      <c r="E6" s="62"/>
      <c r="F6" s="62"/>
      <c r="G6" s="63"/>
    </row>
    <row r="7" spans="1:7" x14ac:dyDescent="0.2">
      <c r="A7" s="175" t="s">
        <v>664</v>
      </c>
      <c r="B7" s="180"/>
      <c r="C7" s="180"/>
      <c r="D7" s="180"/>
      <c r="E7" s="180"/>
      <c r="F7" s="180"/>
      <c r="G7" s="182"/>
    </row>
    <row r="8" spans="1:7" x14ac:dyDescent="0.2">
      <c r="A8" s="175" t="s">
        <v>665</v>
      </c>
      <c r="B8" s="42"/>
      <c r="C8" s="42"/>
      <c r="D8" s="42"/>
      <c r="E8" s="42"/>
      <c r="F8" s="42"/>
      <c r="G8" s="43"/>
    </row>
    <row r="9" spans="1:7" x14ac:dyDescent="0.2">
      <c r="A9" s="155" t="s">
        <v>666</v>
      </c>
      <c r="B9" s="180"/>
      <c r="C9" s="180"/>
      <c r="D9" s="180"/>
      <c r="E9" s="180"/>
      <c r="F9" s="180"/>
      <c r="G9" s="182"/>
    </row>
    <row r="10" spans="1:7" x14ac:dyDescent="0.2">
      <c r="A10" s="155" t="s">
        <v>667</v>
      </c>
      <c r="B10" s="42"/>
      <c r="C10" s="42"/>
      <c r="D10" s="42"/>
      <c r="E10" s="42"/>
      <c r="F10" s="42"/>
      <c r="G10" s="43"/>
    </row>
    <row r="11" spans="1:7" x14ac:dyDescent="0.2">
      <c r="A11" s="155" t="s">
        <v>668</v>
      </c>
      <c r="B11" s="68"/>
      <c r="C11" s="68"/>
      <c r="D11" s="68"/>
      <c r="E11" s="68"/>
      <c r="F11" s="68"/>
      <c r="G11" s="69"/>
    </row>
    <row r="12" spans="1:7" x14ac:dyDescent="0.2">
      <c r="A12" s="155" t="s">
        <v>669</v>
      </c>
      <c r="B12" s="68"/>
      <c r="C12" s="68"/>
      <c r="D12" s="68"/>
      <c r="E12" s="68"/>
      <c r="F12" s="68"/>
      <c r="G12" s="69"/>
    </row>
    <row r="13" spans="1:7" x14ac:dyDescent="0.2">
      <c r="A13" s="155" t="s">
        <v>670</v>
      </c>
      <c r="B13" s="191"/>
      <c r="C13" s="191"/>
      <c r="D13" s="191"/>
      <c r="E13" s="191"/>
      <c r="F13" s="191"/>
      <c r="G13" s="192"/>
    </row>
    <row r="14" spans="1:7" x14ac:dyDescent="0.2">
      <c r="A14" s="175" t="s">
        <v>671</v>
      </c>
      <c r="B14" s="42"/>
      <c r="C14" s="42"/>
      <c r="D14" s="42"/>
      <c r="E14" s="42"/>
      <c r="F14" s="42"/>
      <c r="G14" s="43"/>
    </row>
    <row r="15" spans="1:7" x14ac:dyDescent="0.2">
      <c r="A15" s="175" t="s">
        <v>672</v>
      </c>
      <c r="B15" s="180"/>
      <c r="C15" s="180"/>
      <c r="D15" s="180"/>
      <c r="E15" s="180"/>
      <c r="F15" s="180"/>
      <c r="G15" s="182"/>
    </row>
    <row r="16" spans="1:7" x14ac:dyDescent="0.2">
      <c r="A16" s="175" t="s">
        <v>673</v>
      </c>
      <c r="B16" s="42"/>
      <c r="C16" s="42"/>
      <c r="D16" s="42"/>
      <c r="E16" s="42"/>
      <c r="F16" s="42"/>
      <c r="G16" s="43"/>
    </row>
    <row r="17" spans="1:7" x14ac:dyDescent="0.2">
      <c r="A17" s="175" t="s">
        <v>674</v>
      </c>
      <c r="B17" s="42"/>
      <c r="C17" s="42"/>
      <c r="D17" s="42"/>
      <c r="E17" s="42"/>
      <c r="F17" s="42"/>
      <c r="G17" s="43"/>
    </row>
    <row r="18" spans="1:7" x14ac:dyDescent="0.2">
      <c r="A18" s="155" t="s">
        <v>46</v>
      </c>
      <c r="B18" s="180"/>
      <c r="C18" s="180"/>
      <c r="D18" s="180"/>
      <c r="E18" s="180"/>
      <c r="F18" s="180"/>
      <c r="G18" s="182"/>
    </row>
    <row r="19" spans="1:7" x14ac:dyDescent="0.2">
      <c r="A19" s="175" t="s">
        <v>671</v>
      </c>
      <c r="B19" s="42"/>
      <c r="C19" s="42"/>
      <c r="D19" s="42"/>
      <c r="E19" s="42"/>
      <c r="F19" s="42"/>
      <c r="G19" s="43"/>
    </row>
    <row r="20" spans="1:7" x14ac:dyDescent="0.2">
      <c r="A20" s="175" t="s">
        <v>675</v>
      </c>
      <c r="B20" s="42"/>
      <c r="C20" s="42"/>
      <c r="D20" s="42"/>
      <c r="E20" s="42"/>
      <c r="F20" s="42"/>
      <c r="G20" s="43"/>
    </row>
    <row r="21" spans="1:7" x14ac:dyDescent="0.2">
      <c r="A21" s="175" t="s">
        <v>676</v>
      </c>
      <c r="B21" s="42"/>
      <c r="C21" s="42"/>
      <c r="D21" s="42"/>
      <c r="E21" s="42"/>
      <c r="F21" s="42"/>
      <c r="G21" s="43"/>
    </row>
    <row r="22" spans="1:7" x14ac:dyDescent="0.2">
      <c r="A22" s="175" t="s">
        <v>674</v>
      </c>
      <c r="B22" s="180"/>
      <c r="C22" s="180"/>
      <c r="D22" s="180"/>
      <c r="E22" s="180"/>
      <c r="F22" s="180"/>
      <c r="G22" s="182"/>
    </row>
    <row r="23" spans="1:7" x14ac:dyDescent="0.2">
      <c r="A23" s="155" t="s">
        <v>677</v>
      </c>
      <c r="B23" s="180"/>
      <c r="C23" s="180"/>
      <c r="D23" s="180"/>
      <c r="E23" s="180"/>
      <c r="F23" s="180"/>
      <c r="G23" s="182"/>
    </row>
    <row r="24" spans="1:7" x14ac:dyDescent="0.2">
      <c r="A24" s="155" t="s">
        <v>678</v>
      </c>
      <c r="B24" s="180"/>
      <c r="C24" s="180"/>
      <c r="D24" s="180"/>
      <c r="E24" s="180"/>
      <c r="F24" s="180"/>
      <c r="G24" s="182"/>
    </row>
    <row r="25" spans="1:7" x14ac:dyDescent="0.2">
      <c r="A25" s="155" t="s">
        <v>679</v>
      </c>
      <c r="B25" s="180"/>
      <c r="C25" s="180"/>
      <c r="D25" s="180"/>
      <c r="E25" s="180"/>
      <c r="F25" s="180"/>
      <c r="G25" s="182"/>
    </row>
    <row r="26" spans="1:7" x14ac:dyDescent="0.2">
      <c r="A26" s="155" t="s">
        <v>680</v>
      </c>
      <c r="B26" s="180"/>
      <c r="C26" s="180"/>
      <c r="D26" s="180"/>
      <c r="E26" s="180"/>
      <c r="F26" s="180"/>
      <c r="G26" s="182"/>
    </row>
    <row r="27" spans="1:7" x14ac:dyDescent="0.2">
      <c r="A27" s="155" t="s">
        <v>681</v>
      </c>
      <c r="B27" s="42"/>
      <c r="C27" s="42"/>
      <c r="D27" s="42"/>
      <c r="E27" s="42"/>
      <c r="F27" s="42"/>
      <c r="G27" s="43"/>
    </row>
    <row r="28" spans="1:7" x14ac:dyDescent="0.2">
      <c r="A28" s="155" t="s">
        <v>682</v>
      </c>
      <c r="B28" s="42"/>
      <c r="C28" s="42"/>
      <c r="D28" s="42"/>
      <c r="E28" s="42"/>
      <c r="F28" s="42"/>
      <c r="G28" s="43"/>
    </row>
    <row r="29" spans="1:7" x14ac:dyDescent="0.2">
      <c r="A29" s="155" t="s">
        <v>681</v>
      </c>
      <c r="B29" s="180"/>
      <c r="C29" s="180"/>
      <c r="D29" s="180"/>
      <c r="E29" s="180"/>
      <c r="F29" s="180"/>
      <c r="G29" s="182"/>
    </row>
    <row r="30" spans="1:7" x14ac:dyDescent="0.2">
      <c r="A30" s="155" t="s">
        <v>683</v>
      </c>
      <c r="B30" s="42"/>
      <c r="C30" s="42"/>
      <c r="D30" s="42"/>
      <c r="E30" s="42"/>
      <c r="F30" s="42"/>
      <c r="G30" s="43"/>
    </row>
    <row r="31" spans="1:7" x14ac:dyDescent="0.2">
      <c r="A31" s="155" t="s">
        <v>684</v>
      </c>
      <c r="B31" s="42"/>
      <c r="C31" s="42"/>
      <c r="D31" s="42"/>
      <c r="E31" s="42"/>
      <c r="F31" s="42"/>
      <c r="G31" s="43"/>
    </row>
    <row r="32" spans="1:7" x14ac:dyDescent="0.2">
      <c r="A32" s="155" t="s">
        <v>685</v>
      </c>
      <c r="B32" s="42"/>
      <c r="C32" s="42"/>
      <c r="D32" s="42"/>
      <c r="E32" s="42"/>
      <c r="F32" s="42"/>
      <c r="G32" s="43"/>
    </row>
    <row r="33" spans="1:7" x14ac:dyDescent="0.2">
      <c r="A33" s="155" t="s">
        <v>686</v>
      </c>
      <c r="B33" s="180"/>
      <c r="C33" s="180"/>
      <c r="D33" s="180"/>
      <c r="E33" s="180"/>
      <c r="F33" s="180"/>
      <c r="G33" s="182"/>
    </row>
    <row r="34" spans="1:7" x14ac:dyDescent="0.2">
      <c r="A34" s="155" t="s">
        <v>687</v>
      </c>
      <c r="B34" s="42"/>
      <c r="C34" s="42"/>
      <c r="D34" s="42"/>
      <c r="E34" s="42"/>
      <c r="F34" s="42"/>
      <c r="G34" s="43"/>
    </row>
    <row r="35" spans="1:7" x14ac:dyDescent="0.2">
      <c r="A35" s="157" t="s">
        <v>688</v>
      </c>
      <c r="B35" s="19"/>
      <c r="C35" s="19"/>
      <c r="D35" s="19"/>
      <c r="E35" s="19"/>
      <c r="F35" s="19"/>
      <c r="G35" s="34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G1" sqref="G1"/>
    </sheetView>
  </sheetViews>
  <sheetFormatPr baseColWidth="10" defaultColWidth="11.42578125" defaultRowHeight="12.75" x14ac:dyDescent="0.2"/>
  <cols>
    <col min="1" max="1" width="8" style="141" customWidth="1"/>
    <col min="2" max="14" width="14.85546875" style="141" customWidth="1"/>
    <col min="15" max="15" width="17.42578125" style="141" customWidth="1"/>
    <col min="16" max="16384" width="11.42578125" style="141"/>
  </cols>
  <sheetData>
    <row r="1" spans="1:14" x14ac:dyDescent="0.2">
      <c r="A1" s="1" t="s">
        <v>0</v>
      </c>
      <c r="B1"/>
      <c r="C1"/>
      <c r="D1"/>
      <c r="G1" s="526">
        <f>InfoInicial!E1</f>
        <v>3</v>
      </c>
    </row>
    <row r="3" spans="1:14" ht="15.75" x14ac:dyDescent="0.25">
      <c r="A3" s="142" t="s">
        <v>689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25.5" x14ac:dyDescent="0.2">
      <c r="A4" s="162" t="s">
        <v>550</v>
      </c>
      <c r="B4" s="163" t="s">
        <v>649</v>
      </c>
      <c r="C4" s="163" t="s">
        <v>690</v>
      </c>
      <c r="D4" s="163" t="s">
        <v>553</v>
      </c>
      <c r="E4" s="163" t="s">
        <v>3</v>
      </c>
      <c r="F4" s="163" t="s">
        <v>554</v>
      </c>
      <c r="G4" s="163" t="s">
        <v>555</v>
      </c>
      <c r="H4" s="163" t="s">
        <v>691</v>
      </c>
      <c r="I4" s="163" t="s">
        <v>692</v>
      </c>
      <c r="J4" s="163" t="s">
        <v>406</v>
      </c>
      <c r="K4" s="163" t="s">
        <v>557</v>
      </c>
      <c r="L4" s="163" t="s">
        <v>558</v>
      </c>
      <c r="M4" s="193" t="s">
        <v>559</v>
      </c>
      <c r="N4" s="194" t="s">
        <v>560</v>
      </c>
    </row>
    <row r="5" spans="1:14" x14ac:dyDescent="0.2">
      <c r="A5" s="195">
        <v>0</v>
      </c>
      <c r="B5" s="107"/>
      <c r="C5" s="40"/>
      <c r="D5" s="40"/>
      <c r="E5" s="40"/>
      <c r="F5" s="40"/>
      <c r="G5" s="40"/>
      <c r="H5" s="40"/>
      <c r="I5" s="40"/>
      <c r="J5" s="40"/>
      <c r="K5" s="40"/>
      <c r="L5" s="40"/>
      <c r="M5" s="108"/>
      <c r="N5" s="41"/>
    </row>
    <row r="6" spans="1:14" x14ac:dyDescent="0.2">
      <c r="A6" s="196">
        <v>1</v>
      </c>
      <c r="B6" s="100"/>
      <c r="C6" s="42"/>
      <c r="D6" s="42"/>
      <c r="E6" s="42"/>
      <c r="F6" s="42"/>
      <c r="G6" s="42"/>
      <c r="H6" s="42"/>
      <c r="I6" s="42"/>
      <c r="J6" s="42"/>
      <c r="K6" s="42"/>
      <c r="L6" s="42"/>
      <c r="M6" s="89"/>
      <c r="N6" s="43"/>
    </row>
    <row r="7" spans="1:14" x14ac:dyDescent="0.2">
      <c r="A7" s="196">
        <v>2</v>
      </c>
      <c r="B7" s="100"/>
      <c r="C7" s="42"/>
      <c r="D7" s="42"/>
      <c r="E7" s="42"/>
      <c r="F7" s="42"/>
      <c r="G7" s="42"/>
      <c r="H7" s="42"/>
      <c r="I7" s="42"/>
      <c r="J7" s="42"/>
      <c r="K7" s="42"/>
      <c r="L7" s="42"/>
      <c r="M7" s="89"/>
      <c r="N7" s="43"/>
    </row>
    <row r="8" spans="1:14" x14ac:dyDescent="0.2">
      <c r="A8" s="196">
        <v>3</v>
      </c>
      <c r="B8" s="100"/>
      <c r="C8" s="42"/>
      <c r="D8" s="42"/>
      <c r="E8" s="42"/>
      <c r="F8" s="42"/>
      <c r="G8" s="42"/>
      <c r="H8" s="42"/>
      <c r="I8" s="42"/>
      <c r="J8" s="42"/>
      <c r="K8" s="42"/>
      <c r="L8" s="42"/>
      <c r="M8" s="89"/>
      <c r="N8" s="43"/>
    </row>
    <row r="9" spans="1:14" x14ac:dyDescent="0.2">
      <c r="A9" s="196">
        <v>4</v>
      </c>
      <c r="B9" s="100"/>
      <c r="C9" s="42"/>
      <c r="D9" s="42"/>
      <c r="E9" s="42"/>
      <c r="F9" s="42"/>
      <c r="G9" s="42"/>
      <c r="H9" s="42"/>
      <c r="I9" s="42"/>
      <c r="J9" s="42"/>
      <c r="K9" s="42"/>
      <c r="L9" s="42"/>
      <c r="M9" s="89"/>
      <c r="N9" s="43"/>
    </row>
    <row r="10" spans="1:14" x14ac:dyDescent="0.2">
      <c r="A10" s="196">
        <v>5</v>
      </c>
      <c r="B10" s="10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89"/>
      <c r="N10" s="43"/>
    </row>
    <row r="11" spans="1:14" x14ac:dyDescent="0.2">
      <c r="A11" s="196"/>
      <c r="B11" s="10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90"/>
      <c r="N11" s="63"/>
    </row>
    <row r="12" spans="1:14" x14ac:dyDescent="0.2">
      <c r="A12" s="197" t="s">
        <v>561</v>
      </c>
      <c r="B12" s="10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91"/>
      <c r="N12" s="49"/>
    </row>
    <row r="14" spans="1:14" x14ac:dyDescent="0.2">
      <c r="C14" s="198" t="s">
        <v>562</v>
      </c>
      <c r="D14" s="700"/>
    </row>
    <row r="15" spans="1:14" x14ac:dyDescent="0.2">
      <c r="A15" s="149"/>
      <c r="C15" s="198" t="s">
        <v>563</v>
      </c>
      <c r="D15" s="701"/>
      <c r="E15" s="141" t="s">
        <v>564</v>
      </c>
    </row>
    <row r="16" spans="1:14" x14ac:dyDescent="0.2">
      <c r="C16" s="198" t="s">
        <v>693</v>
      </c>
      <c r="D16" s="702"/>
    </row>
    <row r="17" spans="1:15" x14ac:dyDescent="0.2">
      <c r="A17" s="199"/>
      <c r="B17" s="200"/>
      <c r="C17" s="200"/>
      <c r="D17" s="200"/>
      <c r="E17" s="201"/>
      <c r="F17" s="202"/>
      <c r="G17" s="202"/>
      <c r="H17" s="202"/>
      <c r="I17" s="202"/>
      <c r="J17" s="200"/>
      <c r="K17" s="202"/>
      <c r="L17" s="202"/>
      <c r="M17" s="202"/>
      <c r="N17" s="202"/>
      <c r="O17" s="200"/>
    </row>
    <row r="18" spans="1:15" ht="15.75" x14ac:dyDescent="0.25">
      <c r="A18" s="203"/>
      <c r="B18" s="202"/>
      <c r="C18" s="204"/>
      <c r="D18" s="202"/>
      <c r="E18" s="205"/>
      <c r="F18" s="202"/>
      <c r="G18" s="202"/>
      <c r="H18" s="202"/>
      <c r="I18" s="202"/>
      <c r="J18" s="202"/>
      <c r="K18" s="202"/>
      <c r="L18" s="202"/>
      <c r="M18" s="202"/>
      <c r="N18" s="202"/>
    </row>
    <row r="20" spans="1:15" x14ac:dyDescent="0.2">
      <c r="A20" s="206"/>
    </row>
    <row r="21" spans="1:15" ht="15.75" x14ac:dyDescent="0.25">
      <c r="A21" s="142" t="s">
        <v>694</v>
      </c>
      <c r="B21" s="143"/>
      <c r="C21" s="143"/>
      <c r="D21" s="143"/>
      <c r="E21" s="143"/>
      <c r="F21" s="143"/>
      <c r="G21" s="143"/>
      <c r="H21" s="144"/>
    </row>
    <row r="22" spans="1:15" ht="38.25" x14ac:dyDescent="0.2">
      <c r="A22" s="162" t="s">
        <v>550</v>
      </c>
      <c r="B22" s="163" t="s">
        <v>695</v>
      </c>
      <c r="C22" s="163" t="s">
        <v>555</v>
      </c>
      <c r="D22" s="163" t="s">
        <v>654</v>
      </c>
      <c r="E22" s="163" t="s">
        <v>696</v>
      </c>
      <c r="F22" s="163" t="s">
        <v>558</v>
      </c>
      <c r="G22" s="193" t="s">
        <v>559</v>
      </c>
      <c r="H22" s="194" t="s">
        <v>560</v>
      </c>
    </row>
    <row r="23" spans="1:15" x14ac:dyDescent="0.2">
      <c r="A23" s="195">
        <v>0</v>
      </c>
      <c r="B23" s="107"/>
      <c r="C23" s="40"/>
      <c r="D23" s="40"/>
      <c r="E23" s="40"/>
      <c r="F23" s="40"/>
      <c r="G23" s="108"/>
      <c r="H23" s="41"/>
    </row>
    <row r="24" spans="1:15" x14ac:dyDescent="0.2">
      <c r="A24" s="196">
        <v>1</v>
      </c>
      <c r="B24" s="100"/>
      <c r="C24" s="42"/>
      <c r="D24" s="42"/>
      <c r="E24" s="42"/>
      <c r="F24" s="42"/>
      <c r="G24" s="89"/>
      <c r="H24" s="43"/>
    </row>
    <row r="25" spans="1:15" x14ac:dyDescent="0.2">
      <c r="A25" s="196">
        <v>2</v>
      </c>
      <c r="B25" s="100"/>
      <c r="C25" s="42"/>
      <c r="D25" s="42"/>
      <c r="E25" s="42"/>
      <c r="F25" s="42"/>
      <c r="G25" s="89"/>
      <c r="H25" s="43"/>
    </row>
    <row r="26" spans="1:15" x14ac:dyDescent="0.2">
      <c r="A26" s="196">
        <v>3</v>
      </c>
      <c r="B26" s="100"/>
      <c r="C26" s="42"/>
      <c r="D26" s="42"/>
      <c r="E26" s="42"/>
      <c r="F26" s="42"/>
      <c r="G26" s="89"/>
      <c r="H26" s="43"/>
    </row>
    <row r="27" spans="1:15" x14ac:dyDescent="0.2">
      <c r="A27" s="196">
        <v>4</v>
      </c>
      <c r="B27" s="100"/>
      <c r="C27" s="42"/>
      <c r="D27" s="42"/>
      <c r="E27" s="42"/>
      <c r="F27" s="42"/>
      <c r="G27" s="89"/>
      <c r="H27" s="43"/>
    </row>
    <row r="28" spans="1:15" x14ac:dyDescent="0.2">
      <c r="A28" s="196">
        <v>5</v>
      </c>
      <c r="B28" s="100"/>
      <c r="C28" s="42"/>
      <c r="D28" s="42"/>
      <c r="E28" s="42"/>
      <c r="F28" s="42"/>
      <c r="G28" s="89"/>
      <c r="H28" s="43"/>
    </row>
    <row r="29" spans="1:15" x14ac:dyDescent="0.2">
      <c r="A29" s="196"/>
      <c r="B29" s="102"/>
      <c r="C29" s="62"/>
      <c r="D29" s="62"/>
      <c r="E29" s="62"/>
      <c r="F29" s="62"/>
      <c r="G29" s="90"/>
      <c r="H29" s="63"/>
    </row>
    <row r="30" spans="1:15" x14ac:dyDescent="0.2">
      <c r="A30" s="197" t="s">
        <v>561</v>
      </c>
      <c r="B30" s="105"/>
      <c r="C30" s="48"/>
      <c r="D30" s="48"/>
      <c r="E30" s="48"/>
      <c r="F30" s="48"/>
      <c r="G30" s="91"/>
      <c r="H30" s="49"/>
    </row>
    <row r="33" spans="3:5" x14ac:dyDescent="0.2">
      <c r="C33" s="198" t="s">
        <v>562</v>
      </c>
      <c r="D33" s="700"/>
      <c r="E33" s="141" t="s">
        <v>697</v>
      </c>
    </row>
    <row r="34" spans="3:5" x14ac:dyDescent="0.2">
      <c r="C34" s="198" t="s">
        <v>563</v>
      </c>
      <c r="D34" s="701"/>
      <c r="E34" s="141" t="s">
        <v>698</v>
      </c>
    </row>
    <row r="35" spans="3:5" x14ac:dyDescent="0.2">
      <c r="C35" s="198" t="s">
        <v>699</v>
      </c>
      <c r="D35" s="702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8"/>
  <sheetViews>
    <sheetView topLeftCell="A88" zoomScale="90" zoomScaleNormal="90" zoomScalePageLayoutView="90" workbookViewId="0">
      <selection activeCell="D113" sqref="D113"/>
    </sheetView>
  </sheetViews>
  <sheetFormatPr baseColWidth="10" defaultColWidth="11.42578125" defaultRowHeight="12.75" x14ac:dyDescent="0.2"/>
  <cols>
    <col min="1" max="1" width="24.28515625" style="261" bestFit="1" customWidth="1"/>
    <col min="2" max="2" width="11.140625" style="262" bestFit="1" customWidth="1"/>
    <col min="3" max="3" width="10.28515625" style="262" bestFit="1" customWidth="1"/>
    <col min="4" max="4" width="11.85546875" style="262" bestFit="1" customWidth="1"/>
    <col min="5" max="5" width="26.28515625" style="262" customWidth="1"/>
    <col min="6" max="6" width="17.28515625" style="262" customWidth="1"/>
    <col min="7" max="7" width="21.42578125" style="262" bestFit="1" customWidth="1"/>
    <col min="8" max="8" width="16.7109375" style="262" bestFit="1" customWidth="1"/>
    <col min="9" max="9" width="14.85546875" style="262" bestFit="1" customWidth="1"/>
    <col min="10" max="10" width="21.42578125" style="262" bestFit="1" customWidth="1"/>
    <col min="11" max="11" width="23" style="262" customWidth="1"/>
    <col min="12" max="12" width="15.85546875" style="262" customWidth="1"/>
    <col min="13" max="13" width="12.7109375" style="262" bestFit="1" customWidth="1"/>
    <col min="14" max="16384" width="11.42578125" style="262"/>
  </cols>
  <sheetData>
    <row r="1" spans="1:5" ht="15.75" x14ac:dyDescent="0.25">
      <c r="A1" s="243" t="s">
        <v>46</v>
      </c>
    </row>
    <row r="2" spans="1:5" ht="13.5" thickBot="1" x14ac:dyDescent="0.25"/>
    <row r="3" spans="1:5" ht="13.5" thickBot="1" x14ac:dyDescent="0.25">
      <c r="A3" s="254" t="s">
        <v>47</v>
      </c>
      <c r="B3" s="709" t="s">
        <v>48</v>
      </c>
      <c r="C3" s="710" t="s">
        <v>49</v>
      </c>
    </row>
    <row r="4" spans="1:5" ht="13.5" thickBot="1" x14ac:dyDescent="0.25">
      <c r="A4" s="317" t="s">
        <v>50</v>
      </c>
      <c r="B4" s="318">
        <v>430000</v>
      </c>
      <c r="C4" s="319">
        <f>B4*InfoInicial!B32</f>
        <v>7696999.9999999991</v>
      </c>
      <c r="D4" s="320" t="s">
        <v>51</v>
      </c>
    </row>
    <row r="5" spans="1:5" ht="13.5" thickBot="1" x14ac:dyDescent="0.25">
      <c r="A5" s="262"/>
    </row>
    <row r="6" spans="1:5" ht="13.5" thickBot="1" x14ac:dyDescent="0.25">
      <c r="A6" s="254" t="s">
        <v>52</v>
      </c>
      <c r="B6" s="709" t="s">
        <v>49</v>
      </c>
      <c r="C6" s="709" t="s">
        <v>53</v>
      </c>
      <c r="D6" s="710" t="s">
        <v>54</v>
      </c>
      <c r="E6" s="707" t="s">
        <v>55</v>
      </c>
    </row>
    <row r="7" spans="1:5" ht="13.5" thickBot="1" x14ac:dyDescent="0.25">
      <c r="A7" s="483" t="s">
        <v>56</v>
      </c>
      <c r="B7" s="484">
        <f>E7*InfoInicial!B33</f>
        <v>1468894</v>
      </c>
      <c r="C7" s="485">
        <v>1</v>
      </c>
      <c r="D7" s="486">
        <f t="shared" ref="D7:D15" si="0">B7*C7</f>
        <v>1468894</v>
      </c>
      <c r="E7" s="321">
        <v>66920</v>
      </c>
    </row>
    <row r="8" spans="1:5" x14ac:dyDescent="0.2">
      <c r="A8" s="483" t="s">
        <v>57</v>
      </c>
      <c r="B8" s="484">
        <v>18200</v>
      </c>
      <c r="C8" s="485">
        <v>1</v>
      </c>
      <c r="D8" s="486">
        <f t="shared" si="0"/>
        <v>18200</v>
      </c>
    </row>
    <row r="9" spans="1:5" x14ac:dyDescent="0.2">
      <c r="A9" s="634" t="s">
        <v>58</v>
      </c>
      <c r="B9" s="635">
        <v>11900</v>
      </c>
      <c r="C9" s="636">
        <v>1</v>
      </c>
      <c r="D9" s="637">
        <f t="shared" si="0"/>
        <v>11900</v>
      </c>
    </row>
    <row r="10" spans="1:5" x14ac:dyDescent="0.2">
      <c r="A10" s="634" t="s">
        <v>59</v>
      </c>
      <c r="B10" s="635">
        <v>55000</v>
      </c>
      <c r="C10" s="636">
        <v>1</v>
      </c>
      <c r="D10" s="637">
        <f t="shared" si="0"/>
        <v>55000</v>
      </c>
    </row>
    <row r="11" spans="1:5" x14ac:dyDescent="0.2">
      <c r="A11" s="634" t="s">
        <v>60</v>
      </c>
      <c r="B11" s="635">
        <v>1500</v>
      </c>
      <c r="C11" s="636">
        <v>2</v>
      </c>
      <c r="D11" s="637">
        <f t="shared" si="0"/>
        <v>3000</v>
      </c>
    </row>
    <row r="12" spans="1:5" x14ac:dyDescent="0.2">
      <c r="A12" s="634" t="s">
        <v>61</v>
      </c>
      <c r="B12" s="635">
        <v>55000</v>
      </c>
      <c r="C12" s="636">
        <v>6</v>
      </c>
      <c r="D12" s="637">
        <f t="shared" si="0"/>
        <v>330000</v>
      </c>
    </row>
    <row r="13" spans="1:5" x14ac:dyDescent="0.2">
      <c r="A13" s="634" t="s">
        <v>62</v>
      </c>
      <c r="B13" s="635">
        <v>8900</v>
      </c>
      <c r="C13" s="636">
        <v>4</v>
      </c>
      <c r="D13" s="637">
        <f t="shared" si="0"/>
        <v>35600</v>
      </c>
    </row>
    <row r="14" spans="1:5" x14ac:dyDescent="0.2">
      <c r="A14" s="634" t="s">
        <v>63</v>
      </c>
      <c r="B14" s="635">
        <v>25500</v>
      </c>
      <c r="C14" s="636">
        <v>1</v>
      </c>
      <c r="D14" s="637">
        <f t="shared" si="0"/>
        <v>25500</v>
      </c>
    </row>
    <row r="15" spans="1:5" ht="13.5" thickBot="1" x14ac:dyDescent="0.25">
      <c r="A15" s="537" t="s">
        <v>64</v>
      </c>
      <c r="B15" s="538">
        <v>165000</v>
      </c>
      <c r="C15" s="539">
        <v>1</v>
      </c>
      <c r="D15" s="540">
        <f t="shared" si="0"/>
        <v>165000</v>
      </c>
    </row>
    <row r="16" spans="1:5" ht="13.5" thickBot="1" x14ac:dyDescent="0.25">
      <c r="C16" s="322"/>
      <c r="D16" s="323">
        <f>SUM(D7:D15)</f>
        <v>2113094</v>
      </c>
    </row>
    <row r="17" spans="1:6" ht="13.5" thickBot="1" x14ac:dyDescent="0.25">
      <c r="C17" s="322"/>
    </row>
    <row r="18" spans="1:6" s="322" customFormat="1" ht="13.5" thickBot="1" x14ac:dyDescent="0.25">
      <c r="A18" s="254" t="s">
        <v>65</v>
      </c>
      <c r="B18" s="709" t="s">
        <v>49</v>
      </c>
      <c r="C18" s="709" t="s">
        <v>53</v>
      </c>
      <c r="D18" s="710" t="s">
        <v>54</v>
      </c>
    </row>
    <row r="19" spans="1:6" x14ac:dyDescent="0.2">
      <c r="A19" s="483" t="s">
        <v>66</v>
      </c>
      <c r="B19" s="484">
        <v>8850</v>
      </c>
      <c r="C19" s="485">
        <v>1</v>
      </c>
      <c r="D19" s="486">
        <f>B19*C19</f>
        <v>8850</v>
      </c>
    </row>
    <row r="20" spans="1:6" x14ac:dyDescent="0.2">
      <c r="A20" s="634" t="s">
        <v>67</v>
      </c>
      <c r="B20" s="635">
        <v>3100</v>
      </c>
      <c r="C20" s="636">
        <v>1</v>
      </c>
      <c r="D20" s="637">
        <f>B20*C20</f>
        <v>3100</v>
      </c>
    </row>
    <row r="21" spans="1:6" x14ac:dyDescent="0.2">
      <c r="A21" s="634" t="s">
        <v>68</v>
      </c>
      <c r="B21" s="635">
        <v>1492</v>
      </c>
      <c r="C21" s="636">
        <v>1</v>
      </c>
      <c r="D21" s="637">
        <f>B21*C21</f>
        <v>1492</v>
      </c>
    </row>
    <row r="22" spans="1:6" x14ac:dyDescent="0.2">
      <c r="A22" s="634" t="s">
        <v>69</v>
      </c>
      <c r="B22" s="635">
        <v>700000</v>
      </c>
      <c r="C22" s="636">
        <v>2</v>
      </c>
      <c r="D22" s="637">
        <f>B22*C22</f>
        <v>1400000</v>
      </c>
      <c r="E22" s="262" t="s">
        <v>70</v>
      </c>
      <c r="F22" s="324"/>
    </row>
    <row r="23" spans="1:6" ht="13.5" thickBot="1" x14ac:dyDescent="0.25">
      <c r="A23" s="537" t="s">
        <v>71</v>
      </c>
      <c r="B23" s="538">
        <v>62704</v>
      </c>
      <c r="C23" s="539">
        <v>1</v>
      </c>
      <c r="D23" s="540">
        <f>B23*C23</f>
        <v>62704</v>
      </c>
    </row>
    <row r="24" spans="1:6" ht="13.5" thickBot="1" x14ac:dyDescent="0.25">
      <c r="D24" s="325">
        <f>SUM(D19:D23)</f>
        <v>1476146</v>
      </c>
    </row>
    <row r="25" spans="1:6" ht="13.5" thickBot="1" x14ac:dyDescent="0.25"/>
    <row r="26" spans="1:6" ht="13.5" thickBot="1" x14ac:dyDescent="0.25">
      <c r="A26" s="254" t="s">
        <v>72</v>
      </c>
      <c r="B26" s="709" t="s">
        <v>49</v>
      </c>
      <c r="C26" s="709" t="s">
        <v>53</v>
      </c>
      <c r="D26" s="710" t="s">
        <v>54</v>
      </c>
    </row>
    <row r="27" spans="1:6" x14ac:dyDescent="0.2">
      <c r="A27" s="483" t="s">
        <v>73</v>
      </c>
      <c r="B27" s="484">
        <v>537</v>
      </c>
      <c r="C27" s="485">
        <v>50</v>
      </c>
      <c r="D27" s="486">
        <f>B27*C27</f>
        <v>26850</v>
      </c>
    </row>
    <row r="28" spans="1:6" x14ac:dyDescent="0.2">
      <c r="A28" s="483" t="s">
        <v>74</v>
      </c>
      <c r="B28" s="484">
        <v>310</v>
      </c>
      <c r="C28" s="485">
        <v>50</v>
      </c>
      <c r="D28" s="637">
        <f>B28*C28</f>
        <v>15500</v>
      </c>
    </row>
    <row r="29" spans="1:6" x14ac:dyDescent="0.2">
      <c r="A29" s="483" t="s">
        <v>75</v>
      </c>
      <c r="B29" s="484">
        <v>641</v>
      </c>
      <c r="C29" s="485">
        <v>28</v>
      </c>
      <c r="D29" s="637">
        <f t="shared" ref="D29:D53" si="1">B29*C29</f>
        <v>17948</v>
      </c>
    </row>
    <row r="30" spans="1:6" x14ac:dyDescent="0.2">
      <c r="A30" s="483" t="s">
        <v>76</v>
      </c>
      <c r="B30" s="484">
        <v>187</v>
      </c>
      <c r="C30" s="485">
        <v>100</v>
      </c>
      <c r="D30" s="637">
        <f t="shared" si="1"/>
        <v>18700</v>
      </c>
    </row>
    <row r="31" spans="1:6" x14ac:dyDescent="0.2">
      <c r="A31" s="483" t="s">
        <v>77</v>
      </c>
      <c r="B31" s="484">
        <v>1198</v>
      </c>
      <c r="C31" s="485">
        <v>7</v>
      </c>
      <c r="D31" s="637">
        <f t="shared" si="1"/>
        <v>8386</v>
      </c>
    </row>
    <row r="32" spans="1:6" x14ac:dyDescent="0.2">
      <c r="A32" s="483" t="s">
        <v>78</v>
      </c>
      <c r="B32" s="484">
        <v>2000</v>
      </c>
      <c r="C32" s="485">
        <v>14</v>
      </c>
      <c r="D32" s="637">
        <f t="shared" si="1"/>
        <v>28000</v>
      </c>
    </row>
    <row r="33" spans="1:4" x14ac:dyDescent="0.2">
      <c r="A33" s="483" t="s">
        <v>79</v>
      </c>
      <c r="B33" s="484">
        <v>36500</v>
      </c>
      <c r="C33" s="485">
        <v>2</v>
      </c>
      <c r="D33" s="637">
        <f t="shared" si="1"/>
        <v>73000</v>
      </c>
    </row>
    <row r="34" spans="1:4" x14ac:dyDescent="0.2">
      <c r="A34" s="483" t="s">
        <v>80</v>
      </c>
      <c r="B34" s="484">
        <v>3000</v>
      </c>
      <c r="C34" s="485">
        <v>7</v>
      </c>
      <c r="D34" s="637">
        <f t="shared" si="1"/>
        <v>21000</v>
      </c>
    </row>
    <row r="35" spans="1:4" x14ac:dyDescent="0.2">
      <c r="A35" s="483" t="s">
        <v>81</v>
      </c>
      <c r="B35" s="484">
        <v>140</v>
      </c>
      <c r="C35" s="485">
        <v>4</v>
      </c>
      <c r="D35" s="637">
        <f t="shared" si="1"/>
        <v>560</v>
      </c>
    </row>
    <row r="36" spans="1:4" x14ac:dyDescent="0.2">
      <c r="A36" s="483" t="s">
        <v>82</v>
      </c>
      <c r="B36" s="484">
        <v>1002</v>
      </c>
      <c r="C36" s="485">
        <v>3</v>
      </c>
      <c r="D36" s="637">
        <f t="shared" si="1"/>
        <v>3006</v>
      </c>
    </row>
    <row r="37" spans="1:4" x14ac:dyDescent="0.2">
      <c r="A37" s="483" t="s">
        <v>83</v>
      </c>
      <c r="B37" s="484">
        <v>814</v>
      </c>
      <c r="C37" s="485">
        <v>10</v>
      </c>
      <c r="D37" s="637">
        <f t="shared" si="1"/>
        <v>8140</v>
      </c>
    </row>
    <row r="38" spans="1:4" x14ac:dyDescent="0.2">
      <c r="A38" s="483" t="s">
        <v>84</v>
      </c>
      <c r="B38" s="484">
        <v>1311</v>
      </c>
      <c r="C38" s="485">
        <v>8</v>
      </c>
      <c r="D38" s="637">
        <f t="shared" si="1"/>
        <v>10488</v>
      </c>
    </row>
    <row r="39" spans="1:4" x14ac:dyDescent="0.2">
      <c r="A39" s="483" t="s">
        <v>85</v>
      </c>
      <c r="B39" s="484">
        <v>1156</v>
      </c>
      <c r="C39" s="485">
        <v>2</v>
      </c>
      <c r="D39" s="637">
        <f t="shared" si="1"/>
        <v>2312</v>
      </c>
    </row>
    <row r="40" spans="1:4" x14ac:dyDescent="0.2">
      <c r="A40" s="483" t="s">
        <v>86</v>
      </c>
      <c r="B40" s="484">
        <v>990</v>
      </c>
      <c r="C40" s="485">
        <v>16</v>
      </c>
      <c r="D40" s="637">
        <f t="shared" si="1"/>
        <v>15840</v>
      </c>
    </row>
    <row r="41" spans="1:4" x14ac:dyDescent="0.2">
      <c r="A41" s="483" t="s">
        <v>87</v>
      </c>
      <c r="B41" s="484">
        <v>13900</v>
      </c>
      <c r="C41" s="485">
        <v>1</v>
      </c>
      <c r="D41" s="637">
        <f t="shared" si="1"/>
        <v>13900</v>
      </c>
    </row>
    <row r="42" spans="1:4" x14ac:dyDescent="0.2">
      <c r="A42" s="483" t="s">
        <v>88</v>
      </c>
      <c r="B42" s="484">
        <v>1730</v>
      </c>
      <c r="C42" s="485">
        <v>3</v>
      </c>
      <c r="D42" s="637">
        <f t="shared" si="1"/>
        <v>5190</v>
      </c>
    </row>
    <row r="43" spans="1:4" x14ac:dyDescent="0.2">
      <c r="A43" s="483" t="s">
        <v>89</v>
      </c>
      <c r="B43" s="484">
        <v>6500</v>
      </c>
      <c r="C43" s="485">
        <v>4</v>
      </c>
      <c r="D43" s="637">
        <f t="shared" si="1"/>
        <v>26000</v>
      </c>
    </row>
    <row r="44" spans="1:4" x14ac:dyDescent="0.2">
      <c r="A44" s="483" t="s">
        <v>90</v>
      </c>
      <c r="B44" s="484">
        <v>720</v>
      </c>
      <c r="C44" s="485">
        <v>32</v>
      </c>
      <c r="D44" s="637">
        <f t="shared" si="1"/>
        <v>23040</v>
      </c>
    </row>
    <row r="45" spans="1:4" x14ac:dyDescent="0.2">
      <c r="A45" s="483" t="s">
        <v>91</v>
      </c>
      <c r="B45" s="484">
        <v>3310</v>
      </c>
      <c r="C45" s="485">
        <v>2</v>
      </c>
      <c r="D45" s="637">
        <f t="shared" si="1"/>
        <v>6620</v>
      </c>
    </row>
    <row r="46" spans="1:4" x14ac:dyDescent="0.2">
      <c r="A46" s="483" t="s">
        <v>92</v>
      </c>
      <c r="B46" s="484">
        <v>38835</v>
      </c>
      <c r="C46" s="485">
        <v>2</v>
      </c>
      <c r="D46" s="637">
        <f t="shared" si="1"/>
        <v>77670</v>
      </c>
    </row>
    <row r="47" spans="1:4" x14ac:dyDescent="0.2">
      <c r="A47" s="483" t="s">
        <v>93</v>
      </c>
      <c r="B47" s="484">
        <v>980</v>
      </c>
      <c r="C47" s="485">
        <v>335</v>
      </c>
      <c r="D47" s="637">
        <f t="shared" si="1"/>
        <v>328300</v>
      </c>
    </row>
    <row r="48" spans="1:4" x14ac:dyDescent="0.2">
      <c r="A48" s="483" t="s">
        <v>94</v>
      </c>
      <c r="B48" s="487">
        <v>1750</v>
      </c>
      <c r="C48" s="485">
        <v>1</v>
      </c>
      <c r="D48" s="637">
        <f t="shared" si="1"/>
        <v>1750</v>
      </c>
    </row>
    <row r="49" spans="1:7 16384:16384" x14ac:dyDescent="0.2">
      <c r="A49" s="483" t="s">
        <v>95</v>
      </c>
      <c r="B49" s="635">
        <v>560</v>
      </c>
      <c r="C49" s="636">
        <v>2</v>
      </c>
      <c r="D49" s="637">
        <f t="shared" si="1"/>
        <v>1120</v>
      </c>
    </row>
    <row r="50" spans="1:7 16384:16384" x14ac:dyDescent="0.2">
      <c r="A50" s="483" t="s">
        <v>96</v>
      </c>
      <c r="B50" s="635">
        <v>340</v>
      </c>
      <c r="C50" s="636">
        <v>24</v>
      </c>
      <c r="D50" s="637">
        <f t="shared" si="1"/>
        <v>8160</v>
      </c>
    </row>
    <row r="51" spans="1:7 16384:16384" x14ac:dyDescent="0.2">
      <c r="A51" s="483" t="s">
        <v>97</v>
      </c>
      <c r="B51" s="484">
        <v>5000</v>
      </c>
      <c r="C51" s="485">
        <v>1</v>
      </c>
      <c r="D51" s="637">
        <f t="shared" si="1"/>
        <v>5000</v>
      </c>
    </row>
    <row r="52" spans="1:7 16384:16384" x14ac:dyDescent="0.2">
      <c r="A52" s="483" t="s">
        <v>98</v>
      </c>
      <c r="B52" s="484">
        <v>1900</v>
      </c>
      <c r="C52" s="485">
        <v>3</v>
      </c>
      <c r="D52" s="637">
        <f t="shared" si="1"/>
        <v>5700</v>
      </c>
    </row>
    <row r="53" spans="1:7 16384:16384" ht="13.5" thickBot="1" x14ac:dyDescent="0.25">
      <c r="A53" s="537" t="s">
        <v>99</v>
      </c>
      <c r="B53" s="538">
        <v>1200</v>
      </c>
      <c r="C53" s="539">
        <v>1</v>
      </c>
      <c r="D53" s="540">
        <f t="shared" si="1"/>
        <v>1200</v>
      </c>
    </row>
    <row r="54" spans="1:7 16384:16384" ht="13.5" thickBot="1" x14ac:dyDescent="0.25">
      <c r="D54" s="325">
        <f>SUM(D27:D53)</f>
        <v>753380</v>
      </c>
    </row>
    <row r="55" spans="1:7 16384:16384" ht="13.5" thickBot="1" x14ac:dyDescent="0.25"/>
    <row r="56" spans="1:7 16384:16384" ht="13.5" thickBot="1" x14ac:dyDescent="0.25">
      <c r="A56" s="254" t="s">
        <v>100</v>
      </c>
      <c r="B56" s="709" t="s">
        <v>49</v>
      </c>
      <c r="C56" s="709" t="s">
        <v>53</v>
      </c>
      <c r="D56" s="442" t="s">
        <v>54</v>
      </c>
      <c r="E56" s="712" t="s">
        <v>101</v>
      </c>
      <c r="F56" s="710" t="s">
        <v>102</v>
      </c>
      <c r="G56" s="710" t="s">
        <v>103</v>
      </c>
    </row>
    <row r="57" spans="1:7 16384:16384" x14ac:dyDescent="0.2">
      <c r="A57" s="444" t="s">
        <v>104</v>
      </c>
      <c r="B57" s="484">
        <v>1450</v>
      </c>
      <c r="C57" s="485">
        <v>15</v>
      </c>
      <c r="D57" s="443">
        <f>B57*C57</f>
        <v>21750</v>
      </c>
      <c r="E57" s="638">
        <f>D57-F57-G57</f>
        <v>14500</v>
      </c>
      <c r="F57" s="639">
        <f>+B57*2</f>
        <v>2900</v>
      </c>
      <c r="G57" s="637">
        <f>B57*3</f>
        <v>4350</v>
      </c>
    </row>
    <row r="58" spans="1:7 16384:16384" x14ac:dyDescent="0.2">
      <c r="A58" s="640" t="s">
        <v>105</v>
      </c>
      <c r="B58" s="635">
        <v>1500</v>
      </c>
      <c r="C58" s="636">
        <v>9</v>
      </c>
      <c r="D58" s="541">
        <f>B58*C58</f>
        <v>13500</v>
      </c>
      <c r="E58" s="641">
        <f>D58-F58-G58</f>
        <v>6000</v>
      </c>
      <c r="F58" s="642">
        <f>+B58*2</f>
        <v>3000</v>
      </c>
      <c r="G58" s="642">
        <f>B58*3</f>
        <v>4500</v>
      </c>
    </row>
    <row r="59" spans="1:7 16384:16384" x14ac:dyDescent="0.2">
      <c r="A59" s="640" t="s">
        <v>106</v>
      </c>
      <c r="B59" s="635">
        <v>3200</v>
      </c>
      <c r="C59" s="636">
        <v>14</v>
      </c>
      <c r="D59" s="541">
        <f>B59*C59</f>
        <v>44800</v>
      </c>
      <c r="E59" s="641">
        <f>D59-F59-G59</f>
        <v>28800</v>
      </c>
      <c r="F59" s="642">
        <f>+B59*2</f>
        <v>6400</v>
      </c>
      <c r="G59" s="642">
        <f>B59*3</f>
        <v>9600</v>
      </c>
    </row>
    <row r="60" spans="1:7 16384:16384" x14ac:dyDescent="0.2">
      <c r="A60" s="640" t="s">
        <v>107</v>
      </c>
      <c r="B60" s="635">
        <v>9500</v>
      </c>
      <c r="C60" s="636">
        <v>9</v>
      </c>
      <c r="D60" s="541">
        <f>B60*C60</f>
        <v>85500</v>
      </c>
      <c r="E60" s="641">
        <f>D60-F60-G60</f>
        <v>38000</v>
      </c>
      <c r="F60" s="642">
        <f>+B60*2</f>
        <v>19000</v>
      </c>
      <c r="G60" s="642">
        <f>B60*3</f>
        <v>28500</v>
      </c>
    </row>
    <row r="61" spans="1:7 16384:16384" x14ac:dyDescent="0.2">
      <c r="A61" s="640" t="s">
        <v>108</v>
      </c>
      <c r="B61" s="635">
        <v>2650</v>
      </c>
      <c r="C61" s="636">
        <v>9</v>
      </c>
      <c r="D61" s="541">
        <f t="shared" ref="D61:D95" si="2">B61*C61</f>
        <v>23850</v>
      </c>
      <c r="E61" s="641">
        <f>D61-F61-G61</f>
        <v>10600</v>
      </c>
      <c r="F61" s="642">
        <f>+B61*2</f>
        <v>5300</v>
      </c>
      <c r="G61" s="642">
        <f>B61*3</f>
        <v>7950</v>
      </c>
    </row>
    <row r="62" spans="1:7 16384:16384" x14ac:dyDescent="0.2">
      <c r="A62" s="640" t="s">
        <v>109</v>
      </c>
      <c r="B62" s="635">
        <v>8400</v>
      </c>
      <c r="C62" s="636">
        <v>3</v>
      </c>
      <c r="D62" s="541">
        <f t="shared" si="2"/>
        <v>25200</v>
      </c>
      <c r="E62" s="638">
        <f>$B$62</f>
        <v>8400</v>
      </c>
      <c r="F62" s="643">
        <f>$B$62</f>
        <v>8400</v>
      </c>
      <c r="G62" s="637">
        <f>$B$62</f>
        <v>8400</v>
      </c>
      <c r="XFD62" s="643"/>
    </row>
    <row r="63" spans="1:7 16384:16384" x14ac:dyDescent="0.2">
      <c r="A63" s="640" t="s">
        <v>110</v>
      </c>
      <c r="B63" s="635">
        <v>980</v>
      </c>
      <c r="C63" s="636">
        <v>9</v>
      </c>
      <c r="D63" s="541">
        <f t="shared" si="2"/>
        <v>8820</v>
      </c>
      <c r="E63" s="641">
        <f>D63-F63-G63</f>
        <v>3920</v>
      </c>
      <c r="F63" s="642">
        <f>+B63*2</f>
        <v>1960</v>
      </c>
      <c r="G63" s="642">
        <f>B63*3</f>
        <v>2940</v>
      </c>
    </row>
    <row r="64" spans="1:7 16384:16384" x14ac:dyDescent="0.2">
      <c r="A64" s="640" t="s">
        <v>111</v>
      </c>
      <c r="B64" s="635">
        <v>2350</v>
      </c>
      <c r="C64" s="636">
        <v>1</v>
      </c>
      <c r="D64" s="541">
        <f t="shared" si="2"/>
        <v>2350</v>
      </c>
      <c r="E64" s="638">
        <f>D64</f>
        <v>2350</v>
      </c>
      <c r="F64" s="639"/>
      <c r="G64" s="639"/>
    </row>
    <row r="65" spans="1:7" x14ac:dyDescent="0.2">
      <c r="A65" s="640" t="s">
        <v>112</v>
      </c>
      <c r="B65" s="635">
        <v>1400</v>
      </c>
      <c r="C65" s="636">
        <v>1</v>
      </c>
      <c r="D65" s="541">
        <f t="shared" si="2"/>
        <v>1400</v>
      </c>
      <c r="E65" s="638">
        <f>B65</f>
        <v>1400</v>
      </c>
      <c r="F65" s="639"/>
      <c r="G65" s="639"/>
    </row>
    <row r="66" spans="1:7" x14ac:dyDescent="0.2">
      <c r="A66" s="640" t="s">
        <v>112</v>
      </c>
      <c r="B66" s="635">
        <v>2100</v>
      </c>
      <c r="C66" s="636">
        <v>1</v>
      </c>
      <c r="D66" s="541">
        <f t="shared" si="2"/>
        <v>2100</v>
      </c>
      <c r="E66" s="638">
        <f>B66</f>
        <v>2100</v>
      </c>
      <c r="F66" s="639"/>
      <c r="G66" s="639"/>
    </row>
    <row r="67" spans="1:7" x14ac:dyDescent="0.2">
      <c r="A67" s="640" t="s">
        <v>113</v>
      </c>
      <c r="B67" s="635">
        <v>400</v>
      </c>
      <c r="C67" s="636">
        <v>19</v>
      </c>
      <c r="D67" s="541">
        <f t="shared" si="2"/>
        <v>7600</v>
      </c>
      <c r="E67" s="641">
        <f>D67-F67-G67</f>
        <v>5600</v>
      </c>
      <c r="F67" s="642">
        <f>+B67*2</f>
        <v>800</v>
      </c>
      <c r="G67" s="642">
        <f>B67*3</f>
        <v>1200</v>
      </c>
    </row>
    <row r="68" spans="1:7" x14ac:dyDescent="0.2">
      <c r="A68" s="640" t="s">
        <v>114</v>
      </c>
      <c r="B68" s="644">
        <v>990</v>
      </c>
      <c r="C68" s="636">
        <v>16</v>
      </c>
      <c r="D68" s="541">
        <f t="shared" si="2"/>
        <v>15840</v>
      </c>
      <c r="E68" s="641"/>
      <c r="F68" s="642"/>
      <c r="G68" s="642">
        <f>D68</f>
        <v>15840</v>
      </c>
    </row>
    <row r="69" spans="1:7" x14ac:dyDescent="0.2">
      <c r="A69" s="640" t="s">
        <v>115</v>
      </c>
      <c r="B69" s="644">
        <v>13900</v>
      </c>
      <c r="C69" s="636">
        <v>1</v>
      </c>
      <c r="D69" s="541">
        <f t="shared" si="2"/>
        <v>13900</v>
      </c>
      <c r="E69" s="645"/>
      <c r="F69" s="639"/>
      <c r="G69" s="637">
        <f>D69</f>
        <v>13900</v>
      </c>
    </row>
    <row r="70" spans="1:7" x14ac:dyDescent="0.2">
      <c r="A70" s="640" t="s">
        <v>116</v>
      </c>
      <c r="B70" s="644">
        <v>1730</v>
      </c>
      <c r="C70" s="636">
        <v>3</v>
      </c>
      <c r="D70" s="541">
        <f t="shared" si="2"/>
        <v>5190</v>
      </c>
      <c r="E70" s="645"/>
      <c r="F70" s="639"/>
      <c r="G70" s="637">
        <f>D70</f>
        <v>5190</v>
      </c>
    </row>
    <row r="71" spans="1:7" x14ac:dyDescent="0.2">
      <c r="A71" s="640" t="s">
        <v>117</v>
      </c>
      <c r="B71" s="644">
        <v>6500</v>
      </c>
      <c r="C71" s="636">
        <v>4</v>
      </c>
      <c r="D71" s="541">
        <f t="shared" si="2"/>
        <v>26000</v>
      </c>
      <c r="E71" s="641">
        <f t="shared" ref="E71:E76" si="3">D71-F71-G71</f>
        <v>13000</v>
      </c>
      <c r="F71" s="639"/>
      <c r="G71" s="637">
        <f>B71*2</f>
        <v>13000</v>
      </c>
    </row>
    <row r="72" spans="1:7" x14ac:dyDescent="0.2">
      <c r="A72" s="640" t="s">
        <v>118</v>
      </c>
      <c r="B72" s="644">
        <v>720</v>
      </c>
      <c r="C72" s="636">
        <v>32</v>
      </c>
      <c r="D72" s="541">
        <f t="shared" si="2"/>
        <v>23040</v>
      </c>
      <c r="E72" s="641">
        <f t="shared" si="3"/>
        <v>11520</v>
      </c>
      <c r="F72" s="639"/>
      <c r="G72" s="637">
        <f>B72*16</f>
        <v>11520</v>
      </c>
    </row>
    <row r="73" spans="1:7" x14ac:dyDescent="0.2">
      <c r="A73" s="640" t="s">
        <v>119</v>
      </c>
      <c r="B73" s="635">
        <v>3310</v>
      </c>
      <c r="C73" s="636">
        <v>2</v>
      </c>
      <c r="D73" s="541">
        <f t="shared" si="2"/>
        <v>6620</v>
      </c>
      <c r="E73" s="641">
        <f t="shared" si="3"/>
        <v>3310</v>
      </c>
      <c r="F73" s="639"/>
      <c r="G73" s="637">
        <f>B73</f>
        <v>3310</v>
      </c>
    </row>
    <row r="74" spans="1:7" x14ac:dyDescent="0.2">
      <c r="A74" s="640" t="s">
        <v>120</v>
      </c>
      <c r="B74" s="635">
        <v>4000</v>
      </c>
      <c r="C74" s="636">
        <v>2</v>
      </c>
      <c r="D74" s="541">
        <f t="shared" si="2"/>
        <v>8000</v>
      </c>
      <c r="E74" s="641">
        <f t="shared" si="3"/>
        <v>4000</v>
      </c>
      <c r="F74" s="639"/>
      <c r="G74" s="637">
        <f>B74</f>
        <v>4000</v>
      </c>
    </row>
    <row r="75" spans="1:7" x14ac:dyDescent="0.2">
      <c r="A75" s="640" t="s">
        <v>121</v>
      </c>
      <c r="B75" s="635">
        <v>185</v>
      </c>
      <c r="C75" s="636">
        <v>27</v>
      </c>
      <c r="D75" s="541">
        <f t="shared" si="2"/>
        <v>4995</v>
      </c>
      <c r="E75" s="641">
        <f t="shared" si="3"/>
        <v>2220</v>
      </c>
      <c r="F75" s="637">
        <f>B75*3</f>
        <v>555</v>
      </c>
      <c r="G75" s="637">
        <f>B75*12</f>
        <v>2220</v>
      </c>
    </row>
    <row r="76" spans="1:7" x14ac:dyDescent="0.2">
      <c r="A76" s="640" t="s">
        <v>122</v>
      </c>
      <c r="B76" s="635">
        <v>400</v>
      </c>
      <c r="C76" s="636">
        <v>17</v>
      </c>
      <c r="D76" s="541">
        <f t="shared" si="2"/>
        <v>6800</v>
      </c>
      <c r="E76" s="641">
        <f t="shared" si="3"/>
        <v>3600</v>
      </c>
      <c r="F76" s="637">
        <f>B76*3</f>
        <v>1200</v>
      </c>
      <c r="G76" s="637">
        <f>B76*5</f>
        <v>2000</v>
      </c>
    </row>
    <row r="77" spans="1:7" x14ac:dyDescent="0.2">
      <c r="A77" s="640" t="s">
        <v>123</v>
      </c>
      <c r="B77" s="635">
        <v>7500</v>
      </c>
      <c r="C77" s="636">
        <v>2</v>
      </c>
      <c r="D77" s="541">
        <f t="shared" si="2"/>
        <v>15000</v>
      </c>
      <c r="E77" s="638">
        <f>B77</f>
        <v>7500</v>
      </c>
      <c r="F77" s="639"/>
      <c r="G77" s="637">
        <f>B77</f>
        <v>7500</v>
      </c>
    </row>
    <row r="78" spans="1:7" x14ac:dyDescent="0.2">
      <c r="A78" s="640" t="s">
        <v>124</v>
      </c>
      <c r="B78" s="635">
        <v>3250</v>
      </c>
      <c r="C78" s="636">
        <v>8</v>
      </c>
      <c r="D78" s="541">
        <f t="shared" si="2"/>
        <v>26000</v>
      </c>
      <c r="E78" s="641">
        <f>D78-F78-G78</f>
        <v>13000</v>
      </c>
      <c r="F78" s="637">
        <f>B78*2</f>
        <v>6500</v>
      </c>
      <c r="G78" s="637">
        <f>B78*2</f>
        <v>6500</v>
      </c>
    </row>
    <row r="79" spans="1:7" x14ac:dyDescent="0.2">
      <c r="A79" s="640" t="s">
        <v>125</v>
      </c>
      <c r="B79" s="635">
        <v>5164</v>
      </c>
      <c r="C79" s="636">
        <v>2</v>
      </c>
      <c r="D79" s="541">
        <f t="shared" si="2"/>
        <v>10328</v>
      </c>
      <c r="E79" s="645"/>
      <c r="F79" s="639"/>
      <c r="G79" s="637">
        <f t="shared" ref="G79:G91" si="4">D79</f>
        <v>10328</v>
      </c>
    </row>
    <row r="80" spans="1:7" x14ac:dyDescent="0.2">
      <c r="A80" s="640" t="s">
        <v>126</v>
      </c>
      <c r="B80" s="635">
        <v>145</v>
      </c>
      <c r="C80" s="636">
        <v>2</v>
      </c>
      <c r="D80" s="541">
        <f t="shared" si="2"/>
        <v>290</v>
      </c>
      <c r="E80" s="645"/>
      <c r="F80" s="639"/>
      <c r="G80" s="637">
        <f t="shared" si="4"/>
        <v>290</v>
      </c>
    </row>
    <row r="81" spans="1:7" x14ac:dyDescent="0.2">
      <c r="A81" s="640" t="s">
        <v>127</v>
      </c>
      <c r="B81" s="635">
        <v>2800</v>
      </c>
      <c r="C81" s="636">
        <v>6</v>
      </c>
      <c r="D81" s="541">
        <f t="shared" si="2"/>
        <v>16800</v>
      </c>
      <c r="E81" s="645"/>
      <c r="F81" s="639"/>
      <c r="G81" s="637">
        <f t="shared" si="4"/>
        <v>16800</v>
      </c>
    </row>
    <row r="82" spans="1:7" x14ac:dyDescent="0.2">
      <c r="A82" s="640" t="s">
        <v>128</v>
      </c>
      <c r="B82" s="635">
        <v>3800</v>
      </c>
      <c r="C82" s="636">
        <v>2</v>
      </c>
      <c r="D82" s="541">
        <f t="shared" si="2"/>
        <v>7600</v>
      </c>
      <c r="E82" s="645"/>
      <c r="F82" s="639"/>
      <c r="G82" s="637">
        <f t="shared" si="4"/>
        <v>7600</v>
      </c>
    </row>
    <row r="83" spans="1:7" x14ac:dyDescent="0.2">
      <c r="A83" s="640" t="s">
        <v>129</v>
      </c>
      <c r="B83" s="635">
        <v>300</v>
      </c>
      <c r="C83" s="636">
        <v>18</v>
      </c>
      <c r="D83" s="541">
        <f t="shared" si="2"/>
        <v>5400</v>
      </c>
      <c r="E83" s="645"/>
      <c r="F83" s="639"/>
      <c r="G83" s="637">
        <f t="shared" si="4"/>
        <v>5400</v>
      </c>
    </row>
    <row r="84" spans="1:7" x14ac:dyDescent="0.2">
      <c r="A84" s="640" t="s">
        <v>130</v>
      </c>
      <c r="B84" s="635">
        <v>27</v>
      </c>
      <c r="C84" s="636">
        <v>30</v>
      </c>
      <c r="D84" s="541">
        <f t="shared" si="2"/>
        <v>810</v>
      </c>
      <c r="E84" s="645"/>
      <c r="F84" s="639"/>
      <c r="G84" s="637">
        <f t="shared" si="4"/>
        <v>810</v>
      </c>
    </row>
    <row r="85" spans="1:7" x14ac:dyDescent="0.2">
      <c r="A85" s="640" t="s">
        <v>131</v>
      </c>
      <c r="B85" s="635">
        <v>771</v>
      </c>
      <c r="C85" s="636">
        <v>15</v>
      </c>
      <c r="D85" s="541">
        <f t="shared" si="2"/>
        <v>11565</v>
      </c>
      <c r="E85" s="645"/>
      <c r="F85" s="639"/>
      <c r="G85" s="637">
        <f t="shared" si="4"/>
        <v>11565</v>
      </c>
    </row>
    <row r="86" spans="1:7" x14ac:dyDescent="0.2">
      <c r="A86" s="640" t="s">
        <v>132</v>
      </c>
      <c r="B86" s="635">
        <v>47</v>
      </c>
      <c r="C86" s="636">
        <v>9</v>
      </c>
      <c r="D86" s="541">
        <f t="shared" si="2"/>
        <v>423</v>
      </c>
      <c r="E86" s="645"/>
      <c r="F86" s="639"/>
      <c r="G86" s="637">
        <f t="shared" si="4"/>
        <v>423</v>
      </c>
    </row>
    <row r="87" spans="1:7" x14ac:dyDescent="0.2">
      <c r="A87" s="640" t="s">
        <v>133</v>
      </c>
      <c r="B87" s="635">
        <v>100</v>
      </c>
      <c r="C87" s="636">
        <v>5</v>
      </c>
      <c r="D87" s="541">
        <f t="shared" si="2"/>
        <v>500</v>
      </c>
      <c r="E87" s="645"/>
      <c r="F87" s="639"/>
      <c r="G87" s="637">
        <f t="shared" si="4"/>
        <v>500</v>
      </c>
    </row>
    <row r="88" spans="1:7" x14ac:dyDescent="0.2">
      <c r="A88" s="640" t="s">
        <v>134</v>
      </c>
      <c r="B88" s="635">
        <v>90</v>
      </c>
      <c r="C88" s="636">
        <v>4</v>
      </c>
      <c r="D88" s="541">
        <f t="shared" si="2"/>
        <v>360</v>
      </c>
      <c r="E88" s="645"/>
      <c r="F88" s="639"/>
      <c r="G88" s="637">
        <f t="shared" si="4"/>
        <v>360</v>
      </c>
    </row>
    <row r="89" spans="1:7" x14ac:dyDescent="0.2">
      <c r="A89" s="640" t="s">
        <v>135</v>
      </c>
      <c r="B89" s="635">
        <v>45</v>
      </c>
      <c r="C89" s="636">
        <v>2</v>
      </c>
      <c r="D89" s="541">
        <f t="shared" si="2"/>
        <v>90</v>
      </c>
      <c r="E89" s="645"/>
      <c r="F89" s="639"/>
      <c r="G89" s="637">
        <f t="shared" si="4"/>
        <v>90</v>
      </c>
    </row>
    <row r="90" spans="1:7" x14ac:dyDescent="0.2">
      <c r="A90" s="640" t="s">
        <v>136</v>
      </c>
      <c r="B90" s="635">
        <v>55</v>
      </c>
      <c r="C90" s="636">
        <v>9</v>
      </c>
      <c r="D90" s="541">
        <f t="shared" si="2"/>
        <v>495</v>
      </c>
      <c r="E90" s="645"/>
      <c r="F90" s="639"/>
      <c r="G90" s="637">
        <f t="shared" si="4"/>
        <v>495</v>
      </c>
    </row>
    <row r="91" spans="1:7" x14ac:dyDescent="0.2">
      <c r="A91" s="640" t="s">
        <v>137</v>
      </c>
      <c r="B91" s="646">
        <v>1.6</v>
      </c>
      <c r="C91" s="636">
        <v>4000</v>
      </c>
      <c r="D91" s="541">
        <f t="shared" si="2"/>
        <v>6400</v>
      </c>
      <c r="E91" s="645"/>
      <c r="F91" s="639"/>
      <c r="G91" s="637">
        <f t="shared" si="4"/>
        <v>6400</v>
      </c>
    </row>
    <row r="92" spans="1:7" x14ac:dyDescent="0.2">
      <c r="A92" s="640" t="s">
        <v>138</v>
      </c>
      <c r="B92" s="635">
        <v>900</v>
      </c>
      <c r="C92" s="636">
        <v>2</v>
      </c>
      <c r="D92" s="541">
        <f t="shared" si="2"/>
        <v>1800</v>
      </c>
      <c r="E92" s="638">
        <f>B92</f>
        <v>900</v>
      </c>
      <c r="F92" s="637">
        <f>B92</f>
        <v>900</v>
      </c>
      <c r="G92" s="639"/>
    </row>
    <row r="93" spans="1:7" x14ac:dyDescent="0.2">
      <c r="A93" s="640" t="s">
        <v>139</v>
      </c>
      <c r="B93" s="635">
        <v>670</v>
      </c>
      <c r="C93" s="636">
        <v>2</v>
      </c>
      <c r="D93" s="541">
        <f t="shared" si="2"/>
        <v>1340</v>
      </c>
      <c r="E93" s="645"/>
      <c r="F93" s="639"/>
      <c r="G93" s="637">
        <f>D93</f>
        <v>1340</v>
      </c>
    </row>
    <row r="94" spans="1:7" x14ac:dyDescent="0.2">
      <c r="A94" s="640" t="s">
        <v>140</v>
      </c>
      <c r="B94" s="635">
        <v>250</v>
      </c>
      <c r="C94" s="636">
        <v>4</v>
      </c>
      <c r="D94" s="541">
        <f t="shared" si="2"/>
        <v>1000</v>
      </c>
      <c r="E94" s="641">
        <f>D94-F94-G94</f>
        <v>250</v>
      </c>
      <c r="F94" s="637">
        <f>B94</f>
        <v>250</v>
      </c>
      <c r="G94" s="637">
        <f>2*B94</f>
        <v>500</v>
      </c>
    </row>
    <row r="95" spans="1:7" x14ac:dyDescent="0.2">
      <c r="A95" s="640" t="s">
        <v>141</v>
      </c>
      <c r="B95" s="635">
        <v>6400</v>
      </c>
      <c r="C95" s="636">
        <v>1</v>
      </c>
      <c r="D95" s="541">
        <f t="shared" si="2"/>
        <v>6400</v>
      </c>
      <c r="E95" s="645"/>
      <c r="F95" s="639"/>
      <c r="G95" s="637">
        <f>D95</f>
        <v>6400</v>
      </c>
    </row>
    <row r="96" spans="1:7" x14ac:dyDescent="0.2">
      <c r="A96" s="640" t="s">
        <v>142</v>
      </c>
      <c r="B96" s="635">
        <v>3240</v>
      </c>
      <c r="C96" s="636">
        <v>1</v>
      </c>
      <c r="D96" s="541">
        <f t="shared" ref="D96:D101" si="5">B96*C96</f>
        <v>3240</v>
      </c>
      <c r="E96" s="645"/>
      <c r="F96" s="639"/>
      <c r="G96" s="637">
        <f>D96</f>
        <v>3240</v>
      </c>
    </row>
    <row r="97" spans="1:7" x14ac:dyDescent="0.2">
      <c r="A97" s="640" t="s">
        <v>143</v>
      </c>
      <c r="B97" s="635">
        <v>3800</v>
      </c>
      <c r="C97" s="636">
        <v>1</v>
      </c>
      <c r="D97" s="541">
        <f t="shared" si="5"/>
        <v>3800</v>
      </c>
      <c r="E97" s="638">
        <f>D97</f>
        <v>3800</v>
      </c>
      <c r="F97" s="639"/>
      <c r="G97" s="639"/>
    </row>
    <row r="98" spans="1:7" x14ac:dyDescent="0.2">
      <c r="A98" s="640" t="s">
        <v>144</v>
      </c>
      <c r="B98" s="635">
        <v>450</v>
      </c>
      <c r="C98" s="636">
        <v>5</v>
      </c>
      <c r="D98" s="541">
        <f t="shared" si="5"/>
        <v>2250</v>
      </c>
      <c r="E98" s="641">
        <f>D98-F98-G98</f>
        <v>450</v>
      </c>
      <c r="F98" s="637">
        <f>B98</f>
        <v>450</v>
      </c>
      <c r="G98" s="637">
        <f>3*B98</f>
        <v>1350</v>
      </c>
    </row>
    <row r="99" spans="1:7" x14ac:dyDescent="0.2">
      <c r="A99" s="640" t="s">
        <v>145</v>
      </c>
      <c r="B99" s="635">
        <v>3500</v>
      </c>
      <c r="C99" s="636">
        <v>1</v>
      </c>
      <c r="D99" s="541">
        <f t="shared" si="5"/>
        <v>3500</v>
      </c>
      <c r="E99" s="645"/>
      <c r="F99" s="639"/>
      <c r="G99" s="637">
        <f>D99</f>
        <v>3500</v>
      </c>
    </row>
    <row r="100" spans="1:7" x14ac:dyDescent="0.2">
      <c r="A100" s="640" t="s">
        <v>146</v>
      </c>
      <c r="B100" s="635">
        <v>600</v>
      </c>
      <c r="C100" s="636">
        <v>1</v>
      </c>
      <c r="D100" s="541">
        <f t="shared" si="5"/>
        <v>600</v>
      </c>
      <c r="E100" s="638">
        <f>D100</f>
        <v>600</v>
      </c>
      <c r="F100" s="639"/>
      <c r="G100" s="639"/>
    </row>
    <row r="101" spans="1:7" ht="13.5" thickBot="1" x14ac:dyDescent="0.25">
      <c r="A101" s="537" t="s">
        <v>147</v>
      </c>
      <c r="B101" s="538">
        <v>410</v>
      </c>
      <c r="C101" s="539">
        <v>2</v>
      </c>
      <c r="D101" s="542">
        <f t="shared" si="5"/>
        <v>820</v>
      </c>
      <c r="E101" s="543">
        <f>B101</f>
        <v>410</v>
      </c>
      <c r="F101" s="544"/>
      <c r="G101" s="540">
        <f>B101</f>
        <v>410</v>
      </c>
    </row>
    <row r="102" spans="1:7" ht="13.5" thickBot="1" x14ac:dyDescent="0.25">
      <c r="D102" s="323">
        <f>SUM(D57:D101)</f>
        <v>474066</v>
      </c>
      <c r="E102" s="323">
        <f>SUM(E57:E101)</f>
        <v>186230</v>
      </c>
      <c r="F102" s="448">
        <f>SUM(F57:F101)</f>
        <v>57615</v>
      </c>
      <c r="G102" s="448">
        <f>SUM(G57:G101)</f>
        <v>230221</v>
      </c>
    </row>
    <row r="103" spans="1:7" ht="13.5" thickBot="1" x14ac:dyDescent="0.25">
      <c r="F103" s="647">
        <f>F102/(F102+E102)</f>
        <v>0.23627714326723945</v>
      </c>
      <c r="G103" s="647">
        <f>G102/D102</f>
        <v>0.48563069277273629</v>
      </c>
    </row>
    <row r="104" spans="1:7" ht="13.5" thickBot="1" x14ac:dyDescent="0.25">
      <c r="A104" s="254" t="s">
        <v>148</v>
      </c>
      <c r="B104" s="709" t="s">
        <v>49</v>
      </c>
      <c r="C104" s="709" t="s">
        <v>53</v>
      </c>
      <c r="D104" s="710" t="s">
        <v>54</v>
      </c>
    </row>
    <row r="105" spans="1:7" x14ac:dyDescent="0.2">
      <c r="A105" s="640" t="s">
        <v>149</v>
      </c>
      <c r="B105" s="635">
        <v>539</v>
      </c>
      <c r="C105" s="636">
        <f>5*12</f>
        <v>60</v>
      </c>
      <c r="D105" s="637">
        <f>B105*C105</f>
        <v>32340</v>
      </c>
    </row>
    <row r="106" spans="1:7" x14ac:dyDescent="0.2">
      <c r="A106" s="640" t="s">
        <v>150</v>
      </c>
      <c r="B106" s="635">
        <v>455</v>
      </c>
      <c r="C106" s="636">
        <f>5*12</f>
        <v>60</v>
      </c>
      <c r="D106" s="637">
        <f>B106*C106</f>
        <v>27300</v>
      </c>
    </row>
    <row r="107" spans="1:7" x14ac:dyDescent="0.2">
      <c r="A107" s="640" t="s">
        <v>151</v>
      </c>
      <c r="B107" s="635">
        <v>2400</v>
      </c>
      <c r="C107" s="636">
        <f>5*6</f>
        <v>30</v>
      </c>
      <c r="D107" s="637">
        <f>B107*C107</f>
        <v>72000</v>
      </c>
    </row>
    <row r="108" spans="1:7" x14ac:dyDescent="0.2">
      <c r="A108" s="640" t="s">
        <v>152</v>
      </c>
      <c r="B108" s="646">
        <v>48.4</v>
      </c>
      <c r="C108" s="636">
        <f>5*12</f>
        <v>60</v>
      </c>
      <c r="D108" s="637">
        <f t="shared" ref="D108:D112" si="6">B108*C108</f>
        <v>2904</v>
      </c>
    </row>
    <row r="109" spans="1:7" x14ac:dyDescent="0.2">
      <c r="A109" s="640" t="s">
        <v>153</v>
      </c>
      <c r="B109" s="635">
        <v>157</v>
      </c>
      <c r="C109" s="636">
        <f>12*5</f>
        <v>60</v>
      </c>
      <c r="D109" s="637">
        <f t="shared" si="6"/>
        <v>9420</v>
      </c>
    </row>
    <row r="110" spans="1:7" x14ac:dyDescent="0.2">
      <c r="A110" s="640" t="s">
        <v>154</v>
      </c>
      <c r="B110" s="635">
        <v>743</v>
      </c>
      <c r="C110" s="636">
        <v>10</v>
      </c>
      <c r="D110" s="637">
        <f t="shared" si="6"/>
        <v>7430</v>
      </c>
    </row>
    <row r="111" spans="1:7" x14ac:dyDescent="0.2">
      <c r="A111" s="648" t="s">
        <v>155</v>
      </c>
      <c r="B111" s="649">
        <v>35</v>
      </c>
      <c r="C111" s="650">
        <v>5</v>
      </c>
      <c r="D111" s="637">
        <f t="shared" si="6"/>
        <v>175</v>
      </c>
    </row>
    <row r="112" spans="1:7" ht="13.5" thickBot="1" x14ac:dyDescent="0.25">
      <c r="A112" s="545" t="s">
        <v>156</v>
      </c>
      <c r="B112" s="538">
        <v>3500</v>
      </c>
      <c r="C112" s="539">
        <v>5</v>
      </c>
      <c r="D112" s="540">
        <f t="shared" si="6"/>
        <v>17500</v>
      </c>
    </row>
    <row r="113" spans="1:10" ht="13.5" thickBot="1" x14ac:dyDescent="0.25">
      <c r="D113" s="323">
        <f>SUM(D105:D112)</f>
        <v>169069</v>
      </c>
    </row>
    <row r="114" spans="1:10" x14ac:dyDescent="0.2">
      <c r="D114" s="326"/>
    </row>
    <row r="115" spans="1:10" ht="13.5" thickBot="1" x14ac:dyDescent="0.25">
      <c r="A115" s="252" t="s">
        <v>157</v>
      </c>
      <c r="D115" s="326"/>
    </row>
    <row r="116" spans="1:10" ht="15.75" thickBot="1" x14ac:dyDescent="0.25">
      <c r="B116" s="327" t="s">
        <v>158</v>
      </c>
      <c r="C116" s="327" t="s">
        <v>159</v>
      </c>
      <c r="D116" s="326"/>
    </row>
    <row r="117" spans="1:10" x14ac:dyDescent="0.2">
      <c r="A117" s="454" t="s">
        <v>160</v>
      </c>
      <c r="B117" s="456">
        <f>34.5*21-B118-B119</f>
        <v>514.25</v>
      </c>
      <c r="C117" s="328">
        <f>+B117/$B$120</f>
        <v>0.70979986197377498</v>
      </c>
      <c r="D117" s="326"/>
    </row>
    <row r="118" spans="1:10" x14ac:dyDescent="0.2">
      <c r="A118" s="546" t="s">
        <v>161</v>
      </c>
      <c r="B118" s="547">
        <f>14.5^2-B119</f>
        <v>137.80000000000001</v>
      </c>
      <c r="C118" s="548">
        <f>+B118/$B$120</f>
        <v>0.19020013802622499</v>
      </c>
      <c r="D118" s="326"/>
    </row>
    <row r="119" spans="1:10" ht="13.5" thickBot="1" x14ac:dyDescent="0.25">
      <c r="A119" s="549" t="s">
        <v>162</v>
      </c>
      <c r="B119" s="550">
        <f>34.5*21*0.1</f>
        <v>72.45</v>
      </c>
      <c r="C119" s="551">
        <f>+B119/$B$120</f>
        <v>0.1</v>
      </c>
      <c r="D119" s="326"/>
    </row>
    <row r="120" spans="1:10" ht="13.5" thickBot="1" x14ac:dyDescent="0.25">
      <c r="A120" s="455" t="s">
        <v>163</v>
      </c>
      <c r="B120" s="274">
        <f>+SUM(B117:B119)</f>
        <v>724.5</v>
      </c>
      <c r="C120" s="457">
        <f>+SUM(C117:C119)</f>
        <v>0.99999999999999989</v>
      </c>
      <c r="D120" s="326"/>
    </row>
    <row r="121" spans="1:10" x14ac:dyDescent="0.2">
      <c r="A121" s="352"/>
      <c r="B121" s="353"/>
      <c r="C121" s="354"/>
      <c r="D121" s="326"/>
    </row>
    <row r="122" spans="1:10" ht="15.75" x14ac:dyDescent="0.25">
      <c r="C122" s="243" t="s">
        <v>164</v>
      </c>
    </row>
    <row r="123" spans="1:10" ht="15.75" x14ac:dyDescent="0.25">
      <c r="B123" s="243"/>
      <c r="F123" s="272"/>
    </row>
    <row r="124" spans="1:10" x14ac:dyDescent="0.2">
      <c r="C124" s="272" t="s">
        <v>165</v>
      </c>
      <c r="E124" s="329" t="s">
        <v>166</v>
      </c>
    </row>
    <row r="125" spans="1:10" ht="13.5" thickBot="1" x14ac:dyDescent="0.25">
      <c r="I125" s="253" t="s">
        <v>167</v>
      </c>
    </row>
    <row r="126" spans="1:10" ht="13.5" thickBot="1" x14ac:dyDescent="0.25">
      <c r="E126" s="254" t="s">
        <v>168</v>
      </c>
      <c r="F126" s="711" t="s">
        <v>169</v>
      </c>
      <c r="G126" s="711" t="s">
        <v>53</v>
      </c>
      <c r="H126" s="711" t="s">
        <v>170</v>
      </c>
      <c r="I126" s="255" t="s">
        <v>171</v>
      </c>
      <c r="J126" s="256" t="s">
        <v>172</v>
      </c>
    </row>
    <row r="127" spans="1:10" x14ac:dyDescent="0.2">
      <c r="E127" s="488">
        <v>1</v>
      </c>
      <c r="F127" s="489" t="s">
        <v>173</v>
      </c>
      <c r="G127" s="490">
        <v>35850</v>
      </c>
      <c r="H127" s="485" t="s">
        <v>174</v>
      </c>
      <c r="I127" s="330">
        <v>7.37</v>
      </c>
      <c r="J127" s="331">
        <f t="shared" ref="J127:J135" si="7">G127*I127</f>
        <v>264214.5</v>
      </c>
    </row>
    <row r="128" spans="1:10" x14ac:dyDescent="0.2">
      <c r="E128" s="651">
        <v>2</v>
      </c>
      <c r="F128" s="652" t="s">
        <v>175</v>
      </c>
      <c r="G128" s="653">
        <f>+G141*395933/423425</f>
        <v>66197.386678284267</v>
      </c>
      <c r="H128" s="636" t="s">
        <v>176</v>
      </c>
      <c r="I128" s="552">
        <f>7.7/170*1000</f>
        <v>45.294117647058826</v>
      </c>
      <c r="J128" s="553">
        <f t="shared" si="7"/>
        <v>2998352.2201340524</v>
      </c>
    </row>
    <row r="129" spans="5:10" x14ac:dyDescent="0.2">
      <c r="E129" s="651">
        <v>3</v>
      </c>
      <c r="F129" s="652" t="s">
        <v>177</v>
      </c>
      <c r="G129" s="653">
        <f t="shared" ref="G129:G134" si="8">+G142*395933/423425</f>
        <v>37151.594564343213</v>
      </c>
      <c r="H129" s="636" t="s">
        <v>176</v>
      </c>
      <c r="I129" s="552">
        <f>712/5</f>
        <v>142.4</v>
      </c>
      <c r="J129" s="553">
        <f t="shared" si="7"/>
        <v>5290387.0659624739</v>
      </c>
    </row>
    <row r="130" spans="5:10" x14ac:dyDescent="0.2">
      <c r="E130" s="651">
        <v>4</v>
      </c>
      <c r="F130" s="652" t="s">
        <v>178</v>
      </c>
      <c r="G130" s="653">
        <f t="shared" si="8"/>
        <v>137896.56487345858</v>
      </c>
      <c r="H130" s="636" t="s">
        <v>176</v>
      </c>
      <c r="I130" s="552">
        <f>386/5</f>
        <v>77.2</v>
      </c>
      <c r="J130" s="553">
        <f t="shared" si="7"/>
        <v>10645614.808231004</v>
      </c>
    </row>
    <row r="131" spans="5:10" x14ac:dyDescent="0.2">
      <c r="E131" s="651">
        <v>5</v>
      </c>
      <c r="F131" s="652" t="s">
        <v>179</v>
      </c>
      <c r="G131" s="653">
        <f t="shared" si="8"/>
        <v>68258.799612361981</v>
      </c>
      <c r="H131" s="636" t="s">
        <v>180</v>
      </c>
      <c r="I131" s="552">
        <f>550/5</f>
        <v>110</v>
      </c>
      <c r="J131" s="553">
        <f t="shared" si="7"/>
        <v>7508467.9573598178</v>
      </c>
    </row>
    <row r="132" spans="5:10" x14ac:dyDescent="0.2">
      <c r="E132" s="651">
        <v>6</v>
      </c>
      <c r="F132" s="652" t="s">
        <v>181</v>
      </c>
      <c r="G132" s="653">
        <f t="shared" si="8"/>
        <v>26751.933585450959</v>
      </c>
      <c r="H132" s="636" t="s">
        <v>176</v>
      </c>
      <c r="I132" s="552">
        <f>555.37/5</f>
        <v>111.074</v>
      </c>
      <c r="J132" s="553">
        <f t="shared" si="7"/>
        <v>2971444.2710703798</v>
      </c>
    </row>
    <row r="133" spans="5:10" x14ac:dyDescent="0.2">
      <c r="E133" s="651">
        <v>7</v>
      </c>
      <c r="F133" s="652" t="s">
        <v>182</v>
      </c>
      <c r="G133" s="653">
        <f t="shared" si="8"/>
        <v>2675.1933585450961</v>
      </c>
      <c r="H133" s="636" t="s">
        <v>180</v>
      </c>
      <c r="I133" s="552">
        <f>51.42/2</f>
        <v>25.71</v>
      </c>
      <c r="J133" s="553">
        <f t="shared" si="7"/>
        <v>68779.22124819443</v>
      </c>
    </row>
    <row r="134" spans="5:10" x14ac:dyDescent="0.2">
      <c r="E134" s="651">
        <v>8</v>
      </c>
      <c r="F134" s="652" t="s">
        <v>183</v>
      </c>
      <c r="G134" s="653">
        <f t="shared" si="8"/>
        <v>61629.766997482649</v>
      </c>
      <c r="H134" s="636" t="s">
        <v>176</v>
      </c>
      <c r="I134" s="552">
        <f>I128</f>
        <v>45.294117647058826</v>
      </c>
      <c r="J134" s="553">
        <f t="shared" si="7"/>
        <v>2791465.9169448027</v>
      </c>
    </row>
    <row r="135" spans="5:10" ht="13.5" thickBot="1" x14ac:dyDescent="0.25">
      <c r="E135" s="554">
        <v>9</v>
      </c>
      <c r="F135" s="555" t="s">
        <v>184</v>
      </c>
      <c r="G135" s="556">
        <v>1188515</v>
      </c>
      <c r="H135" s="539" t="s">
        <v>174</v>
      </c>
      <c r="I135" s="557">
        <f>214/100</f>
        <v>2.14</v>
      </c>
      <c r="J135" s="332">
        <f t="shared" si="7"/>
        <v>2543422.1</v>
      </c>
    </row>
    <row r="136" spans="5:10" ht="13.5" thickBot="1" x14ac:dyDescent="0.25">
      <c r="E136" s="257"/>
      <c r="F136" s="258"/>
      <c r="G136" s="333"/>
      <c r="H136" s="333"/>
      <c r="I136" s="259" t="s">
        <v>185</v>
      </c>
      <c r="J136" s="312">
        <f>SUM(J127:J135)</f>
        <v>35082148.060950726</v>
      </c>
    </row>
    <row r="137" spans="5:10" x14ac:dyDescent="0.2">
      <c r="E137" s="329" t="s">
        <v>186</v>
      </c>
    </row>
    <row r="138" spans="5:10" ht="13.5" thickBot="1" x14ac:dyDescent="0.25">
      <c r="I138" s="253" t="s">
        <v>167</v>
      </c>
    </row>
    <row r="139" spans="5:10" ht="13.5" thickBot="1" x14ac:dyDescent="0.25">
      <c r="E139" s="254" t="s">
        <v>168</v>
      </c>
      <c r="F139" s="711" t="s">
        <v>169</v>
      </c>
      <c r="G139" s="711" t="s">
        <v>53</v>
      </c>
      <c r="H139" s="711" t="s">
        <v>170</v>
      </c>
      <c r="I139" s="255" t="s">
        <v>171</v>
      </c>
      <c r="J139" s="256" t="s">
        <v>172</v>
      </c>
    </row>
    <row r="140" spans="5:10" x14ac:dyDescent="0.2">
      <c r="E140" s="488">
        <v>1</v>
      </c>
      <c r="F140" s="489" t="s">
        <v>173</v>
      </c>
      <c r="G140" s="490">
        <v>39435</v>
      </c>
      <c r="H140" s="485" t="s">
        <v>174</v>
      </c>
      <c r="I140" s="330">
        <f>+I127</f>
        <v>7.37</v>
      </c>
      <c r="J140" s="331">
        <f t="shared" ref="J140:J148" si="9">G140*I140</f>
        <v>290635.95</v>
      </c>
    </row>
    <row r="141" spans="5:10" x14ac:dyDescent="0.2">
      <c r="E141" s="651">
        <v>2</v>
      </c>
      <c r="F141" s="652" t="s">
        <v>175</v>
      </c>
      <c r="G141" s="653">
        <v>70793.867786349001</v>
      </c>
      <c r="H141" s="636" t="s">
        <v>176</v>
      </c>
      <c r="I141" s="552">
        <f t="shared" ref="I141:I148" si="10">+I128</f>
        <v>45.294117647058826</v>
      </c>
      <c r="J141" s="553">
        <f t="shared" si="9"/>
        <v>3206545.7762052198</v>
      </c>
    </row>
    <row r="142" spans="5:10" x14ac:dyDescent="0.2">
      <c r="E142" s="651">
        <v>3</v>
      </c>
      <c r="F142" s="652" t="s">
        <v>177</v>
      </c>
      <c r="G142" s="653">
        <v>39731.252329073417</v>
      </c>
      <c r="H142" s="636" t="s">
        <v>176</v>
      </c>
      <c r="I142" s="552">
        <f t="shared" si="10"/>
        <v>142.4</v>
      </c>
      <c r="J142" s="553">
        <f t="shared" si="9"/>
        <v>5657730.3316600546</v>
      </c>
    </row>
    <row r="143" spans="5:10" x14ac:dyDescent="0.2">
      <c r="E143" s="651">
        <v>4</v>
      </c>
      <c r="F143" s="652" t="s">
        <v>178</v>
      </c>
      <c r="G143" s="653">
        <v>147471.54943271764</v>
      </c>
      <c r="H143" s="636" t="s">
        <v>176</v>
      </c>
      <c r="I143" s="552">
        <f t="shared" si="10"/>
        <v>77.2</v>
      </c>
      <c r="J143" s="553">
        <f t="shared" si="9"/>
        <v>11384803.616205802</v>
      </c>
    </row>
    <row r="144" spans="5:10" x14ac:dyDescent="0.2">
      <c r="E144" s="651">
        <v>5</v>
      </c>
      <c r="F144" s="652" t="s">
        <v>179</v>
      </c>
      <c r="G144" s="653">
        <v>72998.416969195227</v>
      </c>
      <c r="H144" s="636" t="s">
        <v>180</v>
      </c>
      <c r="I144" s="552">
        <f t="shared" si="10"/>
        <v>110</v>
      </c>
      <c r="J144" s="553">
        <f t="shared" si="9"/>
        <v>8029825.8666114751</v>
      </c>
    </row>
    <row r="145" spans="1:12" x14ac:dyDescent="0.2">
      <c r="E145" s="651">
        <v>6</v>
      </c>
      <c r="F145" s="652" t="s">
        <v>181</v>
      </c>
      <c r="G145" s="653">
        <v>28609.480589947219</v>
      </c>
      <c r="H145" s="636" t="s">
        <v>176</v>
      </c>
      <c r="I145" s="552">
        <f t="shared" si="10"/>
        <v>111.074</v>
      </c>
      <c r="J145" s="553">
        <f t="shared" si="9"/>
        <v>3177769.4470477975</v>
      </c>
    </row>
    <row r="146" spans="1:12" x14ac:dyDescent="0.2">
      <c r="E146" s="651">
        <v>7</v>
      </c>
      <c r="F146" s="652" t="s">
        <v>182</v>
      </c>
      <c r="G146" s="653">
        <v>2860.948058994722</v>
      </c>
      <c r="H146" s="636" t="s">
        <v>180</v>
      </c>
      <c r="I146" s="552">
        <f t="shared" si="10"/>
        <v>25.71</v>
      </c>
      <c r="J146" s="553">
        <f t="shared" si="9"/>
        <v>73554.974596754313</v>
      </c>
    </row>
    <row r="147" spans="1:12" x14ac:dyDescent="0.2">
      <c r="E147" s="651">
        <v>8</v>
      </c>
      <c r="F147" s="652" t="s">
        <v>183</v>
      </c>
      <c r="G147" s="653">
        <v>65909.090909090912</v>
      </c>
      <c r="H147" s="636" t="s">
        <v>176</v>
      </c>
      <c r="I147" s="552">
        <f t="shared" si="10"/>
        <v>45.294117647058826</v>
      </c>
      <c r="J147" s="553">
        <f t="shared" si="9"/>
        <v>2985294.1176470593</v>
      </c>
    </row>
    <row r="148" spans="1:12" ht="13.5" thickBot="1" x14ac:dyDescent="0.25">
      <c r="E148" s="554">
        <v>9</v>
      </c>
      <c r="F148" s="555" t="s">
        <v>184</v>
      </c>
      <c r="G148" s="556">
        <v>1305000</v>
      </c>
      <c r="H148" s="539" t="s">
        <v>174</v>
      </c>
      <c r="I148" s="557">
        <f t="shared" si="10"/>
        <v>2.14</v>
      </c>
      <c r="J148" s="332">
        <f t="shared" si="9"/>
        <v>2792700</v>
      </c>
      <c r="K148" s="366"/>
    </row>
    <row r="149" spans="1:12" ht="13.5" thickBot="1" x14ac:dyDescent="0.25">
      <c r="E149" s="257"/>
      <c r="F149" s="258"/>
      <c r="G149" s="333"/>
      <c r="H149" s="333"/>
      <c r="I149" s="259" t="s">
        <v>185</v>
      </c>
      <c r="J149" s="312">
        <f>SUM(J140:J148)</f>
        <v>37598860.07997416</v>
      </c>
      <c r="K149" s="373"/>
    </row>
    <row r="150" spans="1:12" x14ac:dyDescent="0.2">
      <c r="C150" s="272" t="s">
        <v>187</v>
      </c>
    </row>
    <row r="151" spans="1:12" ht="13.5" thickBot="1" x14ac:dyDescent="0.25"/>
    <row r="152" spans="1:12" s="335" customFormat="1" ht="30" customHeight="1" thickBot="1" x14ac:dyDescent="0.25">
      <c r="A152" s="334"/>
      <c r="E152" s="336" t="s">
        <v>53</v>
      </c>
      <c r="F152" s="260" t="s">
        <v>188</v>
      </c>
      <c r="G152" s="337" t="s">
        <v>189</v>
      </c>
      <c r="H152" s="337" t="s">
        <v>190</v>
      </c>
      <c r="I152" s="338" t="s">
        <v>191</v>
      </c>
      <c r="J152" s="339" t="s">
        <v>192</v>
      </c>
    </row>
    <row r="153" spans="1:12" ht="13.5" thickBot="1" x14ac:dyDescent="0.25">
      <c r="E153" s="263">
        <v>11</v>
      </c>
      <c r="F153" s="264">
        <v>89.62</v>
      </c>
      <c r="G153" s="265">
        <f>+E153*F153*G158*G159</f>
        <v>1892774.4000000001</v>
      </c>
      <c r="H153" s="265">
        <f>+$G$153*0.23</f>
        <v>435338.11200000002</v>
      </c>
      <c r="I153" s="266">
        <f>+$G$153*0.25</f>
        <v>473193.60000000003</v>
      </c>
      <c r="J153" s="267">
        <f>+SUM(G153:I153)</f>
        <v>2801306.1120000002</v>
      </c>
      <c r="K153" s="329" t="s">
        <v>193</v>
      </c>
      <c r="L153" s="268"/>
    </row>
    <row r="154" spans="1:12" ht="13.5" thickBot="1" x14ac:dyDescent="0.25">
      <c r="J154" s="269">
        <f>+J153*K158</f>
        <v>2562558.432</v>
      </c>
      <c r="K154" s="329" t="s">
        <v>194</v>
      </c>
    </row>
    <row r="155" spans="1:12" x14ac:dyDescent="0.2">
      <c r="E155" s="764" t="s">
        <v>195</v>
      </c>
      <c r="F155" s="764"/>
      <c r="G155" s="764"/>
      <c r="H155" s="764"/>
      <c r="I155" s="764"/>
    </row>
    <row r="156" spans="1:12" x14ac:dyDescent="0.2">
      <c r="E156" s="262" t="s">
        <v>196</v>
      </c>
      <c r="J156" s="262" t="s">
        <v>197</v>
      </c>
    </row>
    <row r="157" spans="1:12" ht="13.5" thickBot="1" x14ac:dyDescent="0.25">
      <c r="E157" s="262" t="s">
        <v>198</v>
      </c>
      <c r="F157" s="270" t="s">
        <v>199</v>
      </c>
    </row>
    <row r="158" spans="1:12" ht="13.5" thickBot="1" x14ac:dyDescent="0.25">
      <c r="F158" s="654" t="s">
        <v>200</v>
      </c>
      <c r="G158" s="654">
        <f>5*(52-2)-10</f>
        <v>240</v>
      </c>
      <c r="I158" s="655" t="s">
        <v>201</v>
      </c>
      <c r="J158" s="558">
        <f>+G159*45*5</f>
        <v>1800</v>
      </c>
      <c r="K158" s="271">
        <f>+(J159-J158)/J159</f>
        <v>0.91477272727272729</v>
      </c>
    </row>
    <row r="159" spans="1:12" x14ac:dyDescent="0.2">
      <c r="F159" s="654" t="s">
        <v>202</v>
      </c>
      <c r="G159" s="654">
        <v>8</v>
      </c>
      <c r="I159" s="655" t="s">
        <v>203</v>
      </c>
      <c r="J159" s="636">
        <f>+E153*G158*G159</f>
        <v>21120</v>
      </c>
    </row>
    <row r="161" spans="1:12" x14ac:dyDescent="0.2">
      <c r="C161" s="272" t="s">
        <v>204</v>
      </c>
    </row>
    <row r="162" spans="1:12" ht="13.5" thickBot="1" x14ac:dyDescent="0.25"/>
    <row r="163" spans="1:12" s="347" customFormat="1" ht="26.25" thickBot="1" x14ac:dyDescent="0.25">
      <c r="A163" s="346"/>
      <c r="E163" s="344" t="s">
        <v>53</v>
      </c>
      <c r="F163" s="345" t="s">
        <v>205</v>
      </c>
      <c r="G163" s="345" t="s">
        <v>206</v>
      </c>
      <c r="H163" s="337" t="s">
        <v>190</v>
      </c>
      <c r="I163" s="338" t="s">
        <v>191</v>
      </c>
      <c r="J163" s="340" t="s">
        <v>207</v>
      </c>
      <c r="K163" s="340" t="s">
        <v>208</v>
      </c>
    </row>
    <row r="164" spans="1:12" ht="15" x14ac:dyDescent="0.25">
      <c r="E164" s="341">
        <v>1</v>
      </c>
      <c r="F164" s="342" t="s">
        <v>209</v>
      </c>
      <c r="G164" s="343">
        <v>35000</v>
      </c>
      <c r="H164" s="343">
        <f>+$G164*0.23</f>
        <v>8050</v>
      </c>
      <c r="I164" s="343">
        <f>+$G164*0.25</f>
        <v>8750</v>
      </c>
      <c r="J164" s="343">
        <f>+SUM(G164:I164)</f>
        <v>51800</v>
      </c>
      <c r="K164" s="343">
        <f>+J164*12</f>
        <v>621600</v>
      </c>
    </row>
    <row r="165" spans="1:12" ht="15" x14ac:dyDescent="0.25">
      <c r="E165" s="559">
        <v>2</v>
      </c>
      <c r="F165" s="560" t="s">
        <v>210</v>
      </c>
      <c r="G165" s="561">
        <v>20108</v>
      </c>
      <c r="H165" s="561">
        <f>+$G165*0.23</f>
        <v>4624.84</v>
      </c>
      <c r="I165" s="561">
        <f>+$G165*0.25</f>
        <v>5027</v>
      </c>
      <c r="J165" s="561">
        <f>+SUM(G165:I165)</f>
        <v>29759.84</v>
      </c>
      <c r="K165" s="561">
        <f>+J165*12</f>
        <v>357118.08</v>
      </c>
    </row>
    <row r="166" spans="1:12" ht="15.75" thickBot="1" x14ac:dyDescent="0.3">
      <c r="E166" s="562">
        <v>3</v>
      </c>
      <c r="F166" s="563" t="s">
        <v>211</v>
      </c>
      <c r="G166" s="564">
        <v>20108</v>
      </c>
      <c r="H166" s="564">
        <f>+$G166*0.23</f>
        <v>4624.84</v>
      </c>
      <c r="I166" s="564">
        <f>+$G166*0.25</f>
        <v>5027</v>
      </c>
      <c r="J166" s="564">
        <f>+SUM(G166:I166)</f>
        <v>29759.84</v>
      </c>
      <c r="K166" s="564">
        <f>+J166*12</f>
        <v>357118.08</v>
      </c>
    </row>
    <row r="167" spans="1:12" ht="13.5" thickBot="1" x14ac:dyDescent="0.25">
      <c r="I167" s="339" t="s">
        <v>212</v>
      </c>
      <c r="J167" s="348">
        <f>+SUM(J164:J166)</f>
        <v>111319.67999999999</v>
      </c>
      <c r="K167" s="349">
        <f>+SUM(K164:K166)</f>
        <v>1335836.1600000001</v>
      </c>
      <c r="L167" s="329" t="s">
        <v>193</v>
      </c>
    </row>
    <row r="168" spans="1:12" ht="13.5" thickBot="1" x14ac:dyDescent="0.25">
      <c r="E168" s="764" t="s">
        <v>195</v>
      </c>
      <c r="F168" s="764"/>
      <c r="G168" s="764"/>
      <c r="H168" s="764"/>
      <c r="I168" s="764"/>
      <c r="K168" s="348">
        <f>+K167*K158</f>
        <v>1221986.4872727275</v>
      </c>
      <c r="L168" s="329" t="s">
        <v>194</v>
      </c>
    </row>
    <row r="169" spans="1:12" ht="13.5" thickBot="1" x14ac:dyDescent="0.25">
      <c r="K169" s="382"/>
      <c r="L169" s="329"/>
    </row>
    <row r="170" spans="1:12" x14ac:dyDescent="0.2">
      <c r="E170" s="375" t="s">
        <v>213</v>
      </c>
      <c r="F170" s="371" t="s">
        <v>194</v>
      </c>
      <c r="G170" s="371" t="s">
        <v>214</v>
      </c>
      <c r="H170" s="372" t="s">
        <v>215</v>
      </c>
      <c r="K170" s="382"/>
      <c r="L170" s="329"/>
    </row>
    <row r="171" spans="1:12" x14ac:dyDescent="0.2">
      <c r="E171" s="656" t="s">
        <v>216</v>
      </c>
      <c r="F171" s="657">
        <f>+K168/$B$292</f>
        <v>3.5017752284567591</v>
      </c>
      <c r="G171" s="657">
        <f>+K167/$B$295</f>
        <v>3.4863300310050009</v>
      </c>
      <c r="H171" s="658">
        <f>+K167/$B$295</f>
        <v>3.4863300310050009</v>
      </c>
      <c r="K171" s="382"/>
      <c r="L171" s="329"/>
    </row>
    <row r="172" spans="1:12" ht="13.5" thickBot="1" x14ac:dyDescent="0.25">
      <c r="E172" s="565" t="s">
        <v>217</v>
      </c>
      <c r="F172" s="566">
        <f>+$F$301*F171/2</f>
        <v>1178.7971975886476</v>
      </c>
      <c r="G172" s="566">
        <f>+$F$301*G171/2</f>
        <v>1173.5979045773827</v>
      </c>
      <c r="H172" s="540">
        <f>+$F$301*H171/2</f>
        <v>1173.5979045773827</v>
      </c>
      <c r="K172" s="382"/>
      <c r="L172" s="329"/>
    </row>
    <row r="173" spans="1:12" x14ac:dyDescent="0.2">
      <c r="E173" s="439"/>
      <c r="F173" s="279"/>
      <c r="G173" s="279"/>
      <c r="H173" s="279"/>
      <c r="K173" s="382"/>
      <c r="L173" s="329"/>
    </row>
    <row r="174" spans="1:12" x14ac:dyDescent="0.2">
      <c r="D174" s="272" t="s">
        <v>218</v>
      </c>
      <c r="E174" s="439"/>
      <c r="F174" s="279"/>
      <c r="G174" s="279"/>
      <c r="H174" s="279"/>
      <c r="K174" s="382"/>
      <c r="L174" s="329"/>
    </row>
    <row r="175" spans="1:12" ht="13.5" thickBot="1" x14ac:dyDescent="0.25">
      <c r="E175" s="439"/>
      <c r="F175" s="279"/>
      <c r="G175" s="279"/>
      <c r="H175" s="279"/>
      <c r="K175" s="382"/>
      <c r="L175" s="329"/>
    </row>
    <row r="176" spans="1:12" ht="26.25" thickBot="1" x14ac:dyDescent="0.25">
      <c r="E176" s="344" t="s">
        <v>53</v>
      </c>
      <c r="F176" s="345" t="s">
        <v>205</v>
      </c>
      <c r="G176" s="345" t="s">
        <v>206</v>
      </c>
      <c r="H176" s="337" t="s">
        <v>190</v>
      </c>
      <c r="I176" s="338" t="s">
        <v>191</v>
      </c>
      <c r="J176" s="340" t="s">
        <v>207</v>
      </c>
      <c r="K176" s="340" t="s">
        <v>208</v>
      </c>
      <c r="L176" s="347"/>
    </row>
    <row r="177" spans="4:12" ht="15" x14ac:dyDescent="0.25">
      <c r="E177" s="341">
        <v>1</v>
      </c>
      <c r="F177" s="342" t="s">
        <v>219</v>
      </c>
      <c r="G177" s="343">
        <v>50000</v>
      </c>
      <c r="H177" s="343">
        <f>+$G177*0.23</f>
        <v>11500</v>
      </c>
      <c r="I177" s="343">
        <f>+$G177*0.25</f>
        <v>12500</v>
      </c>
      <c r="J177" s="343">
        <f>+SUM(G177:I177)</f>
        <v>74000</v>
      </c>
      <c r="K177" s="343">
        <f>+J177*12</f>
        <v>888000</v>
      </c>
    </row>
    <row r="178" spans="4:12" ht="15" x14ac:dyDescent="0.25">
      <c r="E178" s="559">
        <v>2</v>
      </c>
      <c r="F178" s="560" t="s">
        <v>220</v>
      </c>
      <c r="G178" s="561">
        <v>30000</v>
      </c>
      <c r="H178" s="561">
        <f>+$G178*0.23</f>
        <v>6900</v>
      </c>
      <c r="I178" s="561">
        <f>+$G178*0.25</f>
        <v>7500</v>
      </c>
      <c r="J178" s="561">
        <f>+SUM(G178:I178)</f>
        <v>44400</v>
      </c>
      <c r="K178" s="561">
        <f>+J178*12</f>
        <v>532800</v>
      </c>
    </row>
    <row r="179" spans="4:12" ht="15" x14ac:dyDescent="0.25">
      <c r="E179" s="567">
        <v>3</v>
      </c>
      <c r="F179" s="440" t="s">
        <v>221</v>
      </c>
      <c r="G179" s="441">
        <v>20108</v>
      </c>
      <c r="H179" s="561">
        <f>+$G179*0.23</f>
        <v>4624.84</v>
      </c>
      <c r="I179" s="561">
        <f>+$G179*0.25</f>
        <v>5027</v>
      </c>
      <c r="J179" s="561">
        <f>+SUM(G179:I179)</f>
        <v>29759.84</v>
      </c>
      <c r="K179" s="561">
        <f>+J179*12</f>
        <v>357118.08</v>
      </c>
    </row>
    <row r="180" spans="4:12" ht="15.75" thickBot="1" x14ac:dyDescent="0.3">
      <c r="E180" s="562">
        <v>4</v>
      </c>
      <c r="F180" s="563" t="s">
        <v>222</v>
      </c>
      <c r="G180" s="564">
        <v>17671</v>
      </c>
      <c r="H180" s="564">
        <f>+$G180*0.23</f>
        <v>4064.3300000000004</v>
      </c>
      <c r="I180" s="564">
        <f>+$G180*0.25</f>
        <v>4417.75</v>
      </c>
      <c r="J180" s="564">
        <f>+SUM(G180:I180)</f>
        <v>26153.08</v>
      </c>
      <c r="K180" s="564">
        <f>+J180*12</f>
        <v>313836.96000000002</v>
      </c>
    </row>
    <row r="181" spans="4:12" ht="13.5" thickBot="1" x14ac:dyDescent="0.25">
      <c r="I181" s="339" t="s">
        <v>212</v>
      </c>
      <c r="J181" s="348">
        <f>+SUM(J177:J180)</f>
        <v>174312.91999999998</v>
      </c>
      <c r="K181" s="349">
        <f>+SUM(K177:K180)</f>
        <v>2091755.04</v>
      </c>
      <c r="L181" s="329" t="s">
        <v>193</v>
      </c>
    </row>
    <row r="182" spans="4:12" ht="13.5" thickBot="1" x14ac:dyDescent="0.25">
      <c r="E182" s="764" t="s">
        <v>195</v>
      </c>
      <c r="F182" s="764"/>
      <c r="G182" s="764"/>
      <c r="H182" s="764"/>
      <c r="I182" s="764"/>
      <c r="K182" s="348">
        <f>+K181*K158</f>
        <v>1913480.4627272729</v>
      </c>
      <c r="L182" s="329" t="s">
        <v>194</v>
      </c>
    </row>
    <row r="183" spans="4:12" x14ac:dyDescent="0.2">
      <c r="E183" s="439"/>
      <c r="F183" s="279"/>
      <c r="G183" s="279"/>
      <c r="H183" s="279"/>
      <c r="K183" s="382"/>
      <c r="L183" s="329"/>
    </row>
    <row r="184" spans="4:12" x14ac:dyDescent="0.2">
      <c r="D184" s="272" t="s">
        <v>223</v>
      </c>
      <c r="E184" s="439"/>
      <c r="F184" s="279"/>
      <c r="G184" s="279"/>
      <c r="H184" s="279"/>
      <c r="K184" s="382"/>
      <c r="L184" s="329"/>
    </row>
    <row r="185" spans="4:12" ht="13.5" thickBot="1" x14ac:dyDescent="0.25">
      <c r="D185" s="272"/>
      <c r="E185" s="439"/>
      <c r="F185" s="279"/>
      <c r="G185" s="279"/>
      <c r="H185" s="279"/>
      <c r="K185" s="382"/>
      <c r="L185" s="329"/>
    </row>
    <row r="186" spans="4:12" ht="26.25" thickBot="1" x14ac:dyDescent="0.25">
      <c r="D186" s="272"/>
      <c r="E186" s="344" t="s">
        <v>53</v>
      </c>
      <c r="F186" s="345" t="s">
        <v>205</v>
      </c>
      <c r="G186" s="345" t="s">
        <v>206</v>
      </c>
      <c r="H186" s="337" t="s">
        <v>190</v>
      </c>
      <c r="I186" s="338" t="s">
        <v>191</v>
      </c>
      <c r="J186" s="340" t="s">
        <v>207</v>
      </c>
      <c r="K186" s="340" t="s">
        <v>208</v>
      </c>
      <c r="L186" s="347"/>
    </row>
    <row r="187" spans="4:12" ht="15" x14ac:dyDescent="0.25">
      <c r="D187" s="272"/>
      <c r="E187" s="341">
        <v>1</v>
      </c>
      <c r="F187" s="342" t="s">
        <v>224</v>
      </c>
      <c r="G187" s="343">
        <v>20108</v>
      </c>
      <c r="H187" s="343">
        <f>+$G187*0.23</f>
        <v>4624.84</v>
      </c>
      <c r="I187" s="343">
        <f>+$G187*0.25</f>
        <v>5027</v>
      </c>
      <c r="J187" s="343">
        <f>+SUM(G187:I187)</f>
        <v>29759.84</v>
      </c>
      <c r="K187" s="343">
        <f>+J187*12</f>
        <v>357118.08</v>
      </c>
    </row>
    <row r="188" spans="4:12" ht="15" x14ac:dyDescent="0.25">
      <c r="D188" s="272"/>
      <c r="E188" s="559">
        <v>2</v>
      </c>
      <c r="F188" s="560" t="s">
        <v>225</v>
      </c>
      <c r="G188" s="561">
        <v>17671</v>
      </c>
      <c r="H188" s="561">
        <f>+$G188*0.23</f>
        <v>4064.3300000000004</v>
      </c>
      <c r="I188" s="561">
        <f>+$G188*0.25</f>
        <v>4417.75</v>
      </c>
      <c r="J188" s="561">
        <f>+SUM(G188:I188)</f>
        <v>26153.08</v>
      </c>
      <c r="K188" s="561">
        <f>+J188*12</f>
        <v>313836.96000000002</v>
      </c>
    </row>
    <row r="189" spans="4:12" ht="15" x14ac:dyDescent="0.25">
      <c r="D189" s="272"/>
      <c r="E189" s="567">
        <v>3</v>
      </c>
      <c r="F189" s="440" t="s">
        <v>226</v>
      </c>
      <c r="G189" s="441">
        <v>18658</v>
      </c>
      <c r="H189" s="561">
        <f>+$G189*0.23</f>
        <v>4291.34</v>
      </c>
      <c r="I189" s="561">
        <f>+$G189*0.25</f>
        <v>4664.5</v>
      </c>
      <c r="J189" s="561">
        <f>+SUM(G189:I189)</f>
        <v>27613.84</v>
      </c>
      <c r="K189" s="561">
        <f>+J189*12</f>
        <v>331366.08</v>
      </c>
    </row>
    <row r="190" spans="4:12" ht="15.75" thickBot="1" x14ac:dyDescent="0.3">
      <c r="D190" s="272"/>
      <c r="E190" s="562">
        <v>4</v>
      </c>
      <c r="F190" s="563" t="s">
        <v>227</v>
      </c>
      <c r="G190" s="564">
        <v>18658</v>
      </c>
      <c r="H190" s="564">
        <f>+$G190*0.23</f>
        <v>4291.34</v>
      </c>
      <c r="I190" s="564">
        <f>+$G190*0.25</f>
        <v>4664.5</v>
      </c>
      <c r="J190" s="564">
        <f>+SUM(G190:I190)</f>
        <v>27613.84</v>
      </c>
      <c r="K190" s="564">
        <f>+J190*12</f>
        <v>331366.08</v>
      </c>
    </row>
    <row r="191" spans="4:12" ht="13.5" thickBot="1" x14ac:dyDescent="0.25">
      <c r="I191" s="339" t="s">
        <v>212</v>
      </c>
      <c r="J191" s="348">
        <f>+SUM(J187:J190)</f>
        <v>111140.59999999999</v>
      </c>
      <c r="K191" s="349">
        <f>+SUM(K187:K190)</f>
        <v>1333687.2000000002</v>
      </c>
      <c r="L191" s="329" t="s">
        <v>193</v>
      </c>
    </row>
    <row r="192" spans="4:12" ht="13.5" thickBot="1" x14ac:dyDescent="0.25">
      <c r="E192" s="764" t="s">
        <v>195</v>
      </c>
      <c r="F192" s="764"/>
      <c r="G192" s="764"/>
      <c r="H192" s="764"/>
      <c r="I192" s="764"/>
      <c r="K192" s="348">
        <f>+K191*K158</f>
        <v>1220020.6772727275</v>
      </c>
      <c r="L192" s="329" t="s">
        <v>194</v>
      </c>
    </row>
    <row r="194" spans="3:12" x14ac:dyDescent="0.2">
      <c r="C194" s="272" t="s">
        <v>228</v>
      </c>
      <c r="E194" s="252"/>
    </row>
    <row r="195" spans="3:12" ht="13.5" thickBot="1" x14ac:dyDescent="0.25">
      <c r="C195" s="272"/>
      <c r="D195" s="450" t="s">
        <v>229</v>
      </c>
      <c r="E195" s="252"/>
    </row>
    <row r="196" spans="3:12" ht="13.5" thickBot="1" x14ac:dyDescent="0.25">
      <c r="G196" s="775" t="s">
        <v>230</v>
      </c>
      <c r="H196" s="760"/>
      <c r="I196" s="761"/>
      <c r="J196" s="759" t="s">
        <v>231</v>
      </c>
      <c r="K196" s="760"/>
      <c r="L196" s="761"/>
    </row>
    <row r="197" spans="3:12" ht="13.5" thickBot="1" x14ac:dyDescent="0.25">
      <c r="E197" s="273" t="s">
        <v>232</v>
      </c>
      <c r="F197" s="274" t="s">
        <v>159</v>
      </c>
      <c r="G197" s="712" t="s">
        <v>194</v>
      </c>
      <c r="H197" s="709" t="s">
        <v>233</v>
      </c>
      <c r="I197" s="710" t="s">
        <v>234</v>
      </c>
      <c r="J197" s="708" t="s">
        <v>194</v>
      </c>
      <c r="K197" s="709" t="s">
        <v>233</v>
      </c>
      <c r="L197" s="710" t="s">
        <v>234</v>
      </c>
    </row>
    <row r="198" spans="3:12" x14ac:dyDescent="0.2">
      <c r="E198" s="275" t="s">
        <v>235</v>
      </c>
      <c r="F198" s="276">
        <v>0.01</v>
      </c>
      <c r="G198" s="491">
        <f>+('E-Inv AF y Am'!B51-'E-Inv AF y Am'!B50)</f>
        <v>13084877.270199999</v>
      </c>
      <c r="H198" s="492">
        <f>+G198</f>
        <v>13084877.270199999</v>
      </c>
      <c r="I198" s="486">
        <f>+H198</f>
        <v>13084877.270199999</v>
      </c>
      <c r="J198" s="277">
        <f>+$F198*G198*$K$158</f>
        <v>119696.88866489773</v>
      </c>
      <c r="K198" s="492">
        <f>+$F198*H198</f>
        <v>130848.772702</v>
      </c>
      <c r="L198" s="486">
        <f>+$F198*I198*1.05</f>
        <v>137391.21133710002</v>
      </c>
    </row>
    <row r="199" spans="3:12" x14ac:dyDescent="0.2">
      <c r="E199" s="568" t="s">
        <v>148</v>
      </c>
      <c r="F199" s="548">
        <v>0.05</v>
      </c>
      <c r="G199" s="638">
        <f>+D16+D24-D22</f>
        <v>2189240</v>
      </c>
      <c r="H199" s="643">
        <f>+G199</f>
        <v>2189240</v>
      </c>
      <c r="I199" s="637">
        <f>+H199</f>
        <v>2189240</v>
      </c>
      <c r="J199" s="569">
        <f>+$F199*G199*$K$158</f>
        <v>100132.85227272728</v>
      </c>
      <c r="K199" s="643">
        <f>+$F199*H199</f>
        <v>109462</v>
      </c>
      <c r="L199" s="637">
        <f>+$F199*I199*1.05</f>
        <v>114935.1</v>
      </c>
    </row>
    <row r="200" spans="3:12" x14ac:dyDescent="0.2">
      <c r="E200" s="568" t="s">
        <v>229</v>
      </c>
      <c r="F200" s="548">
        <v>0.01</v>
      </c>
      <c r="G200" s="659">
        <f>+J136</f>
        <v>35082148.060950726</v>
      </c>
      <c r="H200" s="660">
        <f>+J149</f>
        <v>37598860.07997416</v>
      </c>
      <c r="I200" s="637">
        <f>+H200</f>
        <v>37598860.07997416</v>
      </c>
      <c r="J200" s="569">
        <f>+$F200*G200</f>
        <v>350821.48060950724</v>
      </c>
      <c r="K200" s="643">
        <f>+$F200*H200</f>
        <v>375988.60079974163</v>
      </c>
      <c r="L200" s="637">
        <f>+$F200*I200</f>
        <v>375988.60079974163</v>
      </c>
    </row>
    <row r="201" spans="3:12" ht="13.5" thickBot="1" x14ac:dyDescent="0.25">
      <c r="E201" s="570" t="s">
        <v>236</v>
      </c>
      <c r="F201" s="551">
        <v>0.02</v>
      </c>
      <c r="G201" s="571">
        <f>+J154</f>
        <v>2562558.432</v>
      </c>
      <c r="H201" s="572">
        <f>+J153</f>
        <v>2801306.1120000002</v>
      </c>
      <c r="I201" s="540">
        <f>+H201</f>
        <v>2801306.1120000002</v>
      </c>
      <c r="J201" s="573">
        <f>+$F201*G201</f>
        <v>51251.168640000004</v>
      </c>
      <c r="K201" s="566">
        <f>+$F201*H201</f>
        <v>56026.122240000004</v>
      </c>
      <c r="L201" s="540">
        <f>+$F201*I201</f>
        <v>56026.122240000004</v>
      </c>
    </row>
    <row r="202" spans="3:12" ht="13.5" thickBot="1" x14ac:dyDescent="0.25">
      <c r="H202" s="762" t="s">
        <v>237</v>
      </c>
      <c r="I202" s="763"/>
      <c r="J202" s="350">
        <f>+SUM(J198:J201)</f>
        <v>621902.39018713229</v>
      </c>
      <c r="K202" s="350">
        <f>+SUM(K198:K201)</f>
        <v>672325.49574174162</v>
      </c>
      <c r="L202" s="351">
        <f>+SUM(L198:L201)</f>
        <v>684341.03437684174</v>
      </c>
    </row>
    <row r="203" spans="3:12" x14ac:dyDescent="0.2">
      <c r="H203" s="278"/>
      <c r="I203" s="278"/>
      <c r="J203" s="279"/>
      <c r="K203" s="279"/>
      <c r="L203" s="279"/>
    </row>
    <row r="204" spans="3:12" x14ac:dyDescent="0.2">
      <c r="E204" s="280" t="s">
        <v>238</v>
      </c>
    </row>
    <row r="205" spans="3:12" x14ac:dyDescent="0.2">
      <c r="E205" s="280" t="s">
        <v>239</v>
      </c>
    </row>
    <row r="206" spans="3:12" ht="13.5" thickBot="1" x14ac:dyDescent="0.25">
      <c r="E206" s="280"/>
    </row>
    <row r="207" spans="3:12" x14ac:dyDescent="0.2">
      <c r="E207" s="375" t="s">
        <v>213</v>
      </c>
      <c r="F207" s="371" t="s">
        <v>194</v>
      </c>
      <c r="G207" s="371" t="s">
        <v>214</v>
      </c>
      <c r="H207" s="372" t="s">
        <v>215</v>
      </c>
    </row>
    <row r="208" spans="3:12" x14ac:dyDescent="0.2">
      <c r="E208" s="656" t="s">
        <v>240</v>
      </c>
      <c r="F208" s="657">
        <f>+J202/$B$292</f>
        <v>1.7821493176538772</v>
      </c>
      <c r="G208" s="657">
        <f>+K202/$B$292</f>
        <v>1.9266438630617133</v>
      </c>
      <c r="H208" s="658">
        <f>+L202/$B$292</f>
        <v>1.9610760895938288</v>
      </c>
    </row>
    <row r="209" spans="4:12" ht="13.5" thickBot="1" x14ac:dyDescent="0.25">
      <c r="E209" s="565" t="s">
        <v>241</v>
      </c>
      <c r="F209" s="566">
        <f>+$F$301*F208/2</f>
        <v>599.92217783228057</v>
      </c>
      <c r="G209" s="566">
        <f>+$F$301*G208/2</f>
        <v>648.56315393189948</v>
      </c>
      <c r="H209" s="540">
        <f>+$F$301*H208/2</f>
        <v>660.15402127625578</v>
      </c>
    </row>
    <row r="210" spans="4:12" x14ac:dyDescent="0.2">
      <c r="E210" s="280"/>
    </row>
    <row r="211" spans="4:12" ht="13.5" thickBot="1" x14ac:dyDescent="0.25">
      <c r="D211" s="450" t="s">
        <v>242</v>
      </c>
      <c r="E211" s="252"/>
    </row>
    <row r="212" spans="4:12" ht="13.5" thickBot="1" x14ac:dyDescent="0.25">
      <c r="G212" s="756" t="s">
        <v>230</v>
      </c>
      <c r="H212" s="757"/>
      <c r="I212" s="758"/>
      <c r="J212" s="759" t="s">
        <v>231</v>
      </c>
      <c r="K212" s="760"/>
      <c r="L212" s="761"/>
    </row>
    <row r="213" spans="4:12" ht="13.5" thickBot="1" x14ac:dyDescent="0.25">
      <c r="E213" s="273" t="s">
        <v>232</v>
      </c>
      <c r="F213" s="274" t="s">
        <v>159</v>
      </c>
      <c r="G213" s="712" t="s">
        <v>194</v>
      </c>
      <c r="H213" s="709" t="s">
        <v>233</v>
      </c>
      <c r="I213" s="710" t="s">
        <v>234</v>
      </c>
      <c r="J213" s="708" t="s">
        <v>194</v>
      </c>
      <c r="K213" s="709" t="s">
        <v>233</v>
      </c>
      <c r="L213" s="710" t="s">
        <v>234</v>
      </c>
    </row>
    <row r="214" spans="4:12" x14ac:dyDescent="0.2">
      <c r="E214" s="275" t="s">
        <v>235</v>
      </c>
      <c r="F214" s="452">
        <v>0.01</v>
      </c>
      <c r="G214" s="491">
        <f>SUMPRODUCT('E-Inv AF y Am'!B43:B48,'E-Inv AF y Am'!I43:I48)</f>
        <v>1739097.4821739241</v>
      </c>
      <c r="H214" s="492">
        <f>+G214</f>
        <v>1739097.4821739241</v>
      </c>
      <c r="I214" s="486">
        <f>+H214</f>
        <v>1739097.4821739241</v>
      </c>
      <c r="J214" s="277">
        <f>+$F214*G214*$K$158</f>
        <v>15908.789467613738</v>
      </c>
      <c r="K214" s="492">
        <f>+$F214*H214</f>
        <v>17390.974821739241</v>
      </c>
      <c r="L214" s="486">
        <f>+$F214*I214*1.05</f>
        <v>18260.523562826205</v>
      </c>
    </row>
    <row r="215" spans="4:12" x14ac:dyDescent="0.2">
      <c r="E215" s="568" t="s">
        <v>243</v>
      </c>
      <c r="F215" s="574">
        <v>2.5000000000000001E-2</v>
      </c>
      <c r="G215" s="638">
        <f>AVERAGE('E-Costos'!B8:F8)</f>
        <v>2753556.5759999999</v>
      </c>
      <c r="H215" s="643">
        <f>+G215</f>
        <v>2753556.5759999999</v>
      </c>
      <c r="I215" s="637">
        <f>+H215</f>
        <v>2753556.5759999999</v>
      </c>
      <c r="J215" s="569">
        <f>+$F215*G215*$K$158</f>
        <v>62971.961468181813</v>
      </c>
      <c r="K215" s="643">
        <f>+$F215*H215</f>
        <v>68838.914399999994</v>
      </c>
      <c r="L215" s="637">
        <f>+$F215*I215*1.05</f>
        <v>72280.860119999998</v>
      </c>
    </row>
    <row r="216" spans="4:12" ht="13.5" thickBot="1" x14ac:dyDescent="0.25">
      <c r="E216" s="570" t="s">
        <v>244</v>
      </c>
      <c r="F216" s="575">
        <v>5.0000000000000001E-3</v>
      </c>
      <c r="G216" s="576">
        <f>+K182</f>
        <v>1913480.4627272729</v>
      </c>
      <c r="H216" s="577">
        <f>+$K$181</f>
        <v>2091755.04</v>
      </c>
      <c r="I216" s="578">
        <f>+H216</f>
        <v>2091755.04</v>
      </c>
      <c r="J216" s="579">
        <f>+$F216*G216</f>
        <v>9567.4023136363649</v>
      </c>
      <c r="K216" s="580">
        <f>+$F216*H216</f>
        <v>10458.7752</v>
      </c>
      <c r="L216" s="578">
        <f>+$F216*I216</f>
        <v>10458.7752</v>
      </c>
    </row>
    <row r="217" spans="4:12" ht="13.5" thickBot="1" x14ac:dyDescent="0.25">
      <c r="H217" s="762" t="s">
        <v>237</v>
      </c>
      <c r="I217" s="763"/>
      <c r="J217" s="350">
        <f>+SUM(J214:J216)</f>
        <v>88448.153249431925</v>
      </c>
      <c r="K217" s="350">
        <f>+SUM(K214:K216)</f>
        <v>96688.664421739231</v>
      </c>
      <c r="L217" s="351">
        <f>+SUM(L214:L216)</f>
        <v>101000.1588828262</v>
      </c>
    </row>
    <row r="218" spans="4:12" x14ac:dyDescent="0.2">
      <c r="E218" s="280" t="s">
        <v>245</v>
      </c>
    </row>
    <row r="219" spans="4:12" x14ac:dyDescent="0.2">
      <c r="E219" s="280"/>
    </row>
    <row r="220" spans="4:12" ht="13.5" thickBot="1" x14ac:dyDescent="0.25">
      <c r="D220" s="450" t="s">
        <v>246</v>
      </c>
      <c r="E220" s="252"/>
    </row>
    <row r="221" spans="4:12" ht="13.5" thickBot="1" x14ac:dyDescent="0.25">
      <c r="G221" s="756" t="s">
        <v>230</v>
      </c>
      <c r="H221" s="757"/>
      <c r="I221" s="758"/>
      <c r="J221" s="759" t="s">
        <v>231</v>
      </c>
      <c r="K221" s="760"/>
      <c r="L221" s="761"/>
    </row>
    <row r="222" spans="4:12" ht="13.5" thickBot="1" x14ac:dyDescent="0.25">
      <c r="E222" s="273" t="s">
        <v>232</v>
      </c>
      <c r="F222" s="274" t="s">
        <v>159</v>
      </c>
      <c r="G222" s="712" t="s">
        <v>194</v>
      </c>
      <c r="H222" s="709" t="s">
        <v>233</v>
      </c>
      <c r="I222" s="710" t="s">
        <v>234</v>
      </c>
      <c r="J222" s="708" t="s">
        <v>194</v>
      </c>
      <c r="K222" s="709" t="s">
        <v>233</v>
      </c>
      <c r="L222" s="710" t="s">
        <v>234</v>
      </c>
    </row>
    <row r="223" spans="4:12" x14ac:dyDescent="0.2">
      <c r="E223" s="275" t="s">
        <v>235</v>
      </c>
      <c r="F223" s="452">
        <v>0.01</v>
      </c>
      <c r="G223" s="491">
        <f>SUMPRODUCT('E-Inv AF y Am'!B43:B48,'E-Inv AF y Am'!J43:J48)</f>
        <v>2357048.9602001272</v>
      </c>
      <c r="H223" s="492">
        <f>+G223</f>
        <v>2357048.9602001272</v>
      </c>
      <c r="I223" s="486">
        <f>+H223</f>
        <v>2357048.9602001272</v>
      </c>
      <c r="J223" s="277">
        <f>+$F223*G223*$K$158</f>
        <v>21561.641056376164</v>
      </c>
      <c r="K223" s="492">
        <f>+$F223*H223</f>
        <v>23570.489602001271</v>
      </c>
      <c r="L223" s="486">
        <f>+$F223*I223*1.05</f>
        <v>24749.014082101337</v>
      </c>
    </row>
    <row r="224" spans="4:12" x14ac:dyDescent="0.2">
      <c r="E224" s="568" t="s">
        <v>243</v>
      </c>
      <c r="F224" s="574">
        <v>2.5000000000000001E-2</v>
      </c>
      <c r="G224" s="638">
        <f>AVERAGE('E-Costos'!B8:F8)</f>
        <v>2753556.5759999999</v>
      </c>
      <c r="H224" s="643">
        <f>+G224</f>
        <v>2753556.5759999999</v>
      </c>
      <c r="I224" s="637">
        <f>+H224</f>
        <v>2753556.5759999999</v>
      </c>
      <c r="J224" s="569">
        <f>+$F224*G224*$K$158</f>
        <v>62971.961468181813</v>
      </c>
      <c r="K224" s="643">
        <f>+$F224*H224</f>
        <v>68838.914399999994</v>
      </c>
      <c r="L224" s="637">
        <f>+$F224*I224*1.05</f>
        <v>72280.860119999998</v>
      </c>
    </row>
    <row r="225" spans="3:12" ht="13.5" thickBot="1" x14ac:dyDescent="0.25">
      <c r="E225" s="570" t="s">
        <v>244</v>
      </c>
      <c r="F225" s="575">
        <v>5.0000000000000001E-3</v>
      </c>
      <c r="G225" s="576">
        <f>+K192</f>
        <v>1220020.6772727275</v>
      </c>
      <c r="H225" s="577">
        <f>+$K$181</f>
        <v>2091755.04</v>
      </c>
      <c r="I225" s="578">
        <f>+H225</f>
        <v>2091755.04</v>
      </c>
      <c r="J225" s="579">
        <f>+$F225*G225</f>
        <v>6100.1033863636376</v>
      </c>
      <c r="K225" s="580">
        <f>+$F225*H225</f>
        <v>10458.7752</v>
      </c>
      <c r="L225" s="578">
        <f>+$F225*I225</f>
        <v>10458.7752</v>
      </c>
    </row>
    <row r="226" spans="3:12" ht="13.5" thickBot="1" x14ac:dyDescent="0.25">
      <c r="H226" s="762" t="s">
        <v>237</v>
      </c>
      <c r="I226" s="763"/>
      <c r="J226" s="350">
        <f>+SUM(J223:J225)</f>
        <v>90633.705910921621</v>
      </c>
      <c r="K226" s="350">
        <f>+SUM(K223:K225)</f>
        <v>102868.17920200127</v>
      </c>
      <c r="L226" s="351">
        <f>+SUM(L223:L225)</f>
        <v>107488.64940210133</v>
      </c>
    </row>
    <row r="227" spans="3:12" x14ac:dyDescent="0.2">
      <c r="E227" s="280" t="s">
        <v>245</v>
      </c>
    </row>
    <row r="228" spans="3:12" x14ac:dyDescent="0.2">
      <c r="E228" s="280"/>
    </row>
    <row r="229" spans="3:12" ht="13.5" thickBot="1" x14ac:dyDescent="0.25">
      <c r="C229" s="281" t="s">
        <v>247</v>
      </c>
      <c r="F229" s="281" t="s">
        <v>229</v>
      </c>
    </row>
    <row r="230" spans="3:12" ht="13.5" thickBot="1" x14ac:dyDescent="0.25">
      <c r="E230" s="771" t="s">
        <v>248</v>
      </c>
      <c r="F230" s="765" t="s">
        <v>249</v>
      </c>
      <c r="G230" s="282" t="s">
        <v>250</v>
      </c>
      <c r="H230" s="282" t="s">
        <v>251</v>
      </c>
      <c r="I230" s="283" t="s">
        <v>252</v>
      </c>
      <c r="K230" s="773" t="s">
        <v>253</v>
      </c>
      <c r="L230" s="774"/>
    </row>
    <row r="231" spans="3:12" ht="13.5" thickBot="1" x14ac:dyDescent="0.25">
      <c r="E231" s="772"/>
      <c r="F231" s="766"/>
      <c r="G231" s="539" t="s">
        <v>254</v>
      </c>
      <c r="H231" s="539" t="s">
        <v>255</v>
      </c>
      <c r="I231" s="581" t="s">
        <v>256</v>
      </c>
      <c r="K231" s="284" t="s">
        <v>257</v>
      </c>
      <c r="L231" s="285">
        <f>12*1866.24*$C$117</f>
        <v>15895.882732919255</v>
      </c>
    </row>
    <row r="232" spans="3:12" x14ac:dyDescent="0.2">
      <c r="E232" s="493" t="s">
        <v>258</v>
      </c>
      <c r="F232" s="485" t="s">
        <v>259</v>
      </c>
      <c r="G232" s="494">
        <v>4.8220000000000001</v>
      </c>
      <c r="H232" s="485" t="s">
        <v>259</v>
      </c>
      <c r="I232" s="495">
        <v>12021.12</v>
      </c>
      <c r="K232" s="634" t="s">
        <v>260</v>
      </c>
      <c r="L232" s="661">
        <f>128.99*G238*12</f>
        <v>10646.318640000001</v>
      </c>
    </row>
    <row r="233" spans="3:12" x14ac:dyDescent="0.2">
      <c r="E233" s="645" t="s">
        <v>261</v>
      </c>
      <c r="F233" s="636">
        <v>6</v>
      </c>
      <c r="G233" s="662">
        <v>0.373</v>
      </c>
      <c r="H233" s="654">
        <f>24*365</f>
        <v>8760</v>
      </c>
      <c r="I233" s="663">
        <f>F233*G233*H233</f>
        <v>19604.88</v>
      </c>
      <c r="K233" s="634" t="s">
        <v>262</v>
      </c>
      <c r="L233" s="661">
        <f>I238*1.22</f>
        <v>74243.246400000004</v>
      </c>
    </row>
    <row r="234" spans="3:12" x14ac:dyDescent="0.2">
      <c r="E234" s="645" t="s">
        <v>263</v>
      </c>
      <c r="F234" s="636">
        <v>2</v>
      </c>
      <c r="G234" s="662">
        <v>1.5</v>
      </c>
      <c r="H234" s="654">
        <f>24*365</f>
        <v>8760</v>
      </c>
      <c r="I234" s="663">
        <f>F234*G234*H234</f>
        <v>26280</v>
      </c>
      <c r="K234" s="634" t="s">
        <v>264</v>
      </c>
      <c r="L234" s="664">
        <f>SUM(L231:L233)</f>
        <v>100785.44777291926</v>
      </c>
    </row>
    <row r="235" spans="3:12" x14ac:dyDescent="0.2">
      <c r="E235" s="645" t="s">
        <v>265</v>
      </c>
      <c r="F235" s="636">
        <f>ROUND(100*$C$117,0)</f>
        <v>71</v>
      </c>
      <c r="G235" s="662">
        <v>1.7999999999999999E-2</v>
      </c>
      <c r="H235" s="654">
        <f>8*(5*50-10)</f>
        <v>1920</v>
      </c>
      <c r="I235" s="663">
        <f>F235*G235*H235</f>
        <v>2453.7599999999998</v>
      </c>
      <c r="K235" s="634" t="s">
        <v>266</v>
      </c>
      <c r="L235" s="664">
        <f>+L234/12</f>
        <v>8398.7873144099376</v>
      </c>
    </row>
    <row r="236" spans="3:12" ht="13.5" thickBot="1" x14ac:dyDescent="0.25">
      <c r="E236" s="645" t="s">
        <v>267</v>
      </c>
      <c r="F236" s="636">
        <v>4</v>
      </c>
      <c r="G236" s="662">
        <v>0.09</v>
      </c>
      <c r="H236" s="654">
        <f>8*(5*50-10)*0.3</f>
        <v>576</v>
      </c>
      <c r="I236" s="663">
        <f>F236*G236*H236</f>
        <v>207.35999999999999</v>
      </c>
      <c r="K236" s="582" t="s">
        <v>268</v>
      </c>
      <c r="L236" s="583"/>
    </row>
    <row r="237" spans="3:12" ht="13.5" thickBot="1" x14ac:dyDescent="0.25">
      <c r="E237" s="665" t="s">
        <v>269</v>
      </c>
      <c r="F237" s="650">
        <v>2</v>
      </c>
      <c r="G237" s="666">
        <v>7.4999999999999997E-2</v>
      </c>
      <c r="H237" s="667">
        <f>8*(5*50-10)</f>
        <v>1920</v>
      </c>
      <c r="I237" s="668">
        <f>F237*G237*H237</f>
        <v>288</v>
      </c>
    </row>
    <row r="238" spans="3:12" ht="13.5" thickBot="1" x14ac:dyDescent="0.25">
      <c r="E238" s="767" t="s">
        <v>270</v>
      </c>
      <c r="F238" s="768"/>
      <c r="G238" s="286">
        <f>SUM(G232:G237)</f>
        <v>6.8780000000000001</v>
      </c>
      <c r="H238" s="287"/>
      <c r="I238" s="288">
        <f>SUM(I232:I237)</f>
        <v>60855.12</v>
      </c>
      <c r="K238" s="289" t="s">
        <v>193</v>
      </c>
      <c r="L238" s="290">
        <f>+L234</f>
        <v>100785.44777291926</v>
      </c>
    </row>
    <row r="239" spans="3:12" ht="13.5" thickBot="1" x14ac:dyDescent="0.25">
      <c r="F239" s="291"/>
      <c r="G239" s="769" t="s">
        <v>271</v>
      </c>
      <c r="H239" s="770"/>
      <c r="I239" s="292">
        <f>I238/12</f>
        <v>5071.26</v>
      </c>
      <c r="K239" s="584" t="s">
        <v>194</v>
      </c>
      <c r="L239" s="585">
        <f>+L233*$K$158+L231+L232</f>
        <v>94457.898363828353</v>
      </c>
    </row>
    <row r="240" spans="3:12" ht="13.5" thickBot="1" x14ac:dyDescent="0.25">
      <c r="F240" s="291"/>
      <c r="G240" s="257"/>
      <c r="H240" s="257"/>
      <c r="I240" s="293"/>
    </row>
    <row r="241" spans="5:15" ht="13.5" thickBot="1" x14ac:dyDescent="0.25">
      <c r="E241" s="386" t="s">
        <v>213</v>
      </c>
      <c r="F241" s="387" t="s">
        <v>194</v>
      </c>
      <c r="G241" s="387" t="s">
        <v>214</v>
      </c>
      <c r="H241" s="388" t="s">
        <v>215</v>
      </c>
      <c r="I241" s="293"/>
    </row>
    <row r="242" spans="5:15" x14ac:dyDescent="0.2">
      <c r="E242" s="383" t="s">
        <v>272</v>
      </c>
      <c r="F242" s="384">
        <f>+L239/$B$292</f>
        <v>0.27068247649838195</v>
      </c>
      <c r="G242" s="384">
        <f>+L238/$B$292</f>
        <v>0.28881496487560038</v>
      </c>
      <c r="H242" s="385">
        <f>+L238/$B$292</f>
        <v>0.28881496487560038</v>
      </c>
      <c r="I242" s="293"/>
    </row>
    <row r="243" spans="5:15" ht="13.5" thickBot="1" x14ac:dyDescent="0.25">
      <c r="E243" s="565" t="s">
        <v>273</v>
      </c>
      <c r="F243" s="566">
        <f>+$F$301*F242/2</f>
        <v>91.119424839059931</v>
      </c>
      <c r="G243" s="566">
        <f>+$F$301*G242/2</f>
        <v>97.223336452425713</v>
      </c>
      <c r="H243" s="540">
        <f>+$F$301*H242/2</f>
        <v>97.223336452425713</v>
      </c>
      <c r="I243" s="293"/>
    </row>
    <row r="244" spans="5:15" x14ac:dyDescent="0.2">
      <c r="F244" s="291"/>
      <c r="G244" s="257"/>
      <c r="H244" s="257"/>
      <c r="I244" s="293"/>
    </row>
    <row r="245" spans="5:15" ht="13.5" thickBot="1" x14ac:dyDescent="0.25">
      <c r="E245" s="281"/>
      <c r="F245" s="281" t="s">
        <v>274</v>
      </c>
    </row>
    <row r="246" spans="5:15" ht="13.5" thickBot="1" x14ac:dyDescent="0.25">
      <c r="E246" s="771" t="s">
        <v>248</v>
      </c>
      <c r="F246" s="765" t="s">
        <v>249</v>
      </c>
      <c r="G246" s="282" t="s">
        <v>250</v>
      </c>
      <c r="H246" s="282" t="s">
        <v>251</v>
      </c>
      <c r="I246" s="283" t="s">
        <v>252</v>
      </c>
      <c r="K246" s="773" t="s">
        <v>253</v>
      </c>
      <c r="L246" s="774"/>
    </row>
    <row r="247" spans="5:15" ht="13.5" thickBot="1" x14ac:dyDescent="0.25">
      <c r="E247" s="772"/>
      <c r="F247" s="766"/>
      <c r="G247" s="539" t="s">
        <v>254</v>
      </c>
      <c r="H247" s="539" t="s">
        <v>255</v>
      </c>
      <c r="I247" s="581" t="s">
        <v>256</v>
      </c>
      <c r="K247" s="284" t="s">
        <v>257</v>
      </c>
      <c r="L247" s="285">
        <f>12*1866.24*$C$118</f>
        <v>4259.5092670807453</v>
      </c>
    </row>
    <row r="248" spans="5:15" x14ac:dyDescent="0.2">
      <c r="E248" s="645" t="s">
        <v>275</v>
      </c>
      <c r="F248" s="636">
        <v>2</v>
      </c>
      <c r="G248" s="662">
        <v>0.1</v>
      </c>
      <c r="H248" s="654">
        <f>24*365</f>
        <v>8760</v>
      </c>
      <c r="I248" s="663">
        <f>F248*G248*H248</f>
        <v>1752</v>
      </c>
      <c r="K248" s="634" t="s">
        <v>260</v>
      </c>
      <c r="L248" s="661">
        <f>128.99*G253*12</f>
        <v>5728.70388</v>
      </c>
    </row>
    <row r="249" spans="5:15" x14ac:dyDescent="0.2">
      <c r="E249" s="645" t="s">
        <v>265</v>
      </c>
      <c r="F249" s="636">
        <f>ROUND(100*$C$118,0)</f>
        <v>19</v>
      </c>
      <c r="G249" s="662">
        <v>1.7999999999999999E-2</v>
      </c>
      <c r="H249" s="654">
        <f>8*(5*50-10)</f>
        <v>1920</v>
      </c>
      <c r="I249" s="663">
        <f>F249*G249*H249</f>
        <v>656.64</v>
      </c>
      <c r="K249" s="634" t="s">
        <v>262</v>
      </c>
      <c r="L249" s="661">
        <f>I253*1.22</f>
        <v>33318.297599999998</v>
      </c>
    </row>
    <row r="250" spans="5:15" x14ac:dyDescent="0.2">
      <c r="E250" s="645" t="s">
        <v>276</v>
      </c>
      <c r="F250" s="636">
        <v>7</v>
      </c>
      <c r="G250" s="662">
        <v>5.0999999999999997E-2</v>
      </c>
      <c r="H250" s="654">
        <f>8*(5*50-10)</f>
        <v>1920</v>
      </c>
      <c r="I250" s="663">
        <f>F250*G250*H250</f>
        <v>685.43999999999994</v>
      </c>
      <c r="K250" s="634" t="s">
        <v>264</v>
      </c>
      <c r="L250" s="664">
        <f>SUM(L247:L249)</f>
        <v>43306.510747080742</v>
      </c>
    </row>
    <row r="251" spans="5:15" ht="13.5" thickBot="1" x14ac:dyDescent="0.25">
      <c r="E251" s="645" t="s">
        <v>277</v>
      </c>
      <c r="F251" s="636">
        <v>6</v>
      </c>
      <c r="G251" s="662">
        <v>3.5</v>
      </c>
      <c r="H251" s="654">
        <f>8*(5*50-10)*0.6</f>
        <v>1152</v>
      </c>
      <c r="I251" s="663">
        <f>F251*G251*H251</f>
        <v>24192</v>
      </c>
      <c r="K251" s="634" t="s">
        <v>266</v>
      </c>
      <c r="L251" s="664">
        <f>+L250/12</f>
        <v>3608.8758955900616</v>
      </c>
    </row>
    <row r="252" spans="5:15" ht="13.5" thickBot="1" x14ac:dyDescent="0.25">
      <c r="E252" s="645" t="s">
        <v>278</v>
      </c>
      <c r="F252" s="636">
        <v>2</v>
      </c>
      <c r="G252" s="662">
        <v>0.05</v>
      </c>
      <c r="H252" s="654">
        <f>1*(5*50-10)</f>
        <v>240</v>
      </c>
      <c r="I252" s="663">
        <f>F252*G252*H252</f>
        <v>24</v>
      </c>
      <c r="K252" s="582" t="s">
        <v>268</v>
      </c>
      <c r="L252" s="586"/>
      <c r="M252" s="356"/>
      <c r="N252" s="469" t="s">
        <v>279</v>
      </c>
      <c r="O252" s="451" t="s">
        <v>280</v>
      </c>
    </row>
    <row r="253" spans="5:15" ht="13.5" thickBot="1" x14ac:dyDescent="0.25">
      <c r="E253" s="767" t="s">
        <v>270</v>
      </c>
      <c r="F253" s="768"/>
      <c r="G253" s="286">
        <f>SUM(G248:G252)-G249</f>
        <v>3.7010000000000001</v>
      </c>
      <c r="H253" s="287"/>
      <c r="I253" s="288">
        <f>SUM(I248:I252)</f>
        <v>27310.080000000002</v>
      </c>
      <c r="M253" s="645" t="s">
        <v>281</v>
      </c>
      <c r="N253" s="669">
        <f>1-O253</f>
        <v>0.76372285673276052</v>
      </c>
      <c r="O253" s="670">
        <f>F103</f>
        <v>0.23627714326723945</v>
      </c>
    </row>
    <row r="254" spans="5:15" ht="13.5" customHeight="1" thickBot="1" x14ac:dyDescent="0.25">
      <c r="F254" s="291"/>
      <c r="G254" s="769" t="s">
        <v>271</v>
      </c>
      <c r="H254" s="770"/>
      <c r="I254" s="292">
        <f>I253/12</f>
        <v>2275.84</v>
      </c>
      <c r="K254" s="289" t="s">
        <v>193</v>
      </c>
      <c r="L254" s="468">
        <f>+L250</f>
        <v>43306.510747080742</v>
      </c>
      <c r="M254" s="671"/>
      <c r="N254" s="672">
        <f>L254*N253</f>
        <v>33074.1721028885</v>
      </c>
      <c r="O254" s="661">
        <f>L254*O253</f>
        <v>10232.338644192241</v>
      </c>
    </row>
    <row r="255" spans="5:15" ht="13.5" customHeight="1" thickBot="1" x14ac:dyDescent="0.25">
      <c r="K255" s="584" t="s">
        <v>194</v>
      </c>
      <c r="L255" s="587">
        <f>+L249*$K$158+L247+L248</f>
        <v>40466.883110717106</v>
      </c>
      <c r="M255" s="588"/>
      <c r="N255" s="589">
        <f>L255*N253</f>
        <v>30905.483572387566</v>
      </c>
      <c r="O255" s="590">
        <f>O253*L255</f>
        <v>9561.3995383295387</v>
      </c>
    </row>
    <row r="256" spans="5:15" ht="13.5" customHeight="1" x14ac:dyDescent="0.2">
      <c r="K256" s="467" t="s">
        <v>282</v>
      </c>
      <c r="L256" s="295"/>
    </row>
    <row r="257" spans="1:12" ht="13.5" customHeight="1" thickBot="1" x14ac:dyDescent="0.25">
      <c r="C257" s="272" t="s">
        <v>283</v>
      </c>
      <c r="E257" s="281" t="s">
        <v>229</v>
      </c>
    </row>
    <row r="258" spans="1:12" ht="13.5" customHeight="1" thickBot="1" x14ac:dyDescent="0.25">
      <c r="C258" s="272" t="s">
        <v>284</v>
      </c>
      <c r="E258" s="771" t="s">
        <v>248</v>
      </c>
      <c r="F258" s="765" t="s">
        <v>249</v>
      </c>
      <c r="G258" s="282" t="s">
        <v>250</v>
      </c>
      <c r="H258" s="282" t="s">
        <v>251</v>
      </c>
      <c r="I258" s="283" t="s">
        <v>252</v>
      </c>
      <c r="K258" s="773" t="s">
        <v>285</v>
      </c>
      <c r="L258" s="774"/>
    </row>
    <row r="259" spans="1:12" ht="13.5" customHeight="1" thickBot="1" x14ac:dyDescent="0.25">
      <c r="C259" s="272"/>
      <c r="E259" s="772"/>
      <c r="F259" s="766"/>
      <c r="G259" s="650" t="s">
        <v>286</v>
      </c>
      <c r="H259" s="650" t="s">
        <v>255</v>
      </c>
      <c r="I259" s="673" t="s">
        <v>287</v>
      </c>
      <c r="K259" s="284" t="s">
        <v>257</v>
      </c>
      <c r="L259" s="285">
        <f>(323.18+150)*12*$C$117</f>
        <v>4030.3571842650099</v>
      </c>
    </row>
    <row r="260" spans="1:12" ht="13.5" customHeight="1" thickBot="1" x14ac:dyDescent="0.25">
      <c r="C260" s="272"/>
      <c r="E260" s="356" t="s">
        <v>288</v>
      </c>
      <c r="F260" s="357">
        <f>+ROUND(10*$C$117,0)</f>
        <v>7</v>
      </c>
      <c r="G260" s="358">
        <v>2500</v>
      </c>
      <c r="H260" s="358">
        <f>8*(5*50-10)/4</f>
        <v>480</v>
      </c>
      <c r="I260" s="359">
        <f>+G260*H260*F260</f>
        <v>8400000</v>
      </c>
      <c r="K260" s="674" t="s">
        <v>262</v>
      </c>
      <c r="L260" s="675">
        <f>I263*2.071</f>
        <v>8239.7005347593586</v>
      </c>
    </row>
    <row r="261" spans="1:12" ht="13.5" customHeight="1" thickBot="1" x14ac:dyDescent="0.25">
      <c r="C261" s="272"/>
      <c r="E261" s="582" t="s">
        <v>57</v>
      </c>
      <c r="F261" s="539">
        <v>1</v>
      </c>
      <c r="G261" s="591">
        <v>15000</v>
      </c>
      <c r="H261" s="591">
        <f>8*(5*50-10)</f>
        <v>1920</v>
      </c>
      <c r="I261" s="592">
        <f>+G261*H261*F261</f>
        <v>28800000</v>
      </c>
      <c r="K261" s="364" t="s">
        <v>264</v>
      </c>
      <c r="L261" s="360">
        <f>SUM(L259:L260)</f>
        <v>12270.057719024368</v>
      </c>
    </row>
    <row r="262" spans="1:12" ht="13.5" customHeight="1" thickBot="1" x14ac:dyDescent="0.25">
      <c r="C262" s="272"/>
      <c r="H262" s="355" t="s">
        <v>289</v>
      </c>
      <c r="I262" s="288">
        <f>SUM(I260:I261)</f>
        <v>37200000</v>
      </c>
    </row>
    <row r="263" spans="1:12" ht="13.5" customHeight="1" thickBot="1" x14ac:dyDescent="0.25">
      <c r="H263" s="355" t="s">
        <v>290</v>
      </c>
      <c r="I263" s="288">
        <f>+I262/9350</f>
        <v>3978.6096256684491</v>
      </c>
      <c r="K263" s="289" t="s">
        <v>193</v>
      </c>
      <c r="L263" s="290">
        <f>+L261</f>
        <v>12270.057719024368</v>
      </c>
    </row>
    <row r="264" spans="1:12" ht="13.5" customHeight="1" thickBot="1" x14ac:dyDescent="0.25">
      <c r="H264" s="257"/>
      <c r="I264" s="293"/>
      <c r="K264" s="584" t="s">
        <v>194</v>
      </c>
      <c r="L264" s="585">
        <f>+L259+L260*$K$158</f>
        <v>11567.810514357378</v>
      </c>
    </row>
    <row r="265" spans="1:12" ht="13.5" customHeight="1" thickBot="1" x14ac:dyDescent="0.25">
      <c r="E265" s="386" t="s">
        <v>213</v>
      </c>
      <c r="F265" s="387" t="s">
        <v>194</v>
      </c>
      <c r="G265" s="387" t="s">
        <v>214</v>
      </c>
      <c r="H265" s="388" t="s">
        <v>215</v>
      </c>
      <c r="I265" s="293"/>
      <c r="K265" s="294"/>
      <c r="L265" s="295"/>
    </row>
    <row r="266" spans="1:12" ht="13.5" customHeight="1" x14ac:dyDescent="0.2">
      <c r="E266" s="383" t="s">
        <v>240</v>
      </c>
      <c r="F266" s="384">
        <f>+L264/$B$292</f>
        <v>3.3149198234642678E-2</v>
      </c>
      <c r="G266" s="384">
        <f>+L263/$B$292</f>
        <v>3.5161586989484149E-2</v>
      </c>
      <c r="H266" s="385">
        <f>+L263/$B$292</f>
        <v>3.5161586989484149E-2</v>
      </c>
      <c r="I266" s="293"/>
      <c r="K266" s="294"/>
      <c r="L266" s="295"/>
    </row>
    <row r="267" spans="1:12" ht="13.5" customHeight="1" thickBot="1" x14ac:dyDescent="0.25">
      <c r="E267" s="565" t="s">
        <v>241</v>
      </c>
      <c r="F267" s="566">
        <f>+$F$301*F266/2</f>
        <v>11.158963506212332</v>
      </c>
      <c r="G267" s="566">
        <f>+$F$301*G266/2</f>
        <v>11.83639083089858</v>
      </c>
      <c r="H267" s="540">
        <f>+$F$301*H266/2</f>
        <v>11.83639083089858</v>
      </c>
      <c r="I267" s="293"/>
      <c r="K267" s="294"/>
      <c r="L267" s="295"/>
    </row>
    <row r="268" spans="1:12" ht="13.5" customHeight="1" x14ac:dyDescent="0.2">
      <c r="H268" s="257"/>
      <c r="I268" s="293"/>
      <c r="K268" s="294"/>
      <c r="L268" s="295"/>
    </row>
    <row r="269" spans="1:12" ht="13.5" customHeight="1" thickBot="1" x14ac:dyDescent="0.25">
      <c r="E269" s="281" t="s">
        <v>242</v>
      </c>
    </row>
    <row r="270" spans="1:12" ht="13.5" customHeight="1" thickBot="1" x14ac:dyDescent="0.25">
      <c r="E270" s="771" t="s">
        <v>248</v>
      </c>
      <c r="F270" s="765" t="s">
        <v>249</v>
      </c>
      <c r="G270" s="282" t="s">
        <v>250</v>
      </c>
      <c r="H270" s="282" t="s">
        <v>251</v>
      </c>
      <c r="I270" s="283" t="s">
        <v>252</v>
      </c>
      <c r="K270" s="773" t="s">
        <v>285</v>
      </c>
      <c r="L270" s="774"/>
    </row>
    <row r="271" spans="1:12" ht="13.5" customHeight="1" thickBot="1" x14ac:dyDescent="0.25">
      <c r="A271" s="284" t="s">
        <v>291</v>
      </c>
      <c r="B271" s="451"/>
      <c r="E271" s="772"/>
      <c r="F271" s="766"/>
      <c r="G271" s="593" t="s">
        <v>286</v>
      </c>
      <c r="H271" s="593" t="s">
        <v>255</v>
      </c>
      <c r="I271" s="594" t="s">
        <v>287</v>
      </c>
      <c r="K271" s="284" t="s">
        <v>257</v>
      </c>
      <c r="L271" s="285">
        <f>(323.18+150)*12*$C$118</f>
        <v>1079.9868157349897</v>
      </c>
    </row>
    <row r="272" spans="1:12" ht="13.5" customHeight="1" thickBot="1" x14ac:dyDescent="0.25">
      <c r="A272" s="634" t="s">
        <v>292</v>
      </c>
      <c r="B272" s="676">
        <v>46000</v>
      </c>
      <c r="E272" s="317" t="s">
        <v>288</v>
      </c>
      <c r="F272" s="361">
        <f>+ROUND(10*$C$118,0)</f>
        <v>2</v>
      </c>
      <c r="G272" s="362">
        <v>2500</v>
      </c>
      <c r="H272" s="362">
        <f>8*(5*50-10)/4</f>
        <v>480</v>
      </c>
      <c r="I272" s="363">
        <f>+G272*H272*F272</f>
        <v>2400000</v>
      </c>
      <c r="K272" s="674" t="s">
        <v>262</v>
      </c>
      <c r="L272" s="675">
        <f>I274*2.071</f>
        <v>531.59358288770056</v>
      </c>
    </row>
    <row r="273" spans="1:15" ht="13.5" customHeight="1" thickBot="1" x14ac:dyDescent="0.25">
      <c r="A273" s="537" t="s">
        <v>293</v>
      </c>
      <c r="B273" s="595">
        <v>12703</v>
      </c>
      <c r="H273" s="355" t="s">
        <v>289</v>
      </c>
      <c r="I273" s="288">
        <f>SUM(I272:I272)</f>
        <v>2400000</v>
      </c>
      <c r="K273" s="364" t="s">
        <v>264</v>
      </c>
      <c r="L273" s="360">
        <f>SUM(L271:L272)</f>
        <v>1611.5803986226902</v>
      </c>
      <c r="M273" s="356"/>
      <c r="N273" s="469" t="s">
        <v>279</v>
      </c>
      <c r="O273" s="451" t="s">
        <v>280</v>
      </c>
    </row>
    <row r="274" spans="1:15" ht="13.5" customHeight="1" thickBot="1" x14ac:dyDescent="0.25">
      <c r="H274" s="355" t="s">
        <v>290</v>
      </c>
      <c r="I274" s="288">
        <f>+I273/9350</f>
        <v>256.68449197860963</v>
      </c>
      <c r="M274" s="645" t="s">
        <v>281</v>
      </c>
      <c r="N274" s="669">
        <f>1-O274</f>
        <v>0.76372285673276052</v>
      </c>
      <c r="O274" s="670">
        <f>F103</f>
        <v>0.23627714326723945</v>
      </c>
    </row>
    <row r="275" spans="1:15" ht="13.5" customHeight="1" x14ac:dyDescent="0.2">
      <c r="A275" s="284" t="s">
        <v>294</v>
      </c>
      <c r="B275" s="451"/>
      <c r="K275" s="289" t="s">
        <v>193</v>
      </c>
      <c r="L275" s="290">
        <f>+L273</f>
        <v>1611.5803986226902</v>
      </c>
      <c r="M275" s="671"/>
      <c r="N275" s="672">
        <f>L275*N274</f>
        <v>1230.8007858906419</v>
      </c>
      <c r="O275" s="661">
        <f>L275*O274</f>
        <v>380.77961273204824</v>
      </c>
    </row>
    <row r="276" spans="1:15" ht="13.5" customHeight="1" thickBot="1" x14ac:dyDescent="0.25">
      <c r="A276" s="537" t="s">
        <v>295</v>
      </c>
      <c r="B276" s="595">
        <v>4215</v>
      </c>
      <c r="E276" s="281" t="s">
        <v>280</v>
      </c>
      <c r="K276" s="584" t="s">
        <v>194</v>
      </c>
      <c r="L276" s="585">
        <f>+L271+L272*$K$158</f>
        <v>1566.2741273538522</v>
      </c>
      <c r="M276" s="588"/>
      <c r="N276" s="589">
        <f>L276*N274</f>
        <v>1196.1993509692957</v>
      </c>
      <c r="O276" s="590">
        <f>O274*L276</f>
        <v>370.07477638455657</v>
      </c>
    </row>
    <row r="277" spans="1:15" ht="13.5" customHeight="1" thickBot="1" x14ac:dyDescent="0.25">
      <c r="A277" s="352"/>
      <c r="B277" s="470"/>
      <c r="K277" s="467" t="s">
        <v>282</v>
      </c>
      <c r="L277" s="295"/>
    </row>
    <row r="278" spans="1:15" ht="13.5" customHeight="1" x14ac:dyDescent="0.2">
      <c r="A278" s="352"/>
      <c r="B278" s="470"/>
      <c r="E278" s="356" t="s">
        <v>296</v>
      </c>
      <c r="F278" s="451">
        <v>15000</v>
      </c>
      <c r="K278" s="294"/>
      <c r="L278" s="295"/>
    </row>
    <row r="279" spans="1:15" ht="13.5" customHeight="1" x14ac:dyDescent="0.2">
      <c r="A279" s="352"/>
      <c r="B279" s="470"/>
      <c r="E279" s="645" t="s">
        <v>297</v>
      </c>
      <c r="F279" s="639">
        <v>2</v>
      </c>
      <c r="K279" s="294"/>
      <c r="L279" s="295"/>
    </row>
    <row r="280" spans="1:15" ht="13.5" customHeight="1" thickBot="1" x14ac:dyDescent="0.25">
      <c r="A280" s="352"/>
      <c r="B280" s="470"/>
      <c r="E280" s="665" t="s">
        <v>298</v>
      </c>
      <c r="F280" s="677">
        <v>11.5</v>
      </c>
      <c r="K280" s="294"/>
      <c r="L280" s="295"/>
    </row>
    <row r="281" spans="1:15" ht="13.5" customHeight="1" thickBot="1" x14ac:dyDescent="0.25">
      <c r="A281" s="352"/>
      <c r="B281" s="470"/>
      <c r="E281" s="475" t="s">
        <v>299</v>
      </c>
      <c r="F281" s="476">
        <f>F278*F279/F280</f>
        <v>2608.695652173913</v>
      </c>
      <c r="K281" s="294"/>
      <c r="L281" s="295"/>
    </row>
    <row r="282" spans="1:15" ht="13.5" customHeight="1" thickBot="1" x14ac:dyDescent="0.25">
      <c r="A282" s="352"/>
      <c r="B282" s="470"/>
      <c r="E282" s="317" t="s">
        <v>300</v>
      </c>
      <c r="F282" s="474">
        <v>10.9</v>
      </c>
      <c r="K282" s="294"/>
      <c r="L282" s="295"/>
    </row>
    <row r="283" spans="1:15" ht="13.5" customHeight="1" thickBot="1" x14ac:dyDescent="0.25">
      <c r="A283" s="352"/>
      <c r="B283" s="470"/>
      <c r="E283" s="473" t="s">
        <v>193</v>
      </c>
      <c r="F283" s="471">
        <f>F281*F282</f>
        <v>28434.782608695652</v>
      </c>
      <c r="K283" s="294"/>
      <c r="L283" s="295"/>
    </row>
    <row r="284" spans="1:15" ht="13.5" customHeight="1" thickBot="1" x14ac:dyDescent="0.25">
      <c r="A284" s="352"/>
      <c r="B284" s="470"/>
      <c r="E284" s="472" t="s">
        <v>301</v>
      </c>
      <c r="F284" s="471">
        <f>1188515*F283/1305000</f>
        <v>25896.678660669666</v>
      </c>
      <c r="K284" s="294"/>
      <c r="L284" s="295"/>
    </row>
    <row r="285" spans="1:15" ht="13.5" customHeight="1" x14ac:dyDescent="0.2">
      <c r="A285" s="352"/>
      <c r="B285" s="470"/>
      <c r="E285" s="262" t="s">
        <v>302</v>
      </c>
      <c r="K285" s="294"/>
      <c r="L285" s="295"/>
    </row>
    <row r="286" spans="1:15" ht="13.5" customHeight="1" x14ac:dyDescent="0.2">
      <c r="A286" s="352"/>
      <c r="B286" s="470"/>
      <c r="K286" s="294"/>
      <c r="L286" s="295"/>
    </row>
    <row r="287" spans="1:15" ht="13.5" thickBot="1" x14ac:dyDescent="0.25">
      <c r="C287" s="272" t="s">
        <v>303</v>
      </c>
    </row>
    <row r="288" spans="1:15" ht="13.5" thickBot="1" x14ac:dyDescent="0.25">
      <c r="A288" s="356" t="s">
        <v>304</v>
      </c>
      <c r="B288" s="730">
        <v>1202870</v>
      </c>
    </row>
    <row r="289" spans="1:13" ht="13.5" thickBot="1" x14ac:dyDescent="0.25">
      <c r="A289" s="645" t="s">
        <v>305</v>
      </c>
      <c r="B289" s="731">
        <v>353177</v>
      </c>
      <c r="E289" s="296" t="s">
        <v>306</v>
      </c>
      <c r="F289" s="297" t="s">
        <v>307</v>
      </c>
      <c r="G289" s="298" t="s">
        <v>308</v>
      </c>
      <c r="H289" s="299" t="s">
        <v>309</v>
      </c>
      <c r="I289" s="296" t="s">
        <v>159</v>
      </c>
      <c r="J289" s="297" t="s">
        <v>310</v>
      </c>
      <c r="K289" s="300" t="s">
        <v>171</v>
      </c>
      <c r="L289" s="256" t="s">
        <v>311</v>
      </c>
    </row>
    <row r="290" spans="1:13" x14ac:dyDescent="0.2">
      <c r="A290" s="645" t="s">
        <v>312</v>
      </c>
      <c r="B290" s="731">
        <v>1305000</v>
      </c>
      <c r="E290" s="301">
        <v>1</v>
      </c>
      <c r="F290" s="302" t="s">
        <v>175</v>
      </c>
      <c r="G290" s="303">
        <v>70793.867786349001</v>
      </c>
      <c r="H290" s="304" t="s">
        <v>313</v>
      </c>
      <c r="I290" s="305">
        <f>+G290/$H$297</f>
        <v>0.16719343329616607</v>
      </c>
      <c r="J290" s="306">
        <f>+I290*$J$297</f>
        <v>124.39191437234756</v>
      </c>
      <c r="K290" s="307">
        <f t="shared" ref="K290:K296" si="11">+I128</f>
        <v>45.294117647058826</v>
      </c>
      <c r="L290" s="308">
        <f>+J290*K290</f>
        <v>5634.2220039239783</v>
      </c>
    </row>
    <row r="291" spans="1:13" x14ac:dyDescent="0.2">
      <c r="A291" s="645" t="s">
        <v>314</v>
      </c>
      <c r="B291" s="731">
        <v>383164</v>
      </c>
      <c r="E291" s="596">
        <v>2</v>
      </c>
      <c r="F291" s="597" t="s">
        <v>177</v>
      </c>
      <c r="G291" s="678">
        <v>39731.252329073417</v>
      </c>
      <c r="H291" s="598" t="s">
        <v>313</v>
      </c>
      <c r="I291" s="599">
        <f t="shared" ref="I291:I296" si="12">+G291/$H$297</f>
        <v>9.3833049298868709E-2</v>
      </c>
      <c r="J291" s="600">
        <f t="shared" ref="J291:J296" si="13">+I291*$J$297</f>
        <v>69.811788678358326</v>
      </c>
      <c r="K291" s="601">
        <f t="shared" si="11"/>
        <v>142.4</v>
      </c>
      <c r="L291" s="602">
        <f t="shared" ref="L291:L296" si="14">+J291*K291</f>
        <v>9941.1987077982267</v>
      </c>
    </row>
    <row r="292" spans="1:13" x14ac:dyDescent="0.2">
      <c r="A292" s="634" t="s">
        <v>315</v>
      </c>
      <c r="B292" s="731">
        <v>348962</v>
      </c>
      <c r="E292" s="596">
        <v>3</v>
      </c>
      <c r="F292" s="597" t="s">
        <v>178</v>
      </c>
      <c r="G292" s="678">
        <v>147471.54943271764</v>
      </c>
      <c r="H292" s="598" t="s">
        <v>313</v>
      </c>
      <c r="I292" s="599">
        <f t="shared" si="12"/>
        <v>0.34828263286266925</v>
      </c>
      <c r="J292" s="600">
        <f t="shared" si="13"/>
        <v>259.12227884982593</v>
      </c>
      <c r="K292" s="601">
        <f t="shared" si="11"/>
        <v>77.2</v>
      </c>
      <c r="L292" s="602">
        <f t="shared" si="14"/>
        <v>20004.239927206563</v>
      </c>
    </row>
    <row r="293" spans="1:13" x14ac:dyDescent="0.2">
      <c r="A293" s="634" t="s">
        <v>316</v>
      </c>
      <c r="B293" s="731">
        <v>395933</v>
      </c>
      <c r="E293" s="596">
        <v>4</v>
      </c>
      <c r="F293" s="597" t="s">
        <v>179</v>
      </c>
      <c r="G293" s="678">
        <v>72998.416969195227</v>
      </c>
      <c r="H293" s="598" t="s">
        <v>180</v>
      </c>
      <c r="I293" s="599">
        <f t="shared" si="12"/>
        <v>0.17239990326702126</v>
      </c>
      <c r="J293" s="600">
        <f t="shared" si="13"/>
        <v>128.26552803066383</v>
      </c>
      <c r="K293" s="601">
        <f t="shared" si="11"/>
        <v>110</v>
      </c>
      <c r="L293" s="602">
        <f t="shared" si="14"/>
        <v>14109.208083373022</v>
      </c>
    </row>
    <row r="294" spans="1:13" x14ac:dyDescent="0.2">
      <c r="A294" s="634" t="s">
        <v>317</v>
      </c>
      <c r="B294" s="732">
        <f>B293/B292</f>
        <v>1.1346020483605666</v>
      </c>
      <c r="E294" s="596">
        <v>5</v>
      </c>
      <c r="F294" s="597" t="s">
        <v>181</v>
      </c>
      <c r="G294" s="678">
        <v>28609.480589947219</v>
      </c>
      <c r="H294" s="598" t="s">
        <v>313</v>
      </c>
      <c r="I294" s="599">
        <f t="shared" si="12"/>
        <v>6.7566830775357828E-2</v>
      </c>
      <c r="J294" s="600">
        <f t="shared" si="13"/>
        <v>50.269722096866225</v>
      </c>
      <c r="K294" s="601">
        <f t="shared" si="11"/>
        <v>111.074</v>
      </c>
      <c r="L294" s="602">
        <f t="shared" si="14"/>
        <v>5583.6591121873189</v>
      </c>
    </row>
    <row r="295" spans="1:13" x14ac:dyDescent="0.2">
      <c r="A295" s="634" t="s">
        <v>318</v>
      </c>
      <c r="B295" s="731">
        <v>383164</v>
      </c>
      <c r="E295" s="596">
        <v>6</v>
      </c>
      <c r="F295" s="597" t="s">
        <v>182</v>
      </c>
      <c r="G295" s="678">
        <v>2860.948058994722</v>
      </c>
      <c r="H295" s="598" t="s">
        <v>180</v>
      </c>
      <c r="I295" s="599">
        <f t="shared" si="12"/>
        <v>6.7566830775357828E-3</v>
      </c>
      <c r="J295" s="600">
        <f t="shared" si="13"/>
        <v>5.0269722096866225</v>
      </c>
      <c r="K295" s="601">
        <f t="shared" si="11"/>
        <v>25.71</v>
      </c>
      <c r="L295" s="602">
        <f t="shared" si="14"/>
        <v>129.24345551104307</v>
      </c>
    </row>
    <row r="296" spans="1:13" ht="13.5" thickBot="1" x14ac:dyDescent="0.25">
      <c r="A296" s="634" t="s">
        <v>319</v>
      </c>
      <c r="B296" s="731">
        <v>423425</v>
      </c>
      <c r="E296" s="603">
        <v>7</v>
      </c>
      <c r="F296" s="604" t="s">
        <v>183</v>
      </c>
      <c r="G296" s="605">
        <v>65909.090909090912</v>
      </c>
      <c r="H296" s="606" t="s">
        <v>313</v>
      </c>
      <c r="I296" s="607">
        <f t="shared" si="12"/>
        <v>0.1556570863987306</v>
      </c>
      <c r="J296" s="608">
        <f t="shared" si="13"/>
        <v>115.80887228065556</v>
      </c>
      <c r="K296" s="601">
        <f t="shared" si="11"/>
        <v>45.294117647058826</v>
      </c>
      <c r="L296" s="602">
        <f t="shared" si="14"/>
        <v>5245.4606856532228</v>
      </c>
    </row>
    <row r="297" spans="1:13" ht="13.5" thickBot="1" x14ac:dyDescent="0.25">
      <c r="A297" s="537" t="s">
        <v>320</v>
      </c>
      <c r="B297" s="733">
        <f>B296/B295</f>
        <v>1.1050751114405319</v>
      </c>
      <c r="E297" s="309"/>
      <c r="G297" s="298" t="s">
        <v>321</v>
      </c>
      <c r="H297" s="310">
        <v>423424.92997882818</v>
      </c>
      <c r="I297" s="706" t="s">
        <v>322</v>
      </c>
      <c r="J297" s="311">
        <v>744</v>
      </c>
      <c r="K297" s="259" t="s">
        <v>185</v>
      </c>
      <c r="L297" s="312">
        <f>SUM(L290:L296)</f>
        <v>60647.231975653383</v>
      </c>
      <c r="M297" s="374"/>
    </row>
    <row r="298" spans="1:13" ht="15" customHeight="1" thickBot="1" x14ac:dyDescent="0.25"/>
    <row r="299" spans="1:13" ht="15" customHeight="1" thickBot="1" x14ac:dyDescent="0.25">
      <c r="E299" s="313" t="s">
        <v>323</v>
      </c>
      <c r="F299" s="314">
        <v>0.10507590928332866</v>
      </c>
      <c r="I299" s="315" t="s">
        <v>324</v>
      </c>
      <c r="J299" s="679" t="s">
        <v>187</v>
      </c>
      <c r="K299" s="680">
        <f>+J153/B295</f>
        <v>7.3109846227724944</v>
      </c>
      <c r="L299" s="262" t="s">
        <v>325</v>
      </c>
    </row>
    <row r="300" spans="1:13" ht="15" customHeight="1" thickBot="1" x14ac:dyDescent="0.25"/>
    <row r="301" spans="1:13" ht="15" customHeight="1" thickBot="1" x14ac:dyDescent="0.25">
      <c r="E301" s="313" t="s">
        <v>326</v>
      </c>
      <c r="F301" s="311">
        <f>+J297/(1+F299)</f>
        <v>673.25691723974319</v>
      </c>
      <c r="G301" s="396"/>
      <c r="J301" s="273" t="s">
        <v>327</v>
      </c>
      <c r="K301" s="316">
        <f>+K299*F301/2</f>
        <v>2461.0854845574881</v>
      </c>
    </row>
    <row r="302" spans="1:13" ht="15" customHeight="1" thickBot="1" x14ac:dyDescent="0.25">
      <c r="E302" s="313" t="s">
        <v>328</v>
      </c>
      <c r="F302" s="311">
        <f>+F301*F299</f>
        <v>70.743082760256769</v>
      </c>
    </row>
    <row r="304" spans="1:13" ht="13.5" thickBot="1" x14ac:dyDescent="0.25">
      <c r="D304" s="270"/>
    </row>
    <row r="305" spans="3:8" x14ac:dyDescent="0.2">
      <c r="E305" s="370"/>
      <c r="F305" s="371" t="s">
        <v>194</v>
      </c>
      <c r="G305" s="371" t="s">
        <v>214</v>
      </c>
      <c r="H305" s="372" t="s">
        <v>215</v>
      </c>
    </row>
    <row r="306" spans="3:8" x14ac:dyDescent="0.2">
      <c r="D306" s="322"/>
      <c r="E306" s="681" t="s">
        <v>329</v>
      </c>
      <c r="F306" s="682">
        <f>SUMPRODUCT('E-Inv AF y Am'!D43:D50,'E-Inv AF y Am'!$H$43:$H$50)+'E-Inv AF y Am'!D53*'E-Inv AF y Am'!$H$53</f>
        <v>640428.71428660688</v>
      </c>
      <c r="G306" s="682">
        <f>SUMPRODUCT('E-Inv AF y Am'!D43:D50,'E-Inv AF y Am'!$H$43:$H$50)+'E-Inv AF y Am'!D53*'E-Inv AF y Am'!$H$53</f>
        <v>640428.71428660688</v>
      </c>
      <c r="H306" s="683">
        <f>SUMPRODUCT('E-Inv AF y Am'!E43:E50,'E-Inv AF y Am'!$H$43:$H$50)+'E-Inv AF y Am'!E53*'E-Inv AF y Am'!$H$53</f>
        <v>584072.3809532735</v>
      </c>
    </row>
    <row r="307" spans="3:8" x14ac:dyDescent="0.2">
      <c r="D307" s="322"/>
      <c r="E307" s="681" t="s">
        <v>330</v>
      </c>
      <c r="F307" s="684">
        <f>F306/B292</f>
        <v>1.8352391214132395</v>
      </c>
      <c r="G307" s="684">
        <f>G306/$B$295</f>
        <v>1.671421934958939</v>
      </c>
      <c r="H307" s="685">
        <f>H306/$B$295</f>
        <v>1.5243404415688151</v>
      </c>
    </row>
    <row r="308" spans="3:8" ht="13.5" thickBot="1" x14ac:dyDescent="0.25">
      <c r="D308" s="322"/>
      <c r="E308" s="565" t="s">
        <v>331</v>
      </c>
      <c r="F308" s="566">
        <f>F307*$F$301/2</f>
        <v>617.79371664022619</v>
      </c>
      <c r="G308" s="566">
        <f>G307*$F$301/2</f>
        <v>562.64818966867085</v>
      </c>
      <c r="H308" s="540">
        <f>H307*$F$301/2</f>
        <v>513.13637325724471</v>
      </c>
    </row>
    <row r="310" spans="3:8" x14ac:dyDescent="0.2">
      <c r="C310" s="272" t="s">
        <v>332</v>
      </c>
    </row>
    <row r="311" spans="3:8" x14ac:dyDescent="0.2">
      <c r="E311" s="654" t="s">
        <v>333</v>
      </c>
      <c r="F311" s="682">
        <f>+J136/B292</f>
        <v>100.53286048610086</v>
      </c>
      <c r="G311" s="366"/>
      <c r="H311" s="366"/>
    </row>
    <row r="312" spans="3:8" x14ac:dyDescent="0.2">
      <c r="E312" s="654" t="s">
        <v>334</v>
      </c>
      <c r="F312" s="684">
        <f>+J149/B295</f>
        <v>98.127329498528468</v>
      </c>
    </row>
    <row r="313" spans="3:8" x14ac:dyDescent="0.2">
      <c r="E313" s="654" t="s">
        <v>335</v>
      </c>
      <c r="F313" s="686">
        <f>45402.89-40501.52</f>
        <v>4901.3700000000026</v>
      </c>
      <c r="G313" s="262" t="s">
        <v>336</v>
      </c>
    </row>
    <row r="314" spans="3:8" x14ac:dyDescent="0.2">
      <c r="E314" s="654" t="s">
        <v>337</v>
      </c>
      <c r="F314" s="684">
        <f>J154/B292</f>
        <v>7.3433738687880057</v>
      </c>
    </row>
    <row r="315" spans="3:8" x14ac:dyDescent="0.2">
      <c r="E315" s="654" t="s">
        <v>338</v>
      </c>
      <c r="F315" s="684">
        <f>F314*F313</f>
        <v>35992.592379261485</v>
      </c>
    </row>
    <row r="316" spans="3:8" x14ac:dyDescent="0.2">
      <c r="E316" s="654" t="s">
        <v>339</v>
      </c>
      <c r="F316" s="684">
        <f>J200/B292</f>
        <v>1.0053286048610084</v>
      </c>
    </row>
    <row r="317" spans="3:8" x14ac:dyDescent="0.2">
      <c r="E317" s="654" t="s">
        <v>340</v>
      </c>
      <c r="F317" s="684">
        <f>F316*F313</f>
        <v>4927.4874640076032</v>
      </c>
    </row>
    <row r="318" spans="3:8" x14ac:dyDescent="0.2">
      <c r="E318" s="654" t="s">
        <v>341</v>
      </c>
      <c r="F318" s="684">
        <f>L250/B292</f>
        <v>0.12410093576687646</v>
      </c>
    </row>
    <row r="319" spans="3:8" x14ac:dyDescent="0.2">
      <c r="E319" s="654" t="s">
        <v>342</v>
      </c>
      <c r="F319" s="657">
        <f>+F318*F313</f>
        <v>608.2646035396956</v>
      </c>
    </row>
    <row r="320" spans="3:8" x14ac:dyDescent="0.2">
      <c r="E320" s="654" t="s">
        <v>343</v>
      </c>
      <c r="F320" s="684">
        <f>L264/B292</f>
        <v>3.3149198234642678E-2</v>
      </c>
    </row>
    <row r="321" spans="3:8" x14ac:dyDescent="0.2">
      <c r="E321" s="654" t="s">
        <v>344</v>
      </c>
      <c r="F321" s="657">
        <f>F313*F320</f>
        <v>162.47648575133067</v>
      </c>
    </row>
    <row r="322" spans="3:8" x14ac:dyDescent="0.2">
      <c r="E322" s="6"/>
      <c r="F322" s="376"/>
    </row>
    <row r="323" spans="3:8" x14ac:dyDescent="0.2">
      <c r="C323" s="272" t="s">
        <v>345</v>
      </c>
    </row>
    <row r="324" spans="3:8" x14ac:dyDescent="0.2">
      <c r="E324" s="281" t="s">
        <v>229</v>
      </c>
      <c r="F324" s="6"/>
    </row>
    <row r="325" spans="3:8" x14ac:dyDescent="0.2">
      <c r="E325" s="6" t="s">
        <v>346</v>
      </c>
      <c r="F325" s="376">
        <f>(Apertura!$C$4)*0.008*$C$117</f>
        <v>43706.63630089716</v>
      </c>
    </row>
    <row r="326" spans="3:8" ht="13.5" thickBot="1" x14ac:dyDescent="0.25">
      <c r="E326" s="6" t="s">
        <v>347</v>
      </c>
      <c r="F326" s="376">
        <f>Apertura!$C$4*0.01*$C$117</f>
        <v>54633.295376121452</v>
      </c>
    </row>
    <row r="327" spans="3:8" ht="13.5" thickBot="1" x14ac:dyDescent="0.25">
      <c r="E327" s="377" t="s">
        <v>185</v>
      </c>
      <c r="F327" s="378">
        <f>+SUM(F325:F326)</f>
        <v>98339.931677018612</v>
      </c>
    </row>
    <row r="328" spans="3:8" ht="13.5" thickBot="1" x14ac:dyDescent="0.25">
      <c r="E328" s="6"/>
      <c r="F328" s="376"/>
    </row>
    <row r="329" spans="3:8" ht="13.5" thickBot="1" x14ac:dyDescent="0.25">
      <c r="E329" s="386" t="s">
        <v>213</v>
      </c>
      <c r="F329" s="387" t="s">
        <v>194</v>
      </c>
      <c r="G329" s="387" t="s">
        <v>214</v>
      </c>
      <c r="H329" s="388" t="s">
        <v>215</v>
      </c>
    </row>
    <row r="330" spans="3:8" x14ac:dyDescent="0.2">
      <c r="E330" s="383" t="s">
        <v>240</v>
      </c>
      <c r="F330" s="384">
        <f>+F327/$B$292</f>
        <v>0.28180699238604379</v>
      </c>
      <c r="G330" s="384">
        <f>+F327/$B$292</f>
        <v>0.28180699238604379</v>
      </c>
      <c r="H330" s="385">
        <f>+F327/$B$292</f>
        <v>0.28180699238604379</v>
      </c>
    </row>
    <row r="331" spans="3:8" ht="13.5" thickBot="1" x14ac:dyDescent="0.25">
      <c r="E331" s="565" t="s">
        <v>241</v>
      </c>
      <c r="F331" s="566">
        <f>+$F$301*F330/2</f>
        <v>94.864253475215804</v>
      </c>
      <c r="G331" s="566">
        <f>+$F$301*G330/2</f>
        <v>94.864253475215804</v>
      </c>
      <c r="H331" s="540">
        <f>+$F$301*H330/2</f>
        <v>94.864253475215804</v>
      </c>
    </row>
    <row r="332" spans="3:8" ht="13.5" thickBot="1" x14ac:dyDescent="0.25">
      <c r="E332" s="6"/>
      <c r="F332" s="376"/>
    </row>
    <row r="333" spans="3:8" ht="13.5" thickBot="1" x14ac:dyDescent="0.25">
      <c r="E333" s="281" t="s">
        <v>242</v>
      </c>
      <c r="F333" s="460" t="s">
        <v>194</v>
      </c>
      <c r="G333" s="461" t="s">
        <v>193</v>
      </c>
    </row>
    <row r="334" spans="3:8" x14ac:dyDescent="0.2">
      <c r="E334" s="466" t="s">
        <v>346</v>
      </c>
      <c r="F334" s="464">
        <f>(Apertura!$C$4)*0.008*$C$118</f>
        <v>11711.763699102828</v>
      </c>
      <c r="G334" s="459">
        <f>(Apertura!$C$4)*0.008*$C$118</f>
        <v>11711.763699102828</v>
      </c>
    </row>
    <row r="335" spans="3:8" x14ac:dyDescent="0.2">
      <c r="E335" s="609" t="s">
        <v>347</v>
      </c>
      <c r="F335" s="610">
        <f>Apertura!$C$4*0.01*$C$118</f>
        <v>14639.704623878535</v>
      </c>
      <c r="G335" s="628">
        <f>Apertura!$C$4*0.01*$C$118</f>
        <v>14639.704623878535</v>
      </c>
    </row>
    <row r="336" spans="3:8" x14ac:dyDescent="0.2">
      <c r="E336" s="609" t="s">
        <v>348</v>
      </c>
      <c r="F336" s="610">
        <f>+'E-Costos'!$B$88*0.0004</f>
        <v>23770.300000000003</v>
      </c>
      <c r="G336" s="628">
        <f>+'E-Costos'!$C$88*0.0004</f>
        <v>26100</v>
      </c>
    </row>
    <row r="337" spans="3:7" ht="13.5" thickBot="1" x14ac:dyDescent="0.25">
      <c r="E337" s="611" t="s">
        <v>349</v>
      </c>
      <c r="F337" s="612">
        <f>+'E-Costos'!$B$88*0.012</f>
        <v>713109</v>
      </c>
      <c r="G337" s="613">
        <f>+'E-Costos'!$D$88*0.012</f>
        <v>783000</v>
      </c>
    </row>
    <row r="338" spans="3:7" ht="13.5" thickBot="1" x14ac:dyDescent="0.25">
      <c r="E338" s="465" t="s">
        <v>185</v>
      </c>
      <c r="F338" s="458">
        <f>+SUM(F334:F337)</f>
        <v>763230.76832298143</v>
      </c>
      <c r="G338" s="458">
        <f>+SUM(G334:G337)</f>
        <v>835451.46832298138</v>
      </c>
    </row>
    <row r="339" spans="3:7" x14ac:dyDescent="0.2">
      <c r="E339" s="6"/>
      <c r="F339" s="376"/>
    </row>
    <row r="340" spans="3:7" x14ac:dyDescent="0.2">
      <c r="E340" s="281" t="s">
        <v>246</v>
      </c>
    </row>
    <row r="341" spans="3:7" x14ac:dyDescent="0.2">
      <c r="E341" s="6" t="s">
        <v>350</v>
      </c>
      <c r="F341" s="376">
        <f>+$D$22*0.015</f>
        <v>21000</v>
      </c>
    </row>
    <row r="342" spans="3:7" x14ac:dyDescent="0.2">
      <c r="E342" s="738" t="s">
        <v>700</v>
      </c>
      <c r="F342" s="376">
        <f>'E-Costos'!B88*0.03</f>
        <v>1782772.5</v>
      </c>
    </row>
    <row r="343" spans="3:7" x14ac:dyDescent="0.2">
      <c r="E343" s="738" t="s">
        <v>701</v>
      </c>
      <c r="F343" s="376">
        <f>'E-Costos'!C88*0.03</f>
        <v>1957500</v>
      </c>
    </row>
    <row r="345" spans="3:7" x14ac:dyDescent="0.2">
      <c r="C345" s="272" t="s">
        <v>351</v>
      </c>
      <c r="E345" s="654" t="s">
        <v>352</v>
      </c>
      <c r="F345" s="687">
        <v>50000</v>
      </c>
    </row>
    <row r="346" spans="3:7" x14ac:dyDescent="0.2">
      <c r="E346" s="654" t="s">
        <v>353</v>
      </c>
      <c r="F346" s="687">
        <f>8000*12</f>
        <v>96000</v>
      </c>
    </row>
    <row r="347" spans="3:7" ht="13.5" thickBot="1" x14ac:dyDescent="0.25">
      <c r="E347" s="667" t="s">
        <v>354</v>
      </c>
      <c r="F347" s="688">
        <f>50*300</f>
        <v>15000</v>
      </c>
    </row>
    <row r="348" spans="3:7" ht="13.5" thickBot="1" x14ac:dyDescent="0.25">
      <c r="E348" s="706" t="s">
        <v>185</v>
      </c>
      <c r="F348" s="453">
        <f>SUM(F345:F347)</f>
        <v>161000</v>
      </c>
    </row>
  </sheetData>
  <mergeCells count="29">
    <mergeCell ref="E155:I155"/>
    <mergeCell ref="E258:E259"/>
    <mergeCell ref="F258:F259"/>
    <mergeCell ref="K258:L258"/>
    <mergeCell ref="E270:E271"/>
    <mergeCell ref="F270:F271"/>
    <mergeCell ref="K270:L270"/>
    <mergeCell ref="E168:I168"/>
    <mergeCell ref="K246:L246"/>
    <mergeCell ref="E253:F253"/>
    <mergeCell ref="G254:H254"/>
    <mergeCell ref="K230:L230"/>
    <mergeCell ref="G196:I196"/>
    <mergeCell ref="J196:L196"/>
    <mergeCell ref="H202:I202"/>
    <mergeCell ref="E230:E231"/>
    <mergeCell ref="F230:F231"/>
    <mergeCell ref="E238:F238"/>
    <mergeCell ref="G239:H239"/>
    <mergeCell ref="E246:E247"/>
    <mergeCell ref="F246:F247"/>
    <mergeCell ref="G221:I221"/>
    <mergeCell ref="J221:L221"/>
    <mergeCell ref="H226:I226"/>
    <mergeCell ref="E182:I182"/>
    <mergeCell ref="E192:I192"/>
    <mergeCell ref="G212:I212"/>
    <mergeCell ref="J212:L212"/>
    <mergeCell ref="H217:I217"/>
  </mergeCells>
  <hyperlinks>
    <hyperlink ref="D4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6"/>
  <sheetViews>
    <sheetView zoomScaleNormal="100" workbookViewId="0">
      <selection activeCell="F21" sqref="F21"/>
    </sheetView>
  </sheetViews>
  <sheetFormatPr baseColWidth="10" defaultColWidth="11.42578125" defaultRowHeight="12.75" x14ac:dyDescent="0.2"/>
  <cols>
    <col min="1" max="1" width="45.42578125" style="6" customWidth="1"/>
    <col min="2" max="6" width="14.85546875" style="6" customWidth="1"/>
    <col min="7" max="7" width="11.42578125" style="6"/>
    <col min="8" max="8" width="11.7109375" style="6" customWidth="1"/>
    <col min="9" max="9" width="14.42578125" style="6" customWidth="1"/>
    <col min="10" max="10" width="9.85546875" style="6" customWidth="1"/>
    <col min="11" max="16384" width="11.42578125" style="6"/>
  </cols>
  <sheetData>
    <row r="1" spans="1:5" x14ac:dyDescent="0.2">
      <c r="A1" s="1" t="s">
        <v>355</v>
      </c>
      <c r="B1"/>
      <c r="C1"/>
      <c r="D1"/>
      <c r="E1" s="526">
        <f>InfoInicial!E1</f>
        <v>3</v>
      </c>
    </row>
    <row r="3" spans="1:5" ht="16.5" thickTop="1" x14ac:dyDescent="0.25">
      <c r="A3" s="7" t="s">
        <v>356</v>
      </c>
      <c r="B3" s="778" t="s">
        <v>357</v>
      </c>
      <c r="C3" s="778"/>
      <c r="D3" s="779" t="s">
        <v>358</v>
      </c>
      <c r="E3" s="779"/>
    </row>
    <row r="4" spans="1:5" ht="16.5" thickBot="1" x14ac:dyDescent="0.3">
      <c r="A4" s="8"/>
      <c r="B4" s="9" t="s">
        <v>359</v>
      </c>
      <c r="C4" s="9" t="s">
        <v>194</v>
      </c>
      <c r="D4" s="9" t="s">
        <v>359</v>
      </c>
      <c r="E4" s="10" t="s">
        <v>194</v>
      </c>
    </row>
    <row r="5" spans="1:5" ht="13.5" thickTop="1" x14ac:dyDescent="0.2">
      <c r="A5" s="11"/>
      <c r="B5" s="12"/>
      <c r="C5" s="12"/>
      <c r="D5" s="12"/>
      <c r="E5" s="29"/>
    </row>
    <row r="6" spans="1:5" x14ac:dyDescent="0.2">
      <c r="A6" s="13" t="s">
        <v>360</v>
      </c>
      <c r="B6" s="14"/>
      <c r="C6" s="14"/>
      <c r="D6" s="14"/>
      <c r="E6" s="235"/>
    </row>
    <row r="7" spans="1:5" x14ac:dyDescent="0.2">
      <c r="A7" s="15" t="s">
        <v>361</v>
      </c>
      <c r="B7" s="215">
        <f>Apertura!C4*0.2</f>
        <v>1539400</v>
      </c>
      <c r="C7" s="215"/>
      <c r="D7" s="215"/>
      <c r="E7" s="220"/>
    </row>
    <row r="8" spans="1:5" x14ac:dyDescent="0.2">
      <c r="A8" s="15" t="s">
        <v>362</v>
      </c>
      <c r="B8" s="215">
        <f>Apertura!C4*0.8</f>
        <v>6157600</v>
      </c>
      <c r="C8" s="215"/>
      <c r="D8" s="215"/>
      <c r="E8" s="220"/>
    </row>
    <row r="9" spans="1:5" x14ac:dyDescent="0.2">
      <c r="A9" s="15" t="s">
        <v>72</v>
      </c>
      <c r="B9" s="215">
        <f>+Apertura!D54</f>
        <v>753380</v>
      </c>
      <c r="C9" s="215"/>
      <c r="D9" s="215"/>
      <c r="E9" s="220"/>
    </row>
    <row r="10" spans="1:5" x14ac:dyDescent="0.2">
      <c r="A10" s="15" t="s">
        <v>363</v>
      </c>
      <c r="B10" s="215"/>
      <c r="C10" s="215"/>
      <c r="D10" s="215"/>
      <c r="E10" s="220"/>
    </row>
    <row r="11" spans="1:5" x14ac:dyDescent="0.2">
      <c r="A11" s="15" t="s">
        <v>364</v>
      </c>
      <c r="B11" s="215"/>
      <c r="C11" s="215"/>
      <c r="D11" s="215">
        <f>+Apertura!D7</f>
        <v>1468894</v>
      </c>
      <c r="E11" s="220"/>
    </row>
    <row r="12" spans="1:5" x14ac:dyDescent="0.2">
      <c r="A12" s="15" t="s">
        <v>365</v>
      </c>
      <c r="B12" s="215">
        <f>+Apertura!D16-'E-Inv AF y Am'!D11</f>
        <v>644200</v>
      </c>
      <c r="C12" s="215"/>
      <c r="D12" s="215"/>
      <c r="E12" s="220"/>
    </row>
    <row r="13" spans="1:5" x14ac:dyDescent="0.2">
      <c r="A13" s="17" t="s">
        <v>366</v>
      </c>
      <c r="B13" s="215">
        <f>+D11*0.11</f>
        <v>161578.34</v>
      </c>
      <c r="C13" s="215"/>
      <c r="D13" s="215"/>
      <c r="E13" s="220"/>
    </row>
    <row r="14" spans="1:5" x14ac:dyDescent="0.2">
      <c r="A14" s="15" t="s">
        <v>367</v>
      </c>
      <c r="B14" s="215">
        <f>3*5000</f>
        <v>15000</v>
      </c>
      <c r="C14" s="215"/>
      <c r="D14" s="215">
        <f>3*4500</f>
        <v>13500</v>
      </c>
      <c r="E14" s="220"/>
    </row>
    <row r="15" spans="1:5" x14ac:dyDescent="0.2">
      <c r="A15" s="15" t="s">
        <v>368</v>
      </c>
      <c r="B15" s="215">
        <f>Apertura!D24</f>
        <v>1476146</v>
      </c>
      <c r="C15" s="215"/>
      <c r="D15" s="215"/>
      <c r="E15" s="220"/>
    </row>
    <row r="16" spans="1:5" x14ac:dyDescent="0.2">
      <c r="A16" s="15" t="s">
        <v>100</v>
      </c>
      <c r="B16" s="215">
        <f>Apertura!D102</f>
        <v>474066</v>
      </c>
      <c r="C16" s="215"/>
      <c r="D16" s="215"/>
      <c r="E16" s="220"/>
    </row>
    <row r="17" spans="1:9" x14ac:dyDescent="0.2">
      <c r="A17" s="15" t="s">
        <v>369</v>
      </c>
      <c r="B17" s="215">
        <v>0</v>
      </c>
      <c r="C17" s="215"/>
      <c r="D17" s="215"/>
      <c r="E17" s="220"/>
    </row>
    <row r="18" spans="1:9" x14ac:dyDescent="0.2">
      <c r="A18" s="15" t="s">
        <v>15</v>
      </c>
      <c r="B18" s="215">
        <f>+SUM(B7:B17)*InfoInicial!B15</f>
        <v>336641.1102</v>
      </c>
      <c r="C18" s="215"/>
      <c r="D18" s="215">
        <f>+SUM(D7:D17)*InfoInicial!B15</f>
        <v>44471.82</v>
      </c>
      <c r="E18" s="220"/>
    </row>
    <row r="19" spans="1:9" x14ac:dyDescent="0.2">
      <c r="A19" s="209"/>
      <c r="B19" s="216"/>
      <c r="C19" s="216"/>
      <c r="D19" s="216"/>
      <c r="E19" s="221"/>
    </row>
    <row r="20" spans="1:9" x14ac:dyDescent="0.2">
      <c r="A20" s="614" t="s">
        <v>370</v>
      </c>
      <c r="B20" s="615">
        <f>+SUM(B7:B19)</f>
        <v>11558011.450199999</v>
      </c>
      <c r="C20" s="615">
        <v>0</v>
      </c>
      <c r="D20" s="615">
        <f>+SUM(D7:D19)</f>
        <v>1526865.82</v>
      </c>
      <c r="E20" s="616">
        <v>0</v>
      </c>
    </row>
    <row r="21" spans="1:9" x14ac:dyDescent="0.2">
      <c r="A21" s="210"/>
      <c r="B21" s="217"/>
      <c r="C21" s="217"/>
      <c r="D21" s="217"/>
      <c r="E21" s="236"/>
    </row>
    <row r="22" spans="1:9" x14ac:dyDescent="0.2">
      <c r="A22" s="13" t="s">
        <v>371</v>
      </c>
      <c r="B22" s="218"/>
      <c r="C22" s="218"/>
      <c r="D22" s="218"/>
      <c r="E22" s="237"/>
      <c r="I22" s="367">
        <f>+SUM(B7:B17)</f>
        <v>11221370.34</v>
      </c>
    </row>
    <row r="23" spans="1:9" x14ac:dyDescent="0.2">
      <c r="A23" s="15" t="s">
        <v>372</v>
      </c>
      <c r="B23" s="215">
        <v>50000</v>
      </c>
      <c r="C23" s="215"/>
      <c r="D23" s="215"/>
      <c r="E23" s="220"/>
      <c r="I23" s="367">
        <f>+SUM(B23:C29)</f>
        <v>293550</v>
      </c>
    </row>
    <row r="24" spans="1:9" x14ac:dyDescent="0.2">
      <c r="A24" s="15" t="s">
        <v>373</v>
      </c>
      <c r="B24" s="215">
        <v>75000</v>
      </c>
      <c r="C24" s="215"/>
      <c r="D24" s="215"/>
      <c r="E24" s="220"/>
    </row>
    <row r="25" spans="1:9" x14ac:dyDescent="0.2">
      <c r="A25" s="15" t="s">
        <v>374</v>
      </c>
      <c r="B25" s="215">
        <v>120000</v>
      </c>
      <c r="C25" s="215"/>
      <c r="D25" s="215"/>
      <c r="E25" s="220"/>
    </row>
    <row r="26" spans="1:9" x14ac:dyDescent="0.2">
      <c r="A26" s="17" t="s">
        <v>375</v>
      </c>
      <c r="B26" s="215"/>
      <c r="C26" s="215">
        <v>40000</v>
      </c>
      <c r="D26" s="215"/>
      <c r="E26" s="220"/>
    </row>
    <row r="27" spans="1:9" x14ac:dyDescent="0.2">
      <c r="A27" s="17" t="s">
        <v>376</v>
      </c>
      <c r="B27" s="215">
        <v>0</v>
      </c>
      <c r="C27" s="215"/>
      <c r="D27" s="215"/>
      <c r="E27" s="220"/>
      <c r="I27" s="367">
        <f>+SUM(B43:B48)</f>
        <v>12703764.34</v>
      </c>
    </row>
    <row r="28" spans="1:9" x14ac:dyDescent="0.2">
      <c r="A28" s="17" t="s">
        <v>377</v>
      </c>
      <c r="B28" s="215">
        <v>0</v>
      </c>
      <c r="C28" s="215"/>
      <c r="D28" s="215"/>
      <c r="E28" s="220"/>
    </row>
    <row r="29" spans="1:9" x14ac:dyDescent="0.2">
      <c r="A29" s="15" t="s">
        <v>15</v>
      </c>
      <c r="B29" s="215">
        <f>+SUM(B23:C28)*InfoInicial!B15</f>
        <v>8550</v>
      </c>
      <c r="C29" s="215"/>
      <c r="D29" s="215"/>
      <c r="E29" s="220"/>
    </row>
    <row r="30" spans="1:9" x14ac:dyDescent="0.2">
      <c r="A30" s="209"/>
      <c r="B30" s="216"/>
      <c r="C30" s="216"/>
      <c r="D30" s="216"/>
      <c r="E30" s="221"/>
    </row>
    <row r="31" spans="1:9" x14ac:dyDescent="0.2">
      <c r="A31" s="614" t="s">
        <v>378</v>
      </c>
      <c r="B31" s="615">
        <f>+SUM(B23:B29)</f>
        <v>253550</v>
      </c>
      <c r="C31" s="615">
        <f>+SUM(C23:C29)</f>
        <v>40000</v>
      </c>
      <c r="D31" s="615">
        <v>0</v>
      </c>
      <c r="E31" s="616">
        <v>0</v>
      </c>
    </row>
    <row r="32" spans="1:9" x14ac:dyDescent="0.2">
      <c r="A32" s="211"/>
      <c r="B32" s="219"/>
      <c r="C32" s="219"/>
      <c r="D32" s="219"/>
      <c r="E32" s="238"/>
    </row>
    <row r="33" spans="1:12" x14ac:dyDescent="0.2">
      <c r="A33" s="614" t="s">
        <v>379</v>
      </c>
      <c r="B33" s="615">
        <f>+B20+B31</f>
        <v>11811561.450199999</v>
      </c>
      <c r="C33" s="615">
        <f>+C20+C31</f>
        <v>40000</v>
      </c>
      <c r="D33" s="615">
        <f>+D20+D31</f>
        <v>1526865.82</v>
      </c>
      <c r="E33" s="616">
        <f>+E20+E31</f>
        <v>0</v>
      </c>
    </row>
    <row r="34" spans="1:12" x14ac:dyDescent="0.2">
      <c r="A34" s="614" t="s">
        <v>380</v>
      </c>
      <c r="B34" s="615">
        <f>+SUM(B33:E33)*InfoInicial!$B$3</f>
        <v>2809469.7267419999</v>
      </c>
      <c r="C34" s="617"/>
      <c r="D34" s="617"/>
      <c r="E34" s="618"/>
    </row>
    <row r="35" spans="1:12" x14ac:dyDescent="0.2">
      <c r="A35" s="211"/>
      <c r="B35" s="219"/>
      <c r="C35" s="219"/>
      <c r="D35" s="219"/>
      <c r="E35" s="238"/>
    </row>
    <row r="36" spans="1:12" ht="13.5" thickBot="1" x14ac:dyDescent="0.25">
      <c r="A36" s="619" t="s">
        <v>381</v>
      </c>
      <c r="B36" s="620">
        <f>+SUM(B33:C34)</f>
        <v>14661031.176941998</v>
      </c>
      <c r="C36" s="621">
        <f>C33</f>
        <v>40000</v>
      </c>
      <c r="D36" s="620">
        <f>+D33</f>
        <v>1526865.82</v>
      </c>
      <c r="E36" s="622"/>
    </row>
    <row r="37" spans="1:12" ht="13.5" thickTop="1" x14ac:dyDescent="0.2"/>
    <row r="38" spans="1:12" ht="13.5" thickBot="1" x14ac:dyDescent="0.25"/>
    <row r="39" spans="1:12" ht="13.5" thickTop="1" x14ac:dyDescent="0.2">
      <c r="A39" s="20" t="s">
        <v>382</v>
      </c>
      <c r="B39" s="741" t="s">
        <v>383</v>
      </c>
      <c r="C39" s="741" t="s">
        <v>384</v>
      </c>
      <c r="D39" s="778" t="s">
        <v>385</v>
      </c>
      <c r="E39" s="778"/>
      <c r="F39" s="21" t="s">
        <v>386</v>
      </c>
      <c r="H39" s="776" t="s">
        <v>387</v>
      </c>
      <c r="I39" s="776" t="s">
        <v>388</v>
      </c>
      <c r="J39" s="776" t="s">
        <v>389</v>
      </c>
    </row>
    <row r="40" spans="1:12" ht="13.5" thickBot="1" x14ac:dyDescent="0.25">
      <c r="A40" s="22"/>
      <c r="B40" s="9" t="s">
        <v>390</v>
      </c>
      <c r="C40" s="9"/>
      <c r="D40" s="9" t="s">
        <v>391</v>
      </c>
      <c r="E40" s="9" t="s">
        <v>392</v>
      </c>
      <c r="F40" s="23"/>
      <c r="H40" s="777"/>
      <c r="I40" s="777"/>
      <c r="J40" s="777"/>
    </row>
    <row r="41" spans="1:12" ht="13.5" thickTop="1" x14ac:dyDescent="0.2">
      <c r="A41" s="24" t="s">
        <v>46</v>
      </c>
      <c r="B41" s="25"/>
      <c r="C41" s="25"/>
      <c r="D41" s="25"/>
      <c r="E41" s="25"/>
      <c r="F41" s="26"/>
      <c r="H41" s="244"/>
      <c r="I41" s="244"/>
      <c r="J41" s="244"/>
    </row>
    <row r="42" spans="1:12" x14ac:dyDescent="0.2">
      <c r="A42" s="27"/>
      <c r="B42" s="28"/>
      <c r="C42" s="28"/>
      <c r="D42" s="28"/>
      <c r="E42" s="28"/>
      <c r="F42" s="29"/>
      <c r="H42" s="244"/>
      <c r="I42" s="244"/>
      <c r="J42" s="244"/>
    </row>
    <row r="43" spans="1:12" x14ac:dyDescent="0.2">
      <c r="A43" s="15" t="s">
        <v>361</v>
      </c>
      <c r="B43" s="215">
        <f>Apertura!C4*0.2</f>
        <v>1539400</v>
      </c>
      <c r="C43" s="208">
        <v>0</v>
      </c>
      <c r="D43" s="215">
        <f>+$B43*$C43</f>
        <v>0</v>
      </c>
      <c r="E43" s="215">
        <f>+$B43*$C43</f>
        <v>0</v>
      </c>
      <c r="F43" s="220">
        <f t="shared" ref="F43:F50" si="0">+B43-D43*3-E43*2</f>
        <v>1539400</v>
      </c>
      <c r="H43" s="245">
        <f>+Apertura!C117</f>
        <v>0.70979986197377498</v>
      </c>
      <c r="I43" s="245">
        <f>1-H43-J43</f>
        <v>0.19020013802622501</v>
      </c>
      <c r="J43" s="245">
        <v>0.1</v>
      </c>
      <c r="L43" s="367">
        <f>+D43*3+E43*2</f>
        <v>0</v>
      </c>
    </row>
    <row r="44" spans="1:12" x14ac:dyDescent="0.2">
      <c r="A44" s="15" t="s">
        <v>362</v>
      </c>
      <c r="B44" s="215">
        <f>Apertura!C4*0.8</f>
        <v>6157600</v>
      </c>
      <c r="C44" s="208">
        <f>1/InfoInicial!B8</f>
        <v>3.3333333333333333E-2</v>
      </c>
      <c r="D44" s="215">
        <f t="shared" ref="D44:E50" si="1">+$B44*$C44</f>
        <v>205253.33333333334</v>
      </c>
      <c r="E44" s="215">
        <f t="shared" si="1"/>
        <v>205253.33333333334</v>
      </c>
      <c r="F44" s="220">
        <f t="shared" si="0"/>
        <v>5131333.333333333</v>
      </c>
      <c r="H44" s="245">
        <f>+H43</f>
        <v>0.70979986197377498</v>
      </c>
      <c r="I44" s="245">
        <f>1-H44-J44</f>
        <v>0.19020013802622501</v>
      </c>
      <c r="J44" s="245">
        <f>+J43</f>
        <v>0.1</v>
      </c>
      <c r="L44" s="367">
        <f t="shared" ref="L44:L50" si="2">+D44*3+E44*2</f>
        <v>1026266.6666666667</v>
      </c>
    </row>
    <row r="45" spans="1:12" x14ac:dyDescent="0.2">
      <c r="A45" s="15" t="s">
        <v>72</v>
      </c>
      <c r="B45" s="215">
        <f>+Apertura!D54</f>
        <v>753380</v>
      </c>
      <c r="C45" s="208">
        <f>1/InfoInicial!B9</f>
        <v>0.1</v>
      </c>
      <c r="D45" s="215">
        <f t="shared" si="1"/>
        <v>75338</v>
      </c>
      <c r="E45" s="215">
        <f t="shared" si="1"/>
        <v>75338</v>
      </c>
      <c r="F45" s="220">
        <f t="shared" si="0"/>
        <v>376690</v>
      </c>
      <c r="H45" s="245">
        <f>+H43</f>
        <v>0.70979986197377498</v>
      </c>
      <c r="I45" s="245">
        <f>1-H45-J45</f>
        <v>0.19020013802622501</v>
      </c>
      <c r="J45" s="245">
        <f>+J43</f>
        <v>0.1</v>
      </c>
      <c r="L45" s="367">
        <f t="shared" si="2"/>
        <v>376690</v>
      </c>
    </row>
    <row r="46" spans="1:12" x14ac:dyDescent="0.2">
      <c r="A46" s="17" t="s">
        <v>363</v>
      </c>
      <c r="B46" s="215">
        <f>+D11+B12+D14+B13+B14</f>
        <v>2303172.34</v>
      </c>
      <c r="C46" s="208">
        <f>1/InfoInicial!B10</f>
        <v>0.1</v>
      </c>
      <c r="D46" s="215">
        <f t="shared" si="1"/>
        <v>230317.234</v>
      </c>
      <c r="E46" s="215">
        <f t="shared" si="1"/>
        <v>230317.234</v>
      </c>
      <c r="F46" s="220">
        <f t="shared" si="0"/>
        <v>1151586.17</v>
      </c>
      <c r="H46" s="245">
        <v>1</v>
      </c>
      <c r="I46" s="245">
        <v>0</v>
      </c>
      <c r="J46" s="245">
        <v>0</v>
      </c>
      <c r="L46" s="367">
        <f t="shared" si="2"/>
        <v>1151586.17</v>
      </c>
    </row>
    <row r="47" spans="1:12" x14ac:dyDescent="0.2">
      <c r="A47" s="17" t="s">
        <v>368</v>
      </c>
      <c r="B47" s="215">
        <f>Apertura!D24</f>
        <v>1476146</v>
      </c>
      <c r="C47" s="208">
        <f>1/InfoInicial!B11</f>
        <v>0.2</v>
      </c>
      <c r="D47" s="215">
        <f t="shared" si="1"/>
        <v>295229.2</v>
      </c>
      <c r="E47" s="215">
        <f t="shared" si="1"/>
        <v>295229.2</v>
      </c>
      <c r="F47" s="220">
        <f t="shared" si="0"/>
        <v>0</v>
      </c>
      <c r="H47" s="245">
        <f>+(Apertura!D24-Apertura!D22)/Apertura!D24</f>
        <v>5.1584328379442143E-2</v>
      </c>
      <c r="I47" s="245">
        <v>0</v>
      </c>
      <c r="J47" s="449">
        <f>1-H47</f>
        <v>0.94841567162055784</v>
      </c>
      <c r="L47" s="367">
        <f t="shared" si="2"/>
        <v>1476146</v>
      </c>
    </row>
    <row r="48" spans="1:12" x14ac:dyDescent="0.2">
      <c r="A48" s="17" t="s">
        <v>100</v>
      </c>
      <c r="B48" s="215">
        <f>Apertura!D102</f>
        <v>474066</v>
      </c>
      <c r="C48" s="208">
        <f>1/InfoInicial!B12</f>
        <v>0.2</v>
      </c>
      <c r="D48" s="215">
        <f t="shared" si="1"/>
        <v>94813.200000000012</v>
      </c>
      <c r="E48" s="215">
        <f t="shared" si="1"/>
        <v>94813.200000000012</v>
      </c>
      <c r="F48" s="220">
        <f t="shared" si="0"/>
        <v>0</v>
      </c>
      <c r="H48" s="245">
        <f>Apertura!G103</f>
        <v>0.48563069277273629</v>
      </c>
      <c r="I48" s="245">
        <f>1-H48-J48</f>
        <v>0.27809216396002423</v>
      </c>
      <c r="J48" s="245">
        <f>Apertura!F103</f>
        <v>0.23627714326723945</v>
      </c>
      <c r="L48" s="367">
        <f t="shared" si="2"/>
        <v>474066.00000000006</v>
      </c>
    </row>
    <row r="49" spans="1:12" x14ac:dyDescent="0.2">
      <c r="A49" s="17" t="s">
        <v>15</v>
      </c>
      <c r="B49" s="215">
        <f>+B18+D18</f>
        <v>381112.9302</v>
      </c>
      <c r="C49" s="208">
        <f>1/InfoInicial!B12</f>
        <v>0.2</v>
      </c>
      <c r="D49" s="215">
        <f t="shared" si="1"/>
        <v>76222.586040000009</v>
      </c>
      <c r="E49" s="215">
        <f t="shared" si="1"/>
        <v>76222.586040000009</v>
      </c>
      <c r="F49" s="220">
        <f t="shared" si="0"/>
        <v>0</v>
      </c>
      <c r="H49" s="245">
        <f>+SUMPRODUCT(B43:B48,H43:H48)/SUM(B43:B48)</f>
        <v>0.67756435551337924</v>
      </c>
      <c r="I49" s="245">
        <f>1-H49-J49</f>
        <v>0.13689623292979972</v>
      </c>
      <c r="J49" s="245">
        <f>+SUMPRODUCT(B43:B48,J43:J48)/SUM(B43:B48)</f>
        <v>0.18553941155682105</v>
      </c>
      <c r="L49" s="367">
        <f t="shared" si="2"/>
        <v>381112.93020000006</v>
      </c>
    </row>
    <row r="50" spans="1:12" x14ac:dyDescent="0.2">
      <c r="A50" s="212" t="s">
        <v>148</v>
      </c>
      <c r="B50" s="216">
        <f>+Apertura!D113</f>
        <v>169069</v>
      </c>
      <c r="C50" s="213">
        <f>1/InfoInicial!B13</f>
        <v>0.33333333333333331</v>
      </c>
      <c r="D50" s="216">
        <f t="shared" si="1"/>
        <v>56356.333333333328</v>
      </c>
      <c r="E50" s="216">
        <v>0</v>
      </c>
      <c r="F50" s="221">
        <f t="shared" si="0"/>
        <v>0</v>
      </c>
      <c r="H50" s="245">
        <v>1</v>
      </c>
      <c r="I50" s="245">
        <v>0</v>
      </c>
      <c r="J50" s="245">
        <v>0</v>
      </c>
      <c r="L50" s="367">
        <f t="shared" si="2"/>
        <v>169069</v>
      </c>
    </row>
    <row r="51" spans="1:12" x14ac:dyDescent="0.2">
      <c r="A51" s="214" t="s">
        <v>393</v>
      </c>
      <c r="B51" s="689">
        <f>+SUM(B43:B50)</f>
        <v>13253946.270199999</v>
      </c>
      <c r="C51" s="690"/>
      <c r="D51" s="689">
        <f>+SUM(D43:D50)</f>
        <v>1033529.8867066667</v>
      </c>
      <c r="E51" s="689">
        <f>+SUM(E43:E50)</f>
        <v>977173.5533733333</v>
      </c>
      <c r="F51" s="222">
        <f>+SUM(F43:F50)</f>
        <v>8199009.5033333329</v>
      </c>
      <c r="H51" s="245"/>
      <c r="I51" s="245"/>
      <c r="J51" s="245"/>
    </row>
    <row r="52" spans="1:12" x14ac:dyDescent="0.2">
      <c r="A52" s="27"/>
      <c r="B52" s="223"/>
      <c r="C52" s="223"/>
      <c r="D52" s="224"/>
      <c r="E52" s="225"/>
      <c r="F52" s="226"/>
      <c r="H52" s="245"/>
      <c r="I52" s="245"/>
      <c r="J52" s="245"/>
    </row>
    <row r="53" spans="1:12" x14ac:dyDescent="0.2">
      <c r="A53" s="214" t="s">
        <v>394</v>
      </c>
      <c r="B53" s="689">
        <f>+B31+C31</f>
        <v>293550</v>
      </c>
      <c r="C53" s="690">
        <f>1/InfoInicial!B14</f>
        <v>0.2</v>
      </c>
      <c r="D53" s="689">
        <f>+$B53*$C53</f>
        <v>58710</v>
      </c>
      <c r="E53" s="689">
        <f>+$B53*$C53</f>
        <v>58710</v>
      </c>
      <c r="F53" s="222">
        <f>+B53-D53*3-E53*2</f>
        <v>0</v>
      </c>
      <c r="H53" s="245">
        <f>+H43</f>
        <v>0.70979986197377498</v>
      </c>
      <c r="I53" s="449">
        <f>1-H53-J53</f>
        <v>0.19020013802622501</v>
      </c>
      <c r="J53" s="245">
        <f>+J43</f>
        <v>0.1</v>
      </c>
      <c r="L53" s="367">
        <f t="shared" ref="L53" si="3">+D53*3+E53*2</f>
        <v>293550</v>
      </c>
    </row>
    <row r="54" spans="1:12" x14ac:dyDescent="0.2">
      <c r="A54" s="30"/>
      <c r="B54" s="215"/>
      <c r="C54" s="215"/>
      <c r="D54" s="227"/>
      <c r="E54" s="215"/>
      <c r="F54" s="220"/>
      <c r="H54" s="245"/>
      <c r="I54" s="245"/>
      <c r="J54" s="245"/>
      <c r="L54" s="788">
        <f>SUM(L43:L53)</f>
        <v>5348486.7668666672</v>
      </c>
    </row>
    <row r="55" spans="1:12" x14ac:dyDescent="0.2">
      <c r="A55" s="47"/>
      <c r="B55" s="228"/>
      <c r="C55" s="228"/>
      <c r="D55" s="229"/>
      <c r="E55" s="230"/>
      <c r="F55" s="231"/>
      <c r="G55" s="33"/>
      <c r="H55" s="245"/>
      <c r="I55" s="245"/>
      <c r="J55" s="245"/>
    </row>
    <row r="56" spans="1:12" ht="13.5" thickBot="1" x14ac:dyDescent="0.25">
      <c r="A56" s="232" t="s">
        <v>395</v>
      </c>
      <c r="B56" s="233">
        <f>+B51+B53</f>
        <v>13547496.270199999</v>
      </c>
      <c r="C56" s="233"/>
      <c r="D56" s="233">
        <f>+D51+D53</f>
        <v>1092239.8867066666</v>
      </c>
      <c r="E56" s="233">
        <f>+E51+E53</f>
        <v>1035883.5533733333</v>
      </c>
      <c r="F56" s="234">
        <f>+F51+F53</f>
        <v>8199009.5033333329</v>
      </c>
      <c r="G56" s="35"/>
      <c r="H56" s="246"/>
      <c r="I56" s="246"/>
      <c r="J56" s="246"/>
    </row>
    <row r="57" spans="1:12" ht="13.5" thickTop="1" x14ac:dyDescent="0.2">
      <c r="F57" s="367"/>
    </row>
    <row r="58" spans="1:12" x14ac:dyDescent="0.2">
      <c r="B58" s="368"/>
      <c r="C58" s="368"/>
      <c r="D58" s="368"/>
    </row>
    <row r="59" spans="1:12" x14ac:dyDescent="0.2">
      <c r="B59" s="367"/>
      <c r="C59" s="367"/>
      <c r="D59" s="367"/>
    </row>
    <row r="60" spans="1:12" x14ac:dyDescent="0.2">
      <c r="B60" s="369"/>
    </row>
    <row r="245" spans="6:8" x14ac:dyDescent="0.2">
      <c r="F245" s="6">
        <f>SUMPRODUCT('E-Inv AF y Am'!D43:D50,'E-Inv AF y Am'!$H$43:$H$50)+'E-Inv AF y Am'!D53*'E-Inv AF y Am'!$H$53</f>
        <v>640428.71428660688</v>
      </c>
      <c r="G245" s="6">
        <f>SUMPRODUCT('E-Inv AF y Am'!E43:E50,'E-Inv AF y Am'!$H$43:$H$50)+'E-Inv AF y Am'!E53*'E-Inv AF y Am'!$H$53</f>
        <v>584072.3809532735</v>
      </c>
      <c r="H245" s="6">
        <f>SUMPRODUCT('E-Inv AF y Am'!F43:F50,'E-Inv AF y Am'!$H$43:$H$50)+'E-Inv AF y Am'!F53*'E-Inv AF y Am'!$H$53</f>
        <v>6153846.2792707607</v>
      </c>
    </row>
    <row r="246" spans="6:8" x14ac:dyDescent="0.2">
      <c r="F246" s="6" t="e">
        <f>F245/B225</f>
        <v>#DIV/0!</v>
      </c>
      <c r="G246" s="6" t="e">
        <f>G245/$B$227</f>
        <v>#DIV/0!</v>
      </c>
      <c r="H246" s="6" t="e">
        <f>H245/$B$227</f>
        <v>#DIV/0!</v>
      </c>
    </row>
  </sheetData>
  <sheetProtection selectLockedCells="1" selectUnlockedCells="1"/>
  <mergeCells count="6">
    <mergeCell ref="J39:J40"/>
    <mergeCell ref="B3:C3"/>
    <mergeCell ref="D3:E3"/>
    <mergeCell ref="D39:E39"/>
    <mergeCell ref="H39:H40"/>
    <mergeCell ref="I39:I40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  <ignoredErrors>
    <ignoredError sqref="B43:E45 B7:E33 F43:F56 B54:E55 B53 D53:E53 B56 D56:E56 B35:E35 C34:E34 B36 D36:E36 B47:E48 C46:E46 B50:E52 C49:E4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1"/>
  <sheetViews>
    <sheetView showGridLines="0" topLeftCell="A67" zoomScale="110" zoomScaleNormal="110" zoomScalePageLayoutView="110" workbookViewId="0">
      <selection activeCell="B87" sqref="B87"/>
    </sheetView>
  </sheetViews>
  <sheetFormatPr baseColWidth="10" defaultColWidth="11.42578125" defaultRowHeight="12.75" x14ac:dyDescent="0.2"/>
  <cols>
    <col min="1" max="1" width="41" style="6" customWidth="1"/>
    <col min="2" max="6" width="14.85546875" style="6" customWidth="1"/>
    <col min="7" max="7" width="10.28515625" style="6" customWidth="1"/>
    <col min="8" max="8" width="17.42578125" style="6" customWidth="1"/>
    <col min="9" max="10" width="11.42578125" style="6"/>
    <col min="11" max="11" width="21.28515625" style="6" bestFit="1" customWidth="1"/>
    <col min="12" max="16384" width="11.42578125" style="6"/>
  </cols>
  <sheetData>
    <row r="3" spans="1:8" x14ac:dyDescent="0.2">
      <c r="A3" s="1" t="s">
        <v>0</v>
      </c>
      <c r="B3"/>
      <c r="C3"/>
      <c r="D3"/>
      <c r="E3" s="526">
        <f>InfoInicial!E1</f>
        <v>3</v>
      </c>
    </row>
    <row r="4" spans="1:8" ht="15.75" x14ac:dyDescent="0.25">
      <c r="A4" s="36" t="s">
        <v>396</v>
      </c>
      <c r="B4" s="37"/>
      <c r="C4" s="37"/>
      <c r="D4" s="37"/>
      <c r="E4" s="37"/>
      <c r="F4" s="38"/>
      <c r="G4" s="397"/>
    </row>
    <row r="5" spans="1:8" x14ac:dyDescent="0.2">
      <c r="A5" s="96"/>
      <c r="B5" s="239" t="s">
        <v>397</v>
      </c>
      <c r="C5" s="239"/>
      <c r="D5" s="239"/>
      <c r="E5" s="239"/>
      <c r="F5" s="240"/>
      <c r="G5" s="398"/>
    </row>
    <row r="6" spans="1:8" x14ac:dyDescent="0.2">
      <c r="A6" s="241" t="s">
        <v>398</v>
      </c>
      <c r="B6" s="691" t="s">
        <v>194</v>
      </c>
      <c r="C6" s="691" t="s">
        <v>399</v>
      </c>
      <c r="D6" s="691" t="s">
        <v>400</v>
      </c>
      <c r="E6" s="691" t="s">
        <v>401</v>
      </c>
      <c r="F6" s="242" t="s">
        <v>402</v>
      </c>
      <c r="G6" s="398"/>
    </row>
    <row r="7" spans="1:8" x14ac:dyDescent="0.2">
      <c r="A7" s="11" t="s">
        <v>403</v>
      </c>
      <c r="B7" s="247">
        <f>+Apertura!J136</f>
        <v>35082148.060950726</v>
      </c>
      <c r="C7" s="247">
        <f>+Apertura!$J$149</f>
        <v>37598860.07997416</v>
      </c>
      <c r="D7" s="247">
        <f>+Apertura!$J$149</f>
        <v>37598860.07997416</v>
      </c>
      <c r="E7" s="247">
        <f>+Apertura!$J$149</f>
        <v>37598860.07997416</v>
      </c>
      <c r="F7" s="248">
        <f>+Apertura!$J$149</f>
        <v>37598860.07997416</v>
      </c>
      <c r="G7" s="399"/>
    </row>
    <row r="8" spans="1:8" x14ac:dyDescent="0.2">
      <c r="A8" s="15" t="s">
        <v>404</v>
      </c>
      <c r="B8" s="249">
        <f>+Apertura!$J$154</f>
        <v>2562558.432</v>
      </c>
      <c r="C8" s="249">
        <f>+Apertura!$J$153</f>
        <v>2801306.1120000002</v>
      </c>
      <c r="D8" s="249">
        <f>+Apertura!$J$153</f>
        <v>2801306.1120000002</v>
      </c>
      <c r="E8" s="249">
        <f>+Apertura!$J$153</f>
        <v>2801306.1120000002</v>
      </c>
      <c r="F8" s="250">
        <f>+Apertura!$J$153</f>
        <v>2801306.1120000002</v>
      </c>
      <c r="G8" s="399"/>
    </row>
    <row r="9" spans="1:8" x14ac:dyDescent="0.2">
      <c r="A9" s="15" t="s">
        <v>405</v>
      </c>
      <c r="B9" s="249"/>
      <c r="C9" s="249"/>
      <c r="D9" s="249"/>
      <c r="E9" s="249"/>
      <c r="F9" s="251"/>
      <c r="G9" s="400"/>
    </row>
    <row r="10" spans="1:8" x14ac:dyDescent="0.2">
      <c r="A10" s="15" t="s">
        <v>406</v>
      </c>
      <c r="B10" s="249">
        <f>+SUMPRODUCT('E-Inv AF y Am'!D43:D50,'E-Inv AF y Am'!H43:H50)+'E-Inv AF y Am'!D53*'E-Inv AF y Am'!H53</f>
        <v>640428.71428660688</v>
      </c>
      <c r="C10" s="249">
        <f>+SUMPRODUCT('E-Inv AF y Am'!D43:D50,'E-Inv AF y Am'!H43:H50)+'E-Inv AF y Am'!D53*'E-Inv AF y Am'!H53</f>
        <v>640428.71428660688</v>
      </c>
      <c r="D10" s="249">
        <f>+SUMPRODUCT('E-Inv AF y Am'!D43:D50,'E-Inv AF y Am'!H43:H50)+'E-Inv AF y Am'!D53*'E-Inv AF y Am'!H53</f>
        <v>640428.71428660688</v>
      </c>
      <c r="E10" s="249">
        <f>+SUMPRODUCT('E-Inv AF y Am'!E43:E50,'E-Inv AF y Am'!H43:H50)+'E-Inv AF y Am'!E53*'E-Inv AF y Am'!H53</f>
        <v>584072.3809532735</v>
      </c>
      <c r="F10" s="250">
        <f>+SUMPRODUCT('E-Inv AF y Am'!E43:E50,'E-Inv AF y Am'!H43:H50)+'E-Inv AF y Am'!E53*'E-Inv AF y Am'!H53</f>
        <v>584072.3809532735</v>
      </c>
      <c r="G10" s="399"/>
    </row>
    <row r="11" spans="1:8" x14ac:dyDescent="0.2">
      <c r="A11" s="15" t="s">
        <v>407</v>
      </c>
      <c r="B11" s="249">
        <f>+Apertura!$K$168</f>
        <v>1221986.4872727275</v>
      </c>
      <c r="C11" s="249">
        <f>+Apertura!$K$167</f>
        <v>1335836.1600000001</v>
      </c>
      <c r="D11" s="249">
        <f>+Apertura!$K$167</f>
        <v>1335836.1600000001</v>
      </c>
      <c r="E11" s="249">
        <f>+Apertura!$K$167</f>
        <v>1335836.1600000001</v>
      </c>
      <c r="F11" s="250">
        <f>+Apertura!$K$167</f>
        <v>1335836.1600000001</v>
      </c>
      <c r="G11" s="399"/>
    </row>
    <row r="12" spans="1:8" x14ac:dyDescent="0.2">
      <c r="A12" s="15" t="s">
        <v>228</v>
      </c>
      <c r="B12" s="249">
        <f>+Apertura!$J$202</f>
        <v>621902.39018713229</v>
      </c>
      <c r="C12" s="249">
        <f>+Apertura!$K$202</f>
        <v>672325.49574174162</v>
      </c>
      <c r="D12" s="249">
        <f>+Apertura!$K$202</f>
        <v>672325.49574174162</v>
      </c>
      <c r="E12" s="249">
        <f>+Apertura!$L$202</f>
        <v>684341.03437684174</v>
      </c>
      <c r="F12" s="250">
        <f>+Apertura!$L$202</f>
        <v>684341.03437684174</v>
      </c>
      <c r="G12" s="399"/>
    </row>
    <row r="13" spans="1:8" x14ac:dyDescent="0.2">
      <c r="A13" s="15" t="s">
        <v>247</v>
      </c>
      <c r="B13" s="249">
        <f>+Apertura!$L$239</f>
        <v>94457.898363828353</v>
      </c>
      <c r="C13" s="249">
        <f>+Apertura!$L$238</f>
        <v>100785.44777291926</v>
      </c>
      <c r="D13" s="249">
        <f>+Apertura!$L$238</f>
        <v>100785.44777291926</v>
      </c>
      <c r="E13" s="249">
        <f>+Apertura!$L$238</f>
        <v>100785.44777291926</v>
      </c>
      <c r="F13" s="250">
        <f>+Apertura!$L$238</f>
        <v>100785.44777291926</v>
      </c>
      <c r="G13" s="399"/>
    </row>
    <row r="14" spans="1:8" x14ac:dyDescent="0.2">
      <c r="A14" s="15" t="s">
        <v>283</v>
      </c>
      <c r="B14" s="249">
        <f>+Apertura!$L$264</f>
        <v>11567.810514357378</v>
      </c>
      <c r="C14" s="249">
        <f>+Apertura!$L$263</f>
        <v>12270.057719024368</v>
      </c>
      <c r="D14" s="249">
        <f>+Apertura!$L$263</f>
        <v>12270.057719024368</v>
      </c>
      <c r="E14" s="249">
        <f>+Apertura!$L$263</f>
        <v>12270.057719024368</v>
      </c>
      <c r="F14" s="250">
        <f>+Apertura!$L$263</f>
        <v>12270.057719024368</v>
      </c>
      <c r="G14" s="399"/>
      <c r="H14" s="52"/>
    </row>
    <row r="15" spans="1:8" x14ac:dyDescent="0.2">
      <c r="A15" s="15" t="s">
        <v>408</v>
      </c>
      <c r="B15" s="380">
        <f>+Apertura!$F$327</f>
        <v>98339.931677018612</v>
      </c>
      <c r="C15" s="380">
        <f>+Apertura!$F$327</f>
        <v>98339.931677018612</v>
      </c>
      <c r="D15" s="380">
        <f>+Apertura!$F$327</f>
        <v>98339.931677018612</v>
      </c>
      <c r="E15" s="380">
        <f>+Apertura!$F$327</f>
        <v>98339.931677018612</v>
      </c>
      <c r="F15" s="381">
        <f>+Apertura!$F$327</f>
        <v>98339.931677018612</v>
      </c>
      <c r="G15" s="401"/>
      <c r="H15" s="379"/>
    </row>
    <row r="16" spans="1:8" x14ac:dyDescent="0.2">
      <c r="A16" s="15" t="s">
        <v>15</v>
      </c>
      <c r="B16" s="380">
        <f>SUM(B7:B15)*InfoInicial!$B$15</f>
        <v>1210001.6917575719</v>
      </c>
      <c r="C16" s="380">
        <f>SUM(C7:C15)*InfoInicial!$B$15</f>
        <v>1297804.5599751442</v>
      </c>
      <c r="D16" s="380">
        <f>SUM(D7:D15)*InfoInicial!$B$15</f>
        <v>1297804.5599751442</v>
      </c>
      <c r="E16" s="380">
        <f>SUM(E7:E15)*InfoInicial!$B$15</f>
        <v>1296474.3361341974</v>
      </c>
      <c r="F16" s="381">
        <f>SUM(F7:F15)*InfoInicial!$B$15</f>
        <v>1296474.3361341974</v>
      </c>
      <c r="G16" s="401"/>
    </row>
    <row r="17" spans="1:8" x14ac:dyDescent="0.2">
      <c r="A17" s="13" t="s">
        <v>409</v>
      </c>
      <c r="B17" s="393">
        <f>SUM(B7:B16)</f>
        <v>41543391.417009972</v>
      </c>
      <c r="C17" s="393">
        <f>SUM(C7:C16)</f>
        <v>44557956.55914662</v>
      </c>
      <c r="D17" s="393">
        <f>SUM(D7:D16)</f>
        <v>44557956.55914662</v>
      </c>
      <c r="E17" s="393">
        <f>SUM(E7:E16)</f>
        <v>44512285.540607445</v>
      </c>
      <c r="F17" s="394">
        <f>SUM(F7:F16)</f>
        <v>44512285.540607445</v>
      </c>
      <c r="G17" s="402"/>
    </row>
    <row r="18" spans="1:8" x14ac:dyDescent="0.2">
      <c r="A18" s="44"/>
      <c r="B18" s="45"/>
      <c r="C18" s="45"/>
      <c r="D18" s="45"/>
      <c r="E18" s="45"/>
      <c r="F18" s="46"/>
      <c r="G18" s="403"/>
    </row>
    <row r="19" spans="1:8" x14ac:dyDescent="0.2">
      <c r="A19" s="47" t="s">
        <v>410</v>
      </c>
      <c r="B19" s="389">
        <f>(B10+B11+B15+B16)/B17</f>
        <v>7.6323976373668334E-2</v>
      </c>
      <c r="C19" s="389">
        <f>(C10+C11+C15+C16)/C17</f>
        <v>7.5685907217540468E-2</v>
      </c>
      <c r="D19" s="389">
        <f>(D10+D11+D15+D16)/D17</f>
        <v>7.5685907217540468E-2</v>
      </c>
      <c r="E19" s="389">
        <f>(E10+E11+E15+E16)/E17</f>
        <v>7.446759402503722E-2</v>
      </c>
      <c r="F19" s="390">
        <f>(F10+F11+F15+F16)/F17</f>
        <v>7.446759402503722E-2</v>
      </c>
      <c r="G19" s="404"/>
    </row>
    <row r="20" spans="1:8" x14ac:dyDescent="0.2">
      <c r="A20" s="22" t="s">
        <v>411</v>
      </c>
      <c r="B20" s="391">
        <f>(B7+B8+B13+B14+B12)/B17</f>
        <v>0.9236760236263315</v>
      </c>
      <c r="C20" s="391">
        <f>(C7+C8+C13+C14+C12)/C17</f>
        <v>0.92431409278245946</v>
      </c>
      <c r="D20" s="391">
        <f>(D7+D8+D13+D14+D12)/D17</f>
        <v>0.92431409278245946</v>
      </c>
      <c r="E20" s="391">
        <f>(E7+E8+E13+E14+E12)/E17</f>
        <v>0.92553240597496267</v>
      </c>
      <c r="F20" s="392">
        <f>(F7+F8+F13+F14+F12)/F17</f>
        <v>0.92553240597496267</v>
      </c>
      <c r="G20" s="405"/>
    </row>
    <row r="21" spans="1:8" ht="14.25" thickTop="1" thickBot="1" x14ac:dyDescent="0.25"/>
    <row r="22" spans="1:8" ht="13.5" thickTop="1" x14ac:dyDescent="0.2">
      <c r="A22" s="50"/>
      <c r="B22" s="713" t="s">
        <v>412</v>
      </c>
      <c r="C22" s="713"/>
      <c r="D22" s="713"/>
      <c r="E22" s="713"/>
      <c r="F22" s="406"/>
      <c r="G22" s="427"/>
      <c r="H22" s="423"/>
    </row>
    <row r="23" spans="1:8" x14ac:dyDescent="0.2">
      <c r="A23" s="39"/>
      <c r="B23" s="715" t="s">
        <v>413</v>
      </c>
      <c r="C23" s="715"/>
      <c r="D23" s="715"/>
      <c r="E23" s="715"/>
      <c r="F23" s="407"/>
      <c r="G23" s="427"/>
      <c r="H23" s="424" t="s">
        <v>414</v>
      </c>
    </row>
    <row r="24" spans="1:8" ht="13.5" thickBot="1" x14ac:dyDescent="0.25">
      <c r="A24" s="39" t="s">
        <v>398</v>
      </c>
      <c r="B24" s="51" t="s">
        <v>194</v>
      </c>
      <c r="C24" s="51" t="s">
        <v>399</v>
      </c>
      <c r="D24" s="51" t="s">
        <v>400</v>
      </c>
      <c r="E24" s="51" t="s">
        <v>401</v>
      </c>
      <c r="F24" s="408" t="s">
        <v>402</v>
      </c>
      <c r="G24" s="428"/>
      <c r="H24" s="425" t="s">
        <v>194</v>
      </c>
    </row>
    <row r="25" spans="1:8" ht="13.5" thickTop="1" x14ac:dyDescent="0.2">
      <c r="A25" s="11" t="s">
        <v>403</v>
      </c>
      <c r="B25" s="247">
        <f>+Apertura!$L$297</f>
        <v>60647.231975653383</v>
      </c>
      <c r="C25" s="247">
        <f>+Apertura!$L$297</f>
        <v>60647.231975653383</v>
      </c>
      <c r="D25" s="247">
        <f>+Apertura!$L$297</f>
        <v>60647.231975653383</v>
      </c>
      <c r="E25" s="247">
        <f>+Apertura!$L$297</f>
        <v>60647.231975653383</v>
      </c>
      <c r="F25" s="409">
        <f>+Apertura!$L$297</f>
        <v>60647.231975653383</v>
      </c>
      <c r="G25" s="429"/>
      <c r="H25" s="426">
        <f>Apertura!F313*Apertura!F311</f>
        <v>492748.74640076043</v>
      </c>
    </row>
    <row r="26" spans="1:8" x14ac:dyDescent="0.2">
      <c r="A26" s="15" t="s">
        <v>404</v>
      </c>
      <c r="B26" s="249">
        <f>+Apertura!$K$301</f>
        <v>2461.0854845574881</v>
      </c>
      <c r="C26" s="249">
        <f>+Apertura!$K$301</f>
        <v>2461.0854845574881</v>
      </c>
      <c r="D26" s="249">
        <f>+Apertura!$K$301</f>
        <v>2461.0854845574881</v>
      </c>
      <c r="E26" s="249">
        <f>+Apertura!$K$301</f>
        <v>2461.0854845574881</v>
      </c>
      <c r="F26" s="410">
        <f>+Apertura!$K$301</f>
        <v>2461.0854845574881</v>
      </c>
      <c r="G26" s="429"/>
      <c r="H26" s="433">
        <f>Apertura!F315</f>
        <v>35992.592379261485</v>
      </c>
    </row>
    <row r="27" spans="1:8" x14ac:dyDescent="0.2">
      <c r="A27" s="15" t="s">
        <v>405</v>
      </c>
      <c r="B27" s="16"/>
      <c r="C27" s="16"/>
      <c r="D27" s="16"/>
      <c r="E27" s="16"/>
      <c r="F27" s="411"/>
      <c r="G27" s="430"/>
      <c r="H27" s="434"/>
    </row>
    <row r="28" spans="1:8" x14ac:dyDescent="0.2">
      <c r="A28" s="15" t="s">
        <v>406</v>
      </c>
      <c r="B28" s="249">
        <f>Apertura!F308</f>
        <v>617.79371664022619</v>
      </c>
      <c r="C28" s="249">
        <f>Apertura!G308</f>
        <v>562.64818966867085</v>
      </c>
      <c r="D28" s="249">
        <f>Apertura!G308</f>
        <v>562.64818966867085</v>
      </c>
      <c r="E28" s="249">
        <f>Apertura!H308</f>
        <v>513.13637325724471</v>
      </c>
      <c r="F28" s="410">
        <f>Apertura!H308</f>
        <v>513.13637325724471</v>
      </c>
      <c r="G28" s="429"/>
      <c r="H28" s="435"/>
    </row>
    <row r="29" spans="1:8" x14ac:dyDescent="0.2">
      <c r="A29" s="15" t="s">
        <v>415</v>
      </c>
      <c r="B29" s="249">
        <f>+Apertura!F172</f>
        <v>1178.7971975886476</v>
      </c>
      <c r="C29" s="249">
        <f>+Apertura!$G$172</f>
        <v>1173.5979045773827</v>
      </c>
      <c r="D29" s="249">
        <f>+Apertura!$G$172</f>
        <v>1173.5979045773827</v>
      </c>
      <c r="E29" s="249">
        <f>+Apertura!$H$172</f>
        <v>1173.5979045773827</v>
      </c>
      <c r="F29" s="410">
        <f>+Apertura!$H$172</f>
        <v>1173.5979045773827</v>
      </c>
      <c r="G29" s="429"/>
      <c r="H29" s="435"/>
    </row>
    <row r="30" spans="1:8" x14ac:dyDescent="0.2">
      <c r="A30" s="15" t="s">
        <v>228</v>
      </c>
      <c r="B30" s="249">
        <f>+Apertura!$F$209</f>
        <v>599.92217783228057</v>
      </c>
      <c r="C30" s="249">
        <f>+Apertura!$G$209</f>
        <v>648.56315393189948</v>
      </c>
      <c r="D30" s="249">
        <f>+Apertura!$G$209</f>
        <v>648.56315393189948</v>
      </c>
      <c r="E30" s="249">
        <f>+Apertura!$H$209</f>
        <v>660.15402127625578</v>
      </c>
      <c r="F30" s="410">
        <f>+Apertura!$H$209</f>
        <v>660.15402127625578</v>
      </c>
      <c r="G30" s="429"/>
      <c r="H30" s="433">
        <f>Apertura!F317</f>
        <v>4927.4874640076032</v>
      </c>
    </row>
    <row r="31" spans="1:8" x14ac:dyDescent="0.2">
      <c r="A31" s="15" t="s">
        <v>416</v>
      </c>
      <c r="B31" s="249">
        <f>+Apertura!$F$243</f>
        <v>91.119424839059931</v>
      </c>
      <c r="C31" s="249">
        <f>+Apertura!$G$243</f>
        <v>97.223336452425713</v>
      </c>
      <c r="D31" s="249">
        <f>+Apertura!$G$243</f>
        <v>97.223336452425713</v>
      </c>
      <c r="E31" s="249">
        <f>+Apertura!$H$243</f>
        <v>97.223336452425713</v>
      </c>
      <c r="F31" s="410">
        <f>+Apertura!$H$243</f>
        <v>97.223336452425713</v>
      </c>
      <c r="G31" s="429"/>
      <c r="H31" s="433">
        <f>+Apertura!F319</f>
        <v>608.2646035396956</v>
      </c>
    </row>
    <row r="32" spans="1:8" x14ac:dyDescent="0.2">
      <c r="A32" s="15" t="s">
        <v>417</v>
      </c>
      <c r="B32" s="249">
        <f>+Apertura!$F$267</f>
        <v>11.158963506212332</v>
      </c>
      <c r="C32" s="249">
        <f>+Apertura!$G$267</f>
        <v>11.83639083089858</v>
      </c>
      <c r="D32" s="249">
        <f>+Apertura!$G$267</f>
        <v>11.83639083089858</v>
      </c>
      <c r="E32" s="249">
        <f>+Apertura!$H$267</f>
        <v>11.83639083089858</v>
      </c>
      <c r="F32" s="410">
        <f>+Apertura!$H$267</f>
        <v>11.83639083089858</v>
      </c>
      <c r="G32" s="429"/>
      <c r="H32" s="433">
        <f>Apertura!F321</f>
        <v>162.47648575133067</v>
      </c>
    </row>
    <row r="33" spans="1:8" x14ac:dyDescent="0.2">
      <c r="A33" s="15" t="s">
        <v>418</v>
      </c>
      <c r="B33" s="249">
        <f>+Apertura!$F$331</f>
        <v>94.864253475215804</v>
      </c>
      <c r="C33" s="249">
        <f>+Apertura!$G$331</f>
        <v>94.864253475215804</v>
      </c>
      <c r="D33" s="249">
        <f>+Apertura!$G$331</f>
        <v>94.864253475215804</v>
      </c>
      <c r="E33" s="249">
        <f>+Apertura!$H$331</f>
        <v>94.864253475215804</v>
      </c>
      <c r="F33" s="410">
        <f>+Apertura!$H$331</f>
        <v>94.864253475215804</v>
      </c>
      <c r="G33" s="429"/>
      <c r="H33" s="435"/>
    </row>
    <row r="34" spans="1:8" x14ac:dyDescent="0.2">
      <c r="A34" s="15" t="s">
        <v>419</v>
      </c>
      <c r="B34" s="380">
        <f>SUM(B25:B33)*InfoInicial!$B$15</f>
        <v>1971.0591958227753</v>
      </c>
      <c r="C34" s="380">
        <f>SUM(C25:C33)*InfoInicial!$B$15</f>
        <v>1970.9115206744209</v>
      </c>
      <c r="D34" s="380">
        <f>SUM(D25:D33)*InfoInicial!$B$15</f>
        <v>1970.9115206744209</v>
      </c>
      <c r="E34" s="380">
        <f>SUM(E25:E33)*InfoInicial!$B$15</f>
        <v>1969.7738922024084</v>
      </c>
      <c r="F34" s="412">
        <f>SUM(F25:F33)*InfoInicial!$B$15</f>
        <v>1969.7738922024084</v>
      </c>
      <c r="G34" s="431"/>
      <c r="H34" s="435"/>
    </row>
    <row r="35" spans="1:8" ht="13.5" thickBot="1" x14ac:dyDescent="0.25">
      <c r="A35" s="22" t="s">
        <v>420</v>
      </c>
      <c r="B35" s="395">
        <f>+SUM(B25:B34)</f>
        <v>67673.032389915286</v>
      </c>
      <c r="C35" s="395">
        <f>+SUM(C25:C34)</f>
        <v>67667.962209821781</v>
      </c>
      <c r="D35" s="395">
        <f>+SUM(D25:D34)</f>
        <v>67667.962209821781</v>
      </c>
      <c r="E35" s="395">
        <f>+SUM(E25:E34)</f>
        <v>67628.903632282701</v>
      </c>
      <c r="F35" s="413">
        <f>+SUM(F25:F34)</f>
        <v>67628.903632282701</v>
      </c>
      <c r="G35" s="432"/>
      <c r="H35" s="436">
        <f>SUM(H25:H34)</f>
        <v>534439.5673333205</v>
      </c>
    </row>
    <row r="36" spans="1:8" ht="14.25" thickTop="1" thickBot="1" x14ac:dyDescent="0.25">
      <c r="A36" s="52"/>
      <c r="B36" s="53"/>
      <c r="C36" s="53"/>
      <c r="D36" s="53"/>
      <c r="E36" s="53"/>
      <c r="F36" s="53"/>
      <c r="G36" s="53"/>
      <c r="H36" s="53"/>
    </row>
    <row r="37" spans="1:8" x14ac:dyDescent="0.2">
      <c r="A37" s="24"/>
      <c r="B37" s="54" t="s">
        <v>421</v>
      </c>
      <c r="C37" s="54"/>
      <c r="D37" s="54"/>
      <c r="E37" s="54"/>
      <c r="F37" s="55"/>
      <c r="G37" s="414"/>
    </row>
    <row r="38" spans="1:8" x14ac:dyDescent="0.2">
      <c r="A38" s="22"/>
      <c r="B38" s="51" t="s">
        <v>194</v>
      </c>
      <c r="C38" s="51" t="s">
        <v>399</v>
      </c>
      <c r="D38" s="51" t="s">
        <v>400</v>
      </c>
      <c r="E38" s="51" t="s">
        <v>401</v>
      </c>
      <c r="F38" s="10" t="s">
        <v>402</v>
      </c>
      <c r="G38" s="398"/>
      <c r="H38" s="53"/>
    </row>
    <row r="39" spans="1:8" x14ac:dyDescent="0.2">
      <c r="A39" s="27" t="s">
        <v>409</v>
      </c>
      <c r="B39" s="247">
        <f>+B17</f>
        <v>41543391.417009972</v>
      </c>
      <c r="C39" s="247">
        <f>+C17</f>
        <v>44557956.55914662</v>
      </c>
      <c r="D39" s="247">
        <f>+D17</f>
        <v>44557956.55914662</v>
      </c>
      <c r="E39" s="247">
        <f>+E17</f>
        <v>44512285.540607445</v>
      </c>
      <c r="F39" s="248">
        <f>+F17</f>
        <v>44512285.540607445</v>
      </c>
      <c r="G39" s="399"/>
      <c r="H39" s="53"/>
    </row>
    <row r="40" spans="1:8" x14ac:dyDescent="0.2">
      <c r="A40" s="15" t="s">
        <v>422</v>
      </c>
      <c r="B40" s="249"/>
      <c r="C40" s="249"/>
      <c r="D40" s="249"/>
      <c r="E40" s="249"/>
      <c r="F40" s="251"/>
      <c r="G40" s="400"/>
      <c r="H40" s="53"/>
    </row>
    <row r="41" spans="1:8" x14ac:dyDescent="0.2">
      <c r="A41" s="15" t="s">
        <v>423</v>
      </c>
      <c r="B41" s="249">
        <f>H35</f>
        <v>534439.5673333205</v>
      </c>
      <c r="C41" s="249"/>
      <c r="D41" s="249"/>
      <c r="E41" s="249"/>
      <c r="F41" s="251"/>
      <c r="G41" s="400"/>
      <c r="H41" s="53"/>
    </row>
    <row r="42" spans="1:8" x14ac:dyDescent="0.2">
      <c r="A42" s="15" t="s">
        <v>424</v>
      </c>
      <c r="B42" s="249">
        <f>+B35</f>
        <v>67673.032389915286</v>
      </c>
      <c r="C42" s="249">
        <f>+C35-B35</f>
        <v>-5.070180093505769</v>
      </c>
      <c r="D42" s="249">
        <f>+D35-C35</f>
        <v>0</v>
      </c>
      <c r="E42" s="249">
        <f>+E35-D35</f>
        <v>-39.058577539079124</v>
      </c>
      <c r="F42" s="250">
        <f>+F35-E35</f>
        <v>0</v>
      </c>
      <c r="G42" s="399"/>
      <c r="H42" s="53"/>
    </row>
    <row r="43" spans="1:8" x14ac:dyDescent="0.2">
      <c r="A43" s="13" t="s">
        <v>425</v>
      </c>
      <c r="B43" s="249">
        <f>+B39-B41-B42</f>
        <v>40941278.817286737</v>
      </c>
      <c r="C43" s="249">
        <f>+C39-C41-C42</f>
        <v>44557961.629326716</v>
      </c>
      <c r="D43" s="249">
        <f>+D39-D41-D42</f>
        <v>44557956.55914662</v>
      </c>
      <c r="E43" s="249">
        <f>+E39-E41-E42</f>
        <v>44512324.599184982</v>
      </c>
      <c r="F43" s="250">
        <f>+F39-F41-F42</f>
        <v>44512285.540607445</v>
      </c>
      <c r="G43" s="399"/>
      <c r="H43" s="53"/>
    </row>
    <row r="44" spans="1:8" x14ac:dyDescent="0.2">
      <c r="A44" s="47" t="s">
        <v>426</v>
      </c>
      <c r="B44" s="437">
        <f>B43/Apertura!B288</f>
        <v>34.036328794704943</v>
      </c>
      <c r="C44" s="437">
        <f>C43/Apertura!$B$290</f>
        <v>34.144031899867215</v>
      </c>
      <c r="D44" s="437">
        <f>D43/Apertura!$B$290</f>
        <v>34.14402801467174</v>
      </c>
      <c r="E44" s="437">
        <f>E43/Apertura!$B$290</f>
        <v>34.109060995544048</v>
      </c>
      <c r="F44" s="438">
        <f>F43/Apertura!$B$290</f>
        <v>34.109031065599574</v>
      </c>
      <c r="G44" s="399"/>
      <c r="H44" s="53"/>
    </row>
    <row r="45" spans="1:8" x14ac:dyDescent="0.2">
      <c r="A45" s="47"/>
      <c r="B45" s="437"/>
      <c r="C45" s="437"/>
      <c r="D45" s="437"/>
      <c r="E45" s="437"/>
      <c r="F45" s="438"/>
      <c r="G45" s="399"/>
      <c r="H45" s="53"/>
    </row>
    <row r="46" spans="1:8" x14ac:dyDescent="0.2">
      <c r="A46" s="47" t="s">
        <v>410</v>
      </c>
      <c r="B46" s="720">
        <f>(B10+B11+B15+B16)/B43</f>
        <v>7.7446452983171807E-2</v>
      </c>
      <c r="C46" s="720">
        <f t="shared" ref="C46:F46" si="0">(C10+C11+C15+C16)/C43</f>
        <v>7.5685898605360596E-2</v>
      </c>
      <c r="D46" s="720">
        <f t="shared" si="0"/>
        <v>7.5685907217540468E-2</v>
      </c>
      <c r="E46" s="720">
        <f t="shared" si="0"/>
        <v>7.446752868137517E-2</v>
      </c>
      <c r="F46" s="721">
        <f t="shared" si="0"/>
        <v>7.446759402503722E-2</v>
      </c>
      <c r="G46" s="399"/>
      <c r="H46" s="53"/>
    </row>
    <row r="47" spans="1:8" x14ac:dyDescent="0.2">
      <c r="A47" s="22" t="s">
        <v>411</v>
      </c>
      <c r="B47" s="722">
        <f>1-B46</f>
        <v>0.92255354701682823</v>
      </c>
      <c r="C47" s="722">
        <f t="shared" ref="C47:F47" si="1">1-C46</f>
        <v>0.92431410139463943</v>
      </c>
      <c r="D47" s="722">
        <f t="shared" si="1"/>
        <v>0.92431409278245957</v>
      </c>
      <c r="E47" s="722">
        <f t="shared" si="1"/>
        <v>0.92553247131862482</v>
      </c>
      <c r="F47" s="723">
        <f t="shared" si="1"/>
        <v>0.92553240597496278</v>
      </c>
      <c r="G47" s="399"/>
      <c r="H47" s="53"/>
    </row>
    <row r="50" spans="1:8" x14ac:dyDescent="0.2">
      <c r="A50" s="20"/>
      <c r="B50" s="713" t="s">
        <v>427</v>
      </c>
      <c r="C50" s="713"/>
      <c r="D50" s="713"/>
      <c r="E50" s="713"/>
      <c r="F50" s="714"/>
      <c r="G50" s="398"/>
    </row>
    <row r="51" spans="1:8" ht="13.5" thickBot="1" x14ac:dyDescent="0.25">
      <c r="A51" s="59" t="s">
        <v>398</v>
      </c>
      <c r="B51" s="9" t="s">
        <v>194</v>
      </c>
      <c r="C51" s="9" t="s">
        <v>399</v>
      </c>
      <c r="D51" s="9" t="s">
        <v>400</v>
      </c>
      <c r="E51" s="9" t="s">
        <v>401</v>
      </c>
      <c r="F51" s="10" t="s">
        <v>402</v>
      </c>
      <c r="G51" s="398"/>
    </row>
    <row r="52" spans="1:8" ht="13.5" thickTop="1" x14ac:dyDescent="0.2">
      <c r="A52" s="50" t="s">
        <v>236</v>
      </c>
      <c r="B52" s="247">
        <f>Apertura!K182</f>
        <v>1913480.4627272729</v>
      </c>
      <c r="C52" s="247">
        <f>Apertura!$K$181</f>
        <v>2091755.04</v>
      </c>
      <c r="D52" s="247">
        <f>Apertura!$K$181</f>
        <v>2091755.04</v>
      </c>
      <c r="E52" s="247">
        <f>Apertura!$K$181</f>
        <v>2091755.04</v>
      </c>
      <c r="F52" s="248">
        <f>Apertura!$K$181</f>
        <v>2091755.04</v>
      </c>
      <c r="G52" s="415"/>
    </row>
    <row r="53" spans="1:8" x14ac:dyDescent="0.2">
      <c r="A53" s="15" t="s">
        <v>428</v>
      </c>
      <c r="B53" s="249">
        <f>SUMPRODUCT('E-Inv AF y Am'!$D$43:$D$50,'E-Inv AF y Am'!$I$43:$I$50)+'E-Inv AF y Am'!$D$53*'E-Inv AF y Am'!$I$53</f>
        <v>101336.5532855003</v>
      </c>
      <c r="C53" s="249">
        <f>SUMPRODUCT('E-Inv AF y Am'!$D$43:$D$50,'E-Inv AF y Am'!$I$43:$I$50)+'E-Inv AF y Am'!$D$53*'E-Inv AF y Am'!$I$53</f>
        <v>101336.5532855003</v>
      </c>
      <c r="D53" s="249">
        <f>SUMPRODUCT('E-Inv AF y Am'!$D$43:$D$50,'E-Inv AF y Am'!$I$43:$I$50)+'E-Inv AF y Am'!$D$53*'E-Inv AF y Am'!$I$53</f>
        <v>101336.5532855003</v>
      </c>
      <c r="E53" s="249">
        <f>SUMPRODUCT('E-Inv AF y Am'!$D$43:$D$50,'E-Inv AF y Am'!$I$43:$I$50)+'E-Inv AF y Am'!$D$53*'E-Inv AF y Am'!$I$53</f>
        <v>101336.5532855003</v>
      </c>
      <c r="F53" s="251">
        <f>SUMPRODUCT('E-Inv AF y Am'!$D$43:$D$50,'E-Inv AF y Am'!$I$43:$I$50)+'E-Inv AF y Am'!$D$53*'E-Inv AF y Am'!$I$53</f>
        <v>101336.5532855003</v>
      </c>
      <c r="G53" s="416"/>
    </row>
    <row r="54" spans="1:8" x14ac:dyDescent="0.2">
      <c r="A54" s="15" t="s">
        <v>228</v>
      </c>
      <c r="B54" s="249">
        <f>+Apertura!$J$217</f>
        <v>88448.153249431925</v>
      </c>
      <c r="C54" s="249">
        <f>+Apertura!$K$217</f>
        <v>96688.664421739231</v>
      </c>
      <c r="D54" s="249">
        <f>+Apertura!$K$217</f>
        <v>96688.664421739231</v>
      </c>
      <c r="E54" s="249">
        <f>+Apertura!$L$217</f>
        <v>101000.1588828262</v>
      </c>
      <c r="F54" s="250">
        <f>+Apertura!$L$217</f>
        <v>101000.1588828262</v>
      </c>
      <c r="G54" s="415"/>
    </row>
    <row r="55" spans="1:8" x14ac:dyDescent="0.2">
      <c r="A55" s="15" t="s">
        <v>429</v>
      </c>
      <c r="B55" s="249">
        <f>Apertura!N255</f>
        <v>30905.483572387566</v>
      </c>
      <c r="C55" s="249">
        <f>Apertura!$N$254</f>
        <v>33074.1721028885</v>
      </c>
      <c r="D55" s="249">
        <f>Apertura!$N$254</f>
        <v>33074.1721028885</v>
      </c>
      <c r="E55" s="249">
        <f>Apertura!$N$254</f>
        <v>33074.1721028885</v>
      </c>
      <c r="F55" s="250">
        <f>Apertura!$N$254</f>
        <v>33074.1721028885</v>
      </c>
      <c r="G55" s="399"/>
    </row>
    <row r="56" spans="1:8" x14ac:dyDescent="0.2">
      <c r="A56" s="15" t="s">
        <v>430</v>
      </c>
      <c r="B56" s="249">
        <f>Apertura!N276</f>
        <v>1196.1993509692957</v>
      </c>
      <c r="C56" s="249">
        <f>Apertura!$N$275</f>
        <v>1230.8007858906419</v>
      </c>
      <c r="D56" s="249">
        <f>Apertura!$N$275</f>
        <v>1230.8007858906419</v>
      </c>
      <c r="E56" s="249">
        <f>Apertura!$N$275</f>
        <v>1230.8007858906419</v>
      </c>
      <c r="F56" s="250">
        <f>Apertura!$N$275</f>
        <v>1230.8007858906419</v>
      </c>
      <c r="G56" s="399"/>
    </row>
    <row r="57" spans="1:8" x14ac:dyDescent="0.2">
      <c r="A57" s="15" t="s">
        <v>431</v>
      </c>
      <c r="B57" s="249">
        <f>+Apertura!$F$348</f>
        <v>161000</v>
      </c>
      <c r="C57" s="249">
        <f>+Apertura!$F$348</f>
        <v>161000</v>
      </c>
      <c r="D57" s="249">
        <f>+Apertura!$F$348</f>
        <v>161000</v>
      </c>
      <c r="E57" s="249">
        <f>+Apertura!$F$348</f>
        <v>161000</v>
      </c>
      <c r="F57" s="250">
        <f>+Apertura!$F$348</f>
        <v>161000</v>
      </c>
      <c r="G57" s="415"/>
    </row>
    <row r="58" spans="1:8" x14ac:dyDescent="0.2">
      <c r="A58" s="15" t="s">
        <v>408</v>
      </c>
      <c r="B58" s="249">
        <f>+Apertura!$F$338</f>
        <v>763230.76832298143</v>
      </c>
      <c r="C58" s="249">
        <f>+Apertura!$G$338</f>
        <v>835451.46832298138</v>
      </c>
      <c r="D58" s="249">
        <f>+Apertura!$G$338</f>
        <v>835451.46832298138</v>
      </c>
      <c r="E58" s="249">
        <f>+Apertura!$G$338</f>
        <v>835451.46832298138</v>
      </c>
      <c r="F58" s="250">
        <f>+Apertura!$G$338</f>
        <v>835451.46832298138</v>
      </c>
      <c r="G58" s="415"/>
    </row>
    <row r="59" spans="1:8" x14ac:dyDescent="0.2">
      <c r="A59" s="15" t="s">
        <v>15</v>
      </c>
      <c r="B59" s="249">
        <f>+SUM(B52:B58)*InfoInicial!$B$15</f>
        <v>91787.9286152563</v>
      </c>
      <c r="C59" s="249">
        <f>+SUM(C52:C58)*InfoInicial!$B$15</f>
        <v>99616.100967570004</v>
      </c>
      <c r="D59" s="249">
        <f>+SUM(D52:D58)*InfoInicial!$B$15</f>
        <v>99616.100967570004</v>
      </c>
      <c r="E59" s="249">
        <f>+SUM(E52:E58)*InfoInicial!$B$15</f>
        <v>99745.445801402631</v>
      </c>
      <c r="F59" s="250">
        <f>+SUM(F52:F58)*InfoInicial!$B$15</f>
        <v>99745.445801402631</v>
      </c>
      <c r="G59" s="415"/>
    </row>
    <row r="60" spans="1:8" x14ac:dyDescent="0.2">
      <c r="A60" s="15"/>
      <c r="B60" s="31"/>
      <c r="C60" s="31"/>
      <c r="D60" s="31"/>
      <c r="E60" s="31"/>
      <c r="F60" s="32"/>
      <c r="G60" s="403"/>
    </row>
    <row r="61" spans="1:8" x14ac:dyDescent="0.2">
      <c r="A61" s="13" t="s">
        <v>432</v>
      </c>
      <c r="B61" s="462">
        <f>+SUM(B52:B59)</f>
        <v>3151385.5491237999</v>
      </c>
      <c r="C61" s="462">
        <f t="shared" ref="C61:F61" si="2">+SUM(C52:C59)</f>
        <v>3420152.7998865703</v>
      </c>
      <c r="D61" s="462">
        <f t="shared" si="2"/>
        <v>3420152.7998865703</v>
      </c>
      <c r="E61" s="462">
        <f t="shared" si="2"/>
        <v>3424593.6391814901</v>
      </c>
      <c r="F61" s="463">
        <f t="shared" si="2"/>
        <v>3424593.6391814901</v>
      </c>
      <c r="G61" s="415"/>
    </row>
    <row r="62" spans="1:8" x14ac:dyDescent="0.2">
      <c r="A62" s="13"/>
      <c r="B62" s="62"/>
      <c r="C62" s="62"/>
      <c r="D62" s="62"/>
      <c r="E62" s="62"/>
      <c r="F62" s="63"/>
      <c r="G62" s="417"/>
      <c r="H62" s="53"/>
    </row>
    <row r="63" spans="1:8" x14ac:dyDescent="0.2">
      <c r="A63" s="47" t="s">
        <v>410</v>
      </c>
      <c r="B63" s="724">
        <v>1</v>
      </c>
      <c r="C63" s="724">
        <v>1</v>
      </c>
      <c r="D63" s="724">
        <v>1</v>
      </c>
      <c r="E63" s="724">
        <v>1</v>
      </c>
      <c r="F63" s="725">
        <v>1</v>
      </c>
      <c r="G63" s="418"/>
      <c r="H63" s="53"/>
    </row>
    <row r="64" spans="1:8" x14ac:dyDescent="0.2">
      <c r="A64" s="22" t="s">
        <v>411</v>
      </c>
      <c r="B64" s="115">
        <v>0</v>
      </c>
      <c r="C64" s="115">
        <v>0</v>
      </c>
      <c r="D64" s="115">
        <v>0</v>
      </c>
      <c r="E64" s="115">
        <v>0</v>
      </c>
      <c r="F64" s="116">
        <v>0</v>
      </c>
      <c r="G64" s="418"/>
      <c r="H64" s="53"/>
    </row>
    <row r="67" spans="1:7" x14ac:dyDescent="0.2">
      <c r="A67" s="20"/>
      <c r="B67" s="713" t="s">
        <v>433</v>
      </c>
      <c r="C67" s="713"/>
      <c r="D67" s="713"/>
      <c r="E67" s="713"/>
      <c r="F67" s="714"/>
      <c r="G67" s="398"/>
    </row>
    <row r="68" spans="1:7" x14ac:dyDescent="0.2">
      <c r="A68" s="59" t="s">
        <v>398</v>
      </c>
      <c r="B68" s="9" t="s">
        <v>194</v>
      </c>
      <c r="C68" s="9" t="s">
        <v>399</v>
      </c>
      <c r="D68" s="9" t="s">
        <v>400</v>
      </c>
      <c r="E68" s="9" t="s">
        <v>401</v>
      </c>
      <c r="F68" s="10" t="s">
        <v>402</v>
      </c>
      <c r="G68" s="398"/>
    </row>
    <row r="69" spans="1:7" x14ac:dyDescent="0.2">
      <c r="A69" s="11" t="s">
        <v>236</v>
      </c>
      <c r="B69" s="247">
        <f>+Apertura!$K$192</f>
        <v>1220020.6772727275</v>
      </c>
      <c r="C69" s="247">
        <f>+Apertura!$K$191</f>
        <v>1333687.2000000002</v>
      </c>
      <c r="D69" s="247">
        <f>+Apertura!$K$191</f>
        <v>1333687.2000000002</v>
      </c>
      <c r="E69" s="247">
        <f>+Apertura!$K$191</f>
        <v>1333687.2000000002</v>
      </c>
      <c r="F69" s="248">
        <f>+Apertura!$K$191</f>
        <v>1333687.2000000002</v>
      </c>
      <c r="G69" s="415"/>
    </row>
    <row r="70" spans="1:7" x14ac:dyDescent="0.2">
      <c r="A70" s="15" t="s">
        <v>428</v>
      </c>
      <c r="B70" s="249">
        <f>SUMPRODUCT('E-Inv AF y Am'!$D$43:$D$50,'E-Inv AF y Am'!$J$43:$J$50)+'E-Inv AF y Am'!$D$53*'E-Inv AF y Am'!$J$53</f>
        <v>350474.61913455953</v>
      </c>
      <c r="C70" s="249">
        <f>SUMPRODUCT('E-Inv AF y Am'!$D$43:$D$50,'E-Inv AF y Am'!$J$43:$J$50)+'E-Inv AF y Am'!$D$53*'E-Inv AF y Am'!$J$53</f>
        <v>350474.61913455953</v>
      </c>
      <c r="D70" s="249">
        <f>SUMPRODUCT('E-Inv AF y Am'!$D$43:$D$50,'E-Inv AF y Am'!$J$43:$J$50)+'E-Inv AF y Am'!$D$53*'E-Inv AF y Am'!$J$53</f>
        <v>350474.61913455953</v>
      </c>
      <c r="E70" s="249">
        <f>SUMPRODUCT('E-Inv AF y Am'!$D$43:$D$50,'E-Inv AF y Am'!$J$43:$J$50)+'E-Inv AF y Am'!$D$53*'E-Inv AF y Am'!$J$53</f>
        <v>350474.61913455953</v>
      </c>
      <c r="F70" s="251">
        <f>SUMPRODUCT('E-Inv AF y Am'!$D$43:$D$50,'E-Inv AF y Am'!$J$43:$J$50)+'E-Inv AF y Am'!$D$53*'E-Inv AF y Am'!$J$53</f>
        <v>350474.61913455953</v>
      </c>
      <c r="G70" s="416"/>
    </row>
    <row r="71" spans="1:7" x14ac:dyDescent="0.2">
      <c r="A71" s="15" t="s">
        <v>228</v>
      </c>
      <c r="B71" s="249">
        <f>Apertura!J226</f>
        <v>90633.705910921621</v>
      </c>
      <c r="C71" s="249">
        <f>Apertura!K226</f>
        <v>102868.17920200127</v>
      </c>
      <c r="D71" s="249">
        <f>Apertura!K226</f>
        <v>102868.17920200127</v>
      </c>
      <c r="E71" s="249">
        <f>Apertura!L226</f>
        <v>107488.64940210133</v>
      </c>
      <c r="F71" s="251">
        <f>Apertura!L226</f>
        <v>107488.64940210133</v>
      </c>
      <c r="G71" s="415"/>
    </row>
    <row r="72" spans="1:7" x14ac:dyDescent="0.2">
      <c r="A72" s="15" t="s">
        <v>434</v>
      </c>
      <c r="B72" s="249">
        <f>Apertura!O255</f>
        <v>9561.3995383295387</v>
      </c>
      <c r="C72" s="249">
        <f>Apertura!$O$254</f>
        <v>10232.338644192241</v>
      </c>
      <c r="D72" s="249">
        <f>Apertura!$O$254</f>
        <v>10232.338644192241</v>
      </c>
      <c r="E72" s="249">
        <f>Apertura!$O$254</f>
        <v>10232.338644192241</v>
      </c>
      <c r="F72" s="250">
        <f>Apertura!$O$254</f>
        <v>10232.338644192241</v>
      </c>
      <c r="G72" s="415"/>
    </row>
    <row r="73" spans="1:7" x14ac:dyDescent="0.2">
      <c r="A73" s="15" t="s">
        <v>430</v>
      </c>
      <c r="B73" s="249">
        <f>Apertura!O276+Apertura!F284</f>
        <v>26266.753437054223</v>
      </c>
      <c r="C73" s="249">
        <f>Apertura!$F$283+Apertura!$O$275</f>
        <v>28815.562221427699</v>
      </c>
      <c r="D73" s="249">
        <f>Apertura!$F$283+Apertura!$O$275</f>
        <v>28815.562221427699</v>
      </c>
      <c r="E73" s="249">
        <f>Apertura!$F$283+Apertura!$O$275</f>
        <v>28815.562221427699</v>
      </c>
      <c r="F73" s="250">
        <f>Apertura!$F$283+Apertura!$O$275</f>
        <v>28815.562221427699</v>
      </c>
      <c r="G73" s="415"/>
    </row>
    <row r="74" spans="1:7" x14ac:dyDescent="0.2">
      <c r="A74" s="15" t="s">
        <v>431</v>
      </c>
      <c r="B74" s="477" t="s">
        <v>435</v>
      </c>
      <c r="C74" s="477" t="s">
        <v>435</v>
      </c>
      <c r="D74" s="477" t="s">
        <v>435</v>
      </c>
      <c r="E74" s="477" t="s">
        <v>435</v>
      </c>
      <c r="F74" s="478" t="s">
        <v>435</v>
      </c>
      <c r="G74" s="415"/>
    </row>
    <row r="75" spans="1:7" x14ac:dyDescent="0.2">
      <c r="A75" s="15" t="s">
        <v>408</v>
      </c>
      <c r="B75" s="249">
        <f>Apertura!F341+Apertura!F342</f>
        <v>1803772.5</v>
      </c>
      <c r="C75" s="249">
        <f>Apertura!$F$341+Apertura!$F$343</f>
        <v>1978500</v>
      </c>
      <c r="D75" s="249">
        <f>Apertura!$F$341+Apertura!$F$343</f>
        <v>1978500</v>
      </c>
      <c r="E75" s="249">
        <f>Apertura!$F$341+Apertura!$F$343</f>
        <v>1978500</v>
      </c>
      <c r="F75" s="250">
        <f>Apertura!$F$341+Apertura!$F$343</f>
        <v>1978500</v>
      </c>
      <c r="G75" s="415"/>
    </row>
    <row r="76" spans="1:7" x14ac:dyDescent="0.2">
      <c r="A76" s="15" t="s">
        <v>15</v>
      </c>
      <c r="B76" s="249">
        <f>++SUM(B69:B75)*InfoInicial!$B$15</f>
        <v>105021.88965880776</v>
      </c>
      <c r="C76" s="249">
        <f>++SUM(C69:C75)*InfoInicial!$B$15</f>
        <v>114137.33697606543</v>
      </c>
      <c r="D76" s="249">
        <f>++SUM(D69:D75)*InfoInicial!$B$15</f>
        <v>114137.33697606543</v>
      </c>
      <c r="E76" s="249">
        <f>++SUM(E69:E75)*InfoInicial!$B$15</f>
        <v>114275.95108206842</v>
      </c>
      <c r="F76" s="250">
        <f>++SUM(F69:F75)*InfoInicial!$B$15</f>
        <v>114275.95108206842</v>
      </c>
      <c r="G76" s="415"/>
    </row>
    <row r="77" spans="1:7" x14ac:dyDescent="0.2">
      <c r="A77" s="15"/>
      <c r="B77" s="31"/>
      <c r="C77" s="31"/>
      <c r="D77" s="31"/>
      <c r="E77" s="31"/>
      <c r="F77" s="32"/>
      <c r="G77" s="403"/>
    </row>
    <row r="78" spans="1:7" x14ac:dyDescent="0.2">
      <c r="A78" s="13" t="s">
        <v>436</v>
      </c>
      <c r="B78" s="462">
        <f>SUM(B69:B76)</f>
        <v>3605751.5449524</v>
      </c>
      <c r="C78" s="462">
        <f t="shared" ref="C78:F78" si="3">SUM(C69:C76)</f>
        <v>3918715.2361782463</v>
      </c>
      <c r="D78" s="462">
        <f t="shared" si="3"/>
        <v>3918715.2361782463</v>
      </c>
      <c r="E78" s="462">
        <f t="shared" si="3"/>
        <v>3923474.3204843495</v>
      </c>
      <c r="F78" s="463">
        <f t="shared" si="3"/>
        <v>3923474.3204843495</v>
      </c>
      <c r="G78" s="415"/>
    </row>
    <row r="79" spans="1:7" x14ac:dyDescent="0.2">
      <c r="A79" s="13"/>
      <c r="B79" s="62"/>
      <c r="C79" s="62"/>
      <c r="D79" s="62"/>
      <c r="E79" s="62"/>
      <c r="F79" s="63"/>
      <c r="G79" s="417"/>
    </row>
    <row r="80" spans="1:7" x14ac:dyDescent="0.2">
      <c r="A80" s="47" t="s">
        <v>410</v>
      </c>
      <c r="B80" s="724">
        <f>SUM(B69:B74,B76,Apertura!F341)/'E-Costos'!B78</f>
        <v>0.50557533491300644</v>
      </c>
      <c r="C80" s="724">
        <f>SUM(C69:C74,C76,Apertura!G341)/'E-Costos'!C78</f>
        <v>0.49511513831519299</v>
      </c>
      <c r="D80" s="724">
        <f>SUM(D69:D74,D76,Apertura!H341)/'E-Costos'!D78</f>
        <v>0.49511513831519299</v>
      </c>
      <c r="E80" s="724">
        <f>SUM(E69:E74,E76,Apertura!I341)/'E-Costos'!E78</f>
        <v>0.49572755206519209</v>
      </c>
      <c r="F80" s="725">
        <f>SUM(F69:F74,F76,Apertura!J341)/'E-Costos'!F78</f>
        <v>0.49572755206519209</v>
      </c>
      <c r="G80" s="418"/>
    </row>
    <row r="81" spans="1:8" x14ac:dyDescent="0.2">
      <c r="A81" s="22" t="s">
        <v>411</v>
      </c>
      <c r="B81" s="115">
        <f>1-B80</f>
        <v>0.49442466508699356</v>
      </c>
      <c r="C81" s="115">
        <f t="shared" ref="C81:F81" si="4">1-C80</f>
        <v>0.50488486168480695</v>
      </c>
      <c r="D81" s="115">
        <f t="shared" si="4"/>
        <v>0.50488486168480695</v>
      </c>
      <c r="E81" s="115">
        <f t="shared" si="4"/>
        <v>0.50427244793480797</v>
      </c>
      <c r="F81" s="116">
        <f t="shared" si="4"/>
        <v>0.50427244793480797</v>
      </c>
      <c r="G81" s="418"/>
    </row>
    <row r="82" spans="1:8" ht="20.25" x14ac:dyDescent="0.3">
      <c r="H82" s="797" t="s">
        <v>703</v>
      </c>
    </row>
    <row r="83" spans="1:8" ht="13.5" thickBot="1" x14ac:dyDescent="0.25"/>
    <row r="84" spans="1:8" ht="16.5" thickTop="1" x14ac:dyDescent="0.25">
      <c r="A84" s="111" t="s">
        <v>437</v>
      </c>
      <c r="B84" s="66"/>
      <c r="C84" s="66"/>
      <c r="D84" s="66"/>
      <c r="E84" s="66"/>
      <c r="F84" s="67"/>
      <c r="G84" s="397"/>
    </row>
    <row r="85" spans="1:8" ht="13.5" thickBot="1" x14ac:dyDescent="0.25">
      <c r="A85" s="445"/>
      <c r="B85" s="9" t="s">
        <v>194</v>
      </c>
      <c r="C85" s="9" t="s">
        <v>399</v>
      </c>
      <c r="D85" s="9" t="s">
        <v>400</v>
      </c>
      <c r="E85" s="9" t="s">
        <v>401</v>
      </c>
      <c r="F85" s="10" t="s">
        <v>402</v>
      </c>
      <c r="G85" s="398"/>
    </row>
    <row r="86" spans="1:8" ht="13.5" thickTop="1" x14ac:dyDescent="0.2">
      <c r="A86" s="210" t="s">
        <v>438</v>
      </c>
      <c r="B86" s="247">
        <v>1188515</v>
      </c>
      <c r="C86" s="247">
        <v>1305000</v>
      </c>
      <c r="D86" s="247">
        <v>1305000</v>
      </c>
      <c r="E86" s="247">
        <v>1305000</v>
      </c>
      <c r="F86" s="248">
        <v>1305000</v>
      </c>
      <c r="G86" s="419"/>
    </row>
    <row r="87" spans="1:8" x14ac:dyDescent="0.2">
      <c r="A87" s="15" t="s">
        <v>439</v>
      </c>
      <c r="B87" s="477">
        <v>50</v>
      </c>
      <c r="C87" s="477">
        <f>+$B$87</f>
        <v>50</v>
      </c>
      <c r="D87" s="477">
        <f t="shared" ref="D87:F87" si="5">+$B$87</f>
        <v>50</v>
      </c>
      <c r="E87" s="477">
        <f t="shared" si="5"/>
        <v>50</v>
      </c>
      <c r="F87" s="478">
        <f t="shared" si="5"/>
        <v>50</v>
      </c>
      <c r="G87" s="479"/>
    </row>
    <row r="88" spans="1:8" x14ac:dyDescent="0.2">
      <c r="A88" s="13" t="s">
        <v>440</v>
      </c>
      <c r="B88" s="249">
        <f>B87*B86</f>
        <v>59425750</v>
      </c>
      <c r="C88" s="249">
        <f t="shared" ref="C88:F88" si="6">C87*C86</f>
        <v>65250000</v>
      </c>
      <c r="D88" s="249">
        <f t="shared" si="6"/>
        <v>65250000</v>
      </c>
      <c r="E88" s="249">
        <f t="shared" si="6"/>
        <v>65250000</v>
      </c>
      <c r="F88" s="250">
        <f t="shared" si="6"/>
        <v>65250000</v>
      </c>
      <c r="G88" s="415"/>
    </row>
    <row r="89" spans="1:8" x14ac:dyDescent="0.2">
      <c r="A89" s="15"/>
      <c r="B89" s="446"/>
      <c r="C89" s="446"/>
      <c r="D89" s="446"/>
      <c r="E89" s="446"/>
      <c r="F89" s="250"/>
      <c r="G89" s="417"/>
    </row>
    <row r="90" spans="1:8" x14ac:dyDescent="0.2">
      <c r="A90" s="15" t="s">
        <v>441</v>
      </c>
      <c r="B90" s="249">
        <f>B7</f>
        <v>35082148.060950726</v>
      </c>
      <c r="C90" s="249">
        <f t="shared" ref="C90:F90" si="7">C7</f>
        <v>37598860.07997416</v>
      </c>
      <c r="D90" s="249">
        <f t="shared" si="7"/>
        <v>37598860.07997416</v>
      </c>
      <c r="E90" s="249">
        <f t="shared" si="7"/>
        <v>37598860.07997416</v>
      </c>
      <c r="F90" s="250">
        <f t="shared" si="7"/>
        <v>37598860.07997416</v>
      </c>
      <c r="G90" s="415"/>
    </row>
    <row r="91" spans="1:8" x14ac:dyDescent="0.2">
      <c r="A91" s="15" t="s">
        <v>404</v>
      </c>
      <c r="B91" s="249">
        <f>B8</f>
        <v>2562558.432</v>
      </c>
      <c r="C91" s="249">
        <f t="shared" ref="C91:F91" si="8">C8</f>
        <v>2801306.1120000002</v>
      </c>
      <c r="D91" s="249">
        <f t="shared" si="8"/>
        <v>2801306.1120000002</v>
      </c>
      <c r="E91" s="249">
        <f t="shared" si="8"/>
        <v>2801306.1120000002</v>
      </c>
      <c r="F91" s="250">
        <f t="shared" si="8"/>
        <v>2801306.1120000002</v>
      </c>
      <c r="G91" s="415"/>
    </row>
    <row r="92" spans="1:8" x14ac:dyDescent="0.2">
      <c r="A92" s="15" t="s">
        <v>442</v>
      </c>
      <c r="B92" s="249">
        <f>SUM(B10:B16)</f>
        <v>3898684.9240592429</v>
      </c>
      <c r="C92" s="249">
        <f t="shared" ref="C92:F92" si="9">SUM(C10:C16)</f>
        <v>4157790.3671724554</v>
      </c>
      <c r="D92" s="249">
        <f t="shared" si="9"/>
        <v>4157790.3671724554</v>
      </c>
      <c r="E92" s="249">
        <f t="shared" si="9"/>
        <v>4112119.3486332754</v>
      </c>
      <c r="F92" s="250">
        <f t="shared" si="9"/>
        <v>4112119.3486332754</v>
      </c>
      <c r="G92" s="415"/>
    </row>
    <row r="93" spans="1:8" x14ac:dyDescent="0.2">
      <c r="A93" s="15"/>
      <c r="B93" s="446"/>
      <c r="C93" s="446"/>
      <c r="D93" s="446"/>
      <c r="E93" s="446"/>
      <c r="F93" s="250"/>
      <c r="G93" s="417"/>
    </row>
    <row r="94" spans="1:8" x14ac:dyDescent="0.2">
      <c r="A94" s="13" t="s">
        <v>443</v>
      </c>
      <c r="B94" s="462">
        <f>B17</f>
        <v>41543391.417009972</v>
      </c>
      <c r="C94" s="462">
        <f t="shared" ref="C94:F94" si="10">C17</f>
        <v>44557956.55914662</v>
      </c>
      <c r="D94" s="462">
        <f t="shared" si="10"/>
        <v>44557956.55914662</v>
      </c>
      <c r="E94" s="462">
        <f t="shared" si="10"/>
        <v>44512285.540607445</v>
      </c>
      <c r="F94" s="463">
        <f t="shared" si="10"/>
        <v>44512285.540607445</v>
      </c>
      <c r="G94" s="420"/>
    </row>
    <row r="95" spans="1:8" x14ac:dyDescent="0.2">
      <c r="A95" s="15"/>
      <c r="B95" s="446"/>
      <c r="C95" s="446"/>
      <c r="D95" s="446"/>
      <c r="E95" s="446"/>
      <c r="F95" s="250"/>
      <c r="G95" s="417"/>
    </row>
    <row r="96" spans="1:8" x14ac:dyDescent="0.2">
      <c r="A96" s="15" t="s">
        <v>422</v>
      </c>
      <c r="B96" s="446"/>
      <c r="C96" s="446"/>
      <c r="D96" s="446"/>
      <c r="E96" s="446"/>
      <c r="F96" s="250"/>
      <c r="G96" s="417"/>
    </row>
    <row r="97" spans="1:7" x14ac:dyDescent="0.2">
      <c r="A97" s="17" t="s">
        <v>414</v>
      </c>
      <c r="B97" s="249">
        <f>B41</f>
        <v>534439.5673333205</v>
      </c>
      <c r="C97" s="249"/>
      <c r="D97" s="249"/>
      <c r="E97" s="249"/>
      <c r="F97" s="250"/>
      <c r="G97" s="415"/>
    </row>
    <row r="98" spans="1:7" x14ac:dyDescent="0.2">
      <c r="A98" s="17" t="s">
        <v>424</v>
      </c>
      <c r="B98" s="249">
        <f t="shared" ref="B98:F98" si="11">B42</f>
        <v>67673.032389915286</v>
      </c>
      <c r="C98" s="249">
        <f t="shared" si="11"/>
        <v>-5.070180093505769</v>
      </c>
      <c r="D98" s="249">
        <f t="shared" si="11"/>
        <v>0</v>
      </c>
      <c r="E98" s="249">
        <f t="shared" si="11"/>
        <v>-39.058577539079124</v>
      </c>
      <c r="F98" s="250">
        <f t="shared" si="11"/>
        <v>0</v>
      </c>
      <c r="G98" s="415"/>
    </row>
    <row r="99" spans="1:7" x14ac:dyDescent="0.2">
      <c r="A99" s="15"/>
      <c r="B99" s="446"/>
      <c r="C99" s="446"/>
      <c r="D99" s="446"/>
      <c r="E99" s="446"/>
      <c r="F99" s="250"/>
      <c r="G99" s="417"/>
    </row>
    <row r="100" spans="1:7" x14ac:dyDescent="0.2">
      <c r="A100" s="13" t="s">
        <v>444</v>
      </c>
      <c r="B100" s="462">
        <f>B94-B97-B98</f>
        <v>40941278.817286737</v>
      </c>
      <c r="C100" s="462">
        <f t="shared" ref="C100:F100" si="12">C94-C97-C98</f>
        <v>44557961.629326716</v>
      </c>
      <c r="D100" s="462">
        <f t="shared" si="12"/>
        <v>44557956.55914662</v>
      </c>
      <c r="E100" s="462">
        <f t="shared" si="12"/>
        <v>44512324.599184982</v>
      </c>
      <c r="F100" s="463">
        <f t="shared" si="12"/>
        <v>44512285.540607445</v>
      </c>
      <c r="G100" s="415"/>
    </row>
    <row r="101" spans="1:7" x14ac:dyDescent="0.2">
      <c r="A101" s="17" t="s">
        <v>445</v>
      </c>
      <c r="B101" s="249">
        <f>Apertura!B288</f>
        <v>1202870</v>
      </c>
      <c r="C101" s="249">
        <f>Apertura!$B$290</f>
        <v>1305000</v>
      </c>
      <c r="D101" s="249">
        <f>Apertura!$B$290</f>
        <v>1305000</v>
      </c>
      <c r="E101" s="249">
        <f>Apertura!$B$290</f>
        <v>1305000</v>
      </c>
      <c r="F101" s="250">
        <f>Apertura!$B$290</f>
        <v>1305000</v>
      </c>
      <c r="G101" s="420"/>
    </row>
    <row r="102" spans="1:7" x14ac:dyDescent="0.2">
      <c r="A102" s="15" t="s">
        <v>446</v>
      </c>
      <c r="B102" s="249">
        <f>B44</f>
        <v>34.036328794704943</v>
      </c>
      <c r="C102" s="249">
        <f t="shared" ref="C102:F102" si="13">C44</f>
        <v>34.144031899867215</v>
      </c>
      <c r="D102" s="249">
        <f t="shared" si="13"/>
        <v>34.14402801467174</v>
      </c>
      <c r="E102" s="249">
        <f t="shared" si="13"/>
        <v>34.109060995544048</v>
      </c>
      <c r="F102" s="250">
        <f t="shared" si="13"/>
        <v>34.109031065599574</v>
      </c>
      <c r="G102" s="415"/>
    </row>
    <row r="103" spans="1:7" x14ac:dyDescent="0.2">
      <c r="A103" s="15"/>
      <c r="B103" s="446"/>
      <c r="C103" s="446"/>
      <c r="D103" s="446"/>
      <c r="E103" s="446"/>
      <c r="F103" s="250"/>
      <c r="G103" s="134"/>
    </row>
    <row r="104" spans="1:7" x14ac:dyDescent="0.2">
      <c r="A104" s="15" t="s">
        <v>422</v>
      </c>
      <c r="B104" s="446"/>
      <c r="C104" s="446"/>
      <c r="D104" s="446"/>
      <c r="E104" s="446"/>
      <c r="F104" s="250"/>
      <c r="G104" s="134"/>
    </row>
    <row r="105" spans="1:7" x14ac:dyDescent="0.2">
      <c r="A105" s="15" t="s">
        <v>447</v>
      </c>
      <c r="B105" s="249">
        <v>0</v>
      </c>
      <c r="C105" s="249">
        <f>B106</f>
        <v>488591.49984798947</v>
      </c>
      <c r="D105" s="249">
        <f>C106</f>
        <v>490137.57792259386</v>
      </c>
      <c r="E105" s="249">
        <f>D106</f>
        <v>490137.52215061284</v>
      </c>
      <c r="F105" s="250">
        <f>E106</f>
        <v>489635.57059103483</v>
      </c>
      <c r="G105" s="134"/>
    </row>
    <row r="106" spans="1:7" x14ac:dyDescent="0.2">
      <c r="A106" s="15" t="s">
        <v>448</v>
      </c>
      <c r="B106" s="249">
        <f>($B$101-$B$86)*B102</f>
        <v>488591.49984798947</v>
      </c>
      <c r="C106" s="249">
        <f>($B$101-$B$86)*C102</f>
        <v>490137.57792259386</v>
      </c>
      <c r="D106" s="249">
        <f>($B$101-$B$86)*D102</f>
        <v>490137.52215061284</v>
      </c>
      <c r="E106" s="249">
        <f>($B$101-$B$86)*E102</f>
        <v>489635.57059103483</v>
      </c>
      <c r="F106" s="250">
        <f>($B$101-$B$86)*F102</f>
        <v>489635.1409466819</v>
      </c>
      <c r="G106" s="415"/>
    </row>
    <row r="107" spans="1:7" x14ac:dyDescent="0.2">
      <c r="A107" s="15" t="s">
        <v>449</v>
      </c>
      <c r="B107" s="249">
        <f>($B$101-$B$86)*B102</f>
        <v>488591.49984798947</v>
      </c>
      <c r="C107" s="249">
        <f>C106-C105</f>
        <v>1546.0780746043893</v>
      </c>
      <c r="D107" s="249">
        <f>D106-D105</f>
        <v>-5.5771981016732752E-2</v>
      </c>
      <c r="E107" s="249">
        <f>E106-E105</f>
        <v>-501.95155957801035</v>
      </c>
      <c r="F107" s="250">
        <f>F106-F105</f>
        <v>-0.42964435293106362</v>
      </c>
      <c r="G107" s="415"/>
    </row>
    <row r="108" spans="1:7" x14ac:dyDescent="0.2">
      <c r="A108" s="15"/>
      <c r="B108" s="446"/>
      <c r="C108" s="446"/>
      <c r="D108" s="446"/>
      <c r="E108" s="446"/>
      <c r="F108" s="447"/>
      <c r="G108" s="134"/>
    </row>
    <row r="109" spans="1:7" x14ac:dyDescent="0.2">
      <c r="A109" s="13" t="s">
        <v>450</v>
      </c>
      <c r="B109" s="462">
        <f>B100-B107</f>
        <v>40452687.317438751</v>
      </c>
      <c r="C109" s="462">
        <f>C100-C107</f>
        <v>44556415.551252112</v>
      </c>
      <c r="D109" s="462">
        <f>D100-D107</f>
        <v>44557956.614918604</v>
      </c>
      <c r="E109" s="462">
        <f>E100-E107</f>
        <v>44512826.550744563</v>
      </c>
      <c r="F109" s="463">
        <f>F100-F107</f>
        <v>44512285.970251799</v>
      </c>
      <c r="G109" s="415"/>
    </row>
    <row r="110" spans="1:7" x14ac:dyDescent="0.2">
      <c r="A110" s="15"/>
      <c r="B110" s="62"/>
      <c r="C110" s="62"/>
      <c r="D110" s="62"/>
      <c r="E110" s="62"/>
      <c r="F110" s="63"/>
      <c r="G110" s="417"/>
    </row>
    <row r="111" spans="1:7" x14ac:dyDescent="0.2">
      <c r="A111" s="13" t="s">
        <v>451</v>
      </c>
      <c r="B111" s="462">
        <f>+B61</f>
        <v>3151385.5491237999</v>
      </c>
      <c r="C111" s="462">
        <f t="shared" ref="C111:F111" si="14">+C61</f>
        <v>3420152.7998865703</v>
      </c>
      <c r="D111" s="462">
        <f t="shared" si="14"/>
        <v>3420152.7998865703</v>
      </c>
      <c r="E111" s="462">
        <f t="shared" si="14"/>
        <v>3424593.6391814901</v>
      </c>
      <c r="F111" s="463">
        <f t="shared" si="14"/>
        <v>3424593.6391814901</v>
      </c>
      <c r="G111" s="415"/>
    </row>
    <row r="112" spans="1:7" x14ac:dyDescent="0.2">
      <c r="A112" s="13" t="s">
        <v>452</v>
      </c>
      <c r="B112" s="462">
        <f>+B78</f>
        <v>3605751.5449524</v>
      </c>
      <c r="C112" s="462">
        <f t="shared" ref="C112:F112" si="15">+C78</f>
        <v>3918715.2361782463</v>
      </c>
      <c r="D112" s="462">
        <f t="shared" si="15"/>
        <v>3918715.2361782463</v>
      </c>
      <c r="E112" s="462">
        <f t="shared" si="15"/>
        <v>3923474.3204843495</v>
      </c>
      <c r="F112" s="463">
        <f t="shared" si="15"/>
        <v>3923474.3204843495</v>
      </c>
      <c r="G112" s="420"/>
    </row>
    <row r="113" spans="1:7" x14ac:dyDescent="0.2">
      <c r="A113" s="15"/>
      <c r="B113" s="72"/>
      <c r="C113" s="72"/>
      <c r="D113" s="72"/>
      <c r="E113" s="72"/>
      <c r="F113" s="73"/>
      <c r="G113" s="134"/>
    </row>
    <row r="114" spans="1:7" x14ac:dyDescent="0.2">
      <c r="A114" s="13" t="s">
        <v>453</v>
      </c>
      <c r="B114" s="462">
        <f>B109+B111+B112</f>
        <v>47209824.411514953</v>
      </c>
      <c r="C114" s="462">
        <f t="shared" ref="C114:F114" si="16">C109+C111+C112</f>
        <v>51895283.58731693</v>
      </c>
      <c r="D114" s="462">
        <f t="shared" si="16"/>
        <v>51896824.650983423</v>
      </c>
      <c r="E114" s="462">
        <f t="shared" si="16"/>
        <v>51860894.510410398</v>
      </c>
      <c r="F114" s="463">
        <f t="shared" si="16"/>
        <v>51860353.929917634</v>
      </c>
      <c r="G114" s="420"/>
    </row>
    <row r="115" spans="1:7" x14ac:dyDescent="0.2">
      <c r="A115" s="15"/>
      <c r="B115" s="446"/>
      <c r="C115" s="446"/>
      <c r="D115" s="446"/>
      <c r="E115" s="446"/>
      <c r="F115" s="447"/>
      <c r="G115" s="134"/>
    </row>
    <row r="116" spans="1:7" x14ac:dyDescent="0.2">
      <c r="A116" s="13" t="s">
        <v>454</v>
      </c>
      <c r="B116" s="249">
        <f>B114/B86</f>
        <v>39.721690017807894</v>
      </c>
      <c r="C116" s="249">
        <f t="shared" ref="C116:F116" si="17">C114/C86</f>
        <v>39.766500833193049</v>
      </c>
      <c r="D116" s="249">
        <f t="shared" si="17"/>
        <v>39.76768172489151</v>
      </c>
      <c r="E116" s="249">
        <f t="shared" si="17"/>
        <v>39.740149050122909</v>
      </c>
      <c r="F116" s="250">
        <f t="shared" si="17"/>
        <v>39.739734812197419</v>
      </c>
      <c r="G116" s="420"/>
    </row>
    <row r="117" spans="1:7" x14ac:dyDescent="0.2">
      <c r="A117" s="15"/>
      <c r="B117" s="446"/>
      <c r="C117" s="446"/>
      <c r="D117" s="446"/>
      <c r="E117" s="446"/>
      <c r="F117" s="447"/>
      <c r="G117" s="134"/>
    </row>
    <row r="118" spans="1:7" x14ac:dyDescent="0.2">
      <c r="A118" s="13" t="s">
        <v>455</v>
      </c>
      <c r="B118" s="462">
        <f>B88-B114</f>
        <v>12215925.588485047</v>
      </c>
      <c r="C118" s="462">
        <f t="shared" ref="C118:F118" si="18">C88-C114</f>
        <v>13354716.41268307</v>
      </c>
      <c r="D118" s="462">
        <f t="shared" si="18"/>
        <v>13353175.349016577</v>
      </c>
      <c r="E118" s="462">
        <f t="shared" si="18"/>
        <v>13389105.489589602</v>
      </c>
      <c r="F118" s="463">
        <f t="shared" si="18"/>
        <v>13389646.070082366</v>
      </c>
      <c r="G118" s="420"/>
    </row>
    <row r="119" spans="1:7" x14ac:dyDescent="0.2">
      <c r="A119" s="13" t="s">
        <v>3</v>
      </c>
      <c r="B119" s="716">
        <f>+IF(B118&gt;0,B118*InfoInicial!$B$5,0)</f>
        <v>488637.02353940188</v>
      </c>
      <c r="C119" s="716">
        <f>+IF(C118&gt;0,C118*InfoInicial!$B$5,0)</f>
        <v>534188.6565073228</v>
      </c>
      <c r="D119" s="716">
        <f>+IF(D118&gt;0,D118*InfoInicial!$B$5,0)</f>
        <v>534127.01396066311</v>
      </c>
      <c r="E119" s="716">
        <f>+IF(E118&gt;0,E118*InfoInicial!$B$5,0)</f>
        <v>535564.21958358411</v>
      </c>
      <c r="F119" s="717">
        <f>+IF(F118&gt;0,F118*InfoInicial!$B$5,0)</f>
        <v>535585.84280329465</v>
      </c>
      <c r="G119" s="420"/>
    </row>
    <row r="120" spans="1:7" x14ac:dyDescent="0.2">
      <c r="A120" s="30" t="s">
        <v>456</v>
      </c>
      <c r="B120" s="249">
        <f>(B118-B119)*InfoInicial!$B$4</f>
        <v>4104550.9977309755</v>
      </c>
      <c r="C120" s="249">
        <f>(C118-C119)*InfoInicial!$B$4</f>
        <v>4487184.7146615116</v>
      </c>
      <c r="D120" s="249">
        <f>(D118-D119)*InfoInicial!$B$4</f>
        <v>4486666.9172695698</v>
      </c>
      <c r="E120" s="249">
        <f>(E118-E119)*InfoInicial!$B$4</f>
        <v>4498739.4445021059</v>
      </c>
      <c r="F120" s="250">
        <f>(F118-F119)*InfoInicial!$B$4</f>
        <v>4498921.0795476753</v>
      </c>
      <c r="G120" s="420"/>
    </row>
    <row r="121" spans="1:7" x14ac:dyDescent="0.2">
      <c r="A121" s="13"/>
      <c r="B121" s="72"/>
      <c r="C121" s="72"/>
      <c r="D121" s="72"/>
      <c r="E121" s="72"/>
      <c r="F121" s="73"/>
      <c r="G121" s="134"/>
    </row>
    <row r="122" spans="1:7" x14ac:dyDescent="0.2">
      <c r="A122" s="30" t="s">
        <v>457</v>
      </c>
      <c r="B122" s="462">
        <f>B118-B119-B120</f>
        <v>7622737.5672146697</v>
      </c>
      <c r="C122" s="462">
        <f t="shared" ref="C122:F122" si="19">C118-C119-C120</f>
        <v>8333343.0415142355</v>
      </c>
      <c r="D122" s="462">
        <f t="shared" si="19"/>
        <v>8332381.417786344</v>
      </c>
      <c r="E122" s="462">
        <f t="shared" si="19"/>
        <v>8354801.8255039118</v>
      </c>
      <c r="F122" s="463">
        <f t="shared" si="19"/>
        <v>8355139.1477313973</v>
      </c>
      <c r="G122" s="420"/>
    </row>
    <row r="123" spans="1:7" x14ac:dyDescent="0.2">
      <c r="A123" s="13" t="s">
        <v>458</v>
      </c>
      <c r="B123" s="739">
        <f>B122/B88</f>
        <v>0.12827330857775746</v>
      </c>
      <c r="C123" s="739">
        <f t="shared" ref="C123:F123" si="20">C122/C88</f>
        <v>0.12771406960175075</v>
      </c>
      <c r="D123" s="739">
        <f t="shared" si="20"/>
        <v>0.12769933207335393</v>
      </c>
      <c r="E123" s="739">
        <f t="shared" si="20"/>
        <v>0.12804293985446608</v>
      </c>
      <c r="F123" s="740">
        <f t="shared" si="20"/>
        <v>0.12804810954377621</v>
      </c>
      <c r="G123" s="421"/>
    </row>
    <row r="124" spans="1:7" x14ac:dyDescent="0.2">
      <c r="A124" s="13"/>
      <c r="B124" s="76"/>
      <c r="C124" s="76"/>
      <c r="D124" s="76"/>
      <c r="E124" s="76"/>
      <c r="F124" s="77"/>
      <c r="G124" s="136"/>
    </row>
    <row r="125" spans="1:7" x14ac:dyDescent="0.2">
      <c r="A125" s="13" t="s">
        <v>459</v>
      </c>
      <c r="B125" s="74"/>
      <c r="C125" s="74"/>
      <c r="D125" s="74"/>
      <c r="E125" s="74"/>
      <c r="F125" s="75"/>
      <c r="G125" s="421"/>
    </row>
    <row r="126" spans="1:7" x14ac:dyDescent="0.2">
      <c r="A126" s="30" t="s">
        <v>460</v>
      </c>
      <c r="B126" s="511">
        <f>B122</f>
        <v>7622737.5672146697</v>
      </c>
      <c r="C126" s="511">
        <f t="shared" ref="C126:F126" si="21">C122</f>
        <v>8333343.0415142355</v>
      </c>
      <c r="D126" s="511">
        <f t="shared" si="21"/>
        <v>8332381.417786344</v>
      </c>
      <c r="E126" s="511">
        <f t="shared" si="21"/>
        <v>8354801.8255039118</v>
      </c>
      <c r="F126" s="251">
        <f t="shared" si="21"/>
        <v>8355139.1477313973</v>
      </c>
      <c r="G126" s="421"/>
    </row>
    <row r="127" spans="1:7" x14ac:dyDescent="0.2">
      <c r="A127" s="13" t="s">
        <v>461</v>
      </c>
      <c r="B127" s="511">
        <f>B10+B53+B70</f>
        <v>1092239.8867066666</v>
      </c>
      <c r="C127" s="511">
        <f t="shared" ref="C127:F127" si="22">C10+C53+C70</f>
        <v>1092239.8867066666</v>
      </c>
      <c r="D127" s="511">
        <f t="shared" si="22"/>
        <v>1092239.8867066666</v>
      </c>
      <c r="E127" s="511">
        <f t="shared" si="22"/>
        <v>1035883.5533733333</v>
      </c>
      <c r="F127" s="251">
        <f t="shared" si="22"/>
        <v>1035883.5533733333</v>
      </c>
      <c r="G127" s="421"/>
    </row>
    <row r="128" spans="1:7" x14ac:dyDescent="0.2">
      <c r="A128" s="22" t="s">
        <v>185</v>
      </c>
      <c r="B128" s="718">
        <f>B126+B127</f>
        <v>8714977.4539213367</v>
      </c>
      <c r="C128" s="718">
        <f t="shared" ref="C128:F128" si="23">C126+C127</f>
        <v>9425582.9282209016</v>
      </c>
      <c r="D128" s="718">
        <f t="shared" si="23"/>
        <v>9424621.30449301</v>
      </c>
      <c r="E128" s="718">
        <f t="shared" si="23"/>
        <v>9390685.3788772449</v>
      </c>
      <c r="F128" s="719">
        <f t="shared" si="23"/>
        <v>9391022.7011047304</v>
      </c>
      <c r="G128" s="421"/>
    </row>
    <row r="129" spans="1:7" x14ac:dyDescent="0.2">
      <c r="A129" s="13"/>
      <c r="B129" s="18"/>
      <c r="C129" s="18"/>
      <c r="D129" s="18"/>
      <c r="E129" s="18"/>
      <c r="F129" s="78"/>
      <c r="G129" s="422"/>
    </row>
    <row r="130" spans="1:7" x14ac:dyDescent="0.2">
      <c r="A130" s="13" t="s">
        <v>462</v>
      </c>
      <c r="B130" s="511">
        <f>B17*B19</f>
        <v>3170756.8249939252</v>
      </c>
      <c r="C130" s="511">
        <f t="shared" ref="C130:F130" si="24">C17*C19</f>
        <v>3372409.3659387697</v>
      </c>
      <c r="D130" s="511">
        <f t="shared" si="24"/>
        <v>3372409.3659387697</v>
      </c>
      <c r="E130" s="511">
        <f t="shared" si="24"/>
        <v>3314722.8087644898</v>
      </c>
      <c r="F130" s="251">
        <f t="shared" si="24"/>
        <v>3314722.8087644898</v>
      </c>
      <c r="G130" s="416"/>
    </row>
    <row r="131" spans="1:7" x14ac:dyDescent="0.2">
      <c r="A131" s="30" t="s">
        <v>463</v>
      </c>
      <c r="B131" s="511">
        <f>B17*B20*(B86/B101)</f>
        <v>37914697.184342407</v>
      </c>
      <c r="C131" s="511">
        <f t="shared" ref="C131:F131" si="25">C17*C20*(C86/C101)</f>
        <v>41185547.193207845</v>
      </c>
      <c r="D131" s="511">
        <f t="shared" si="25"/>
        <v>41185547.193207845</v>
      </c>
      <c r="E131" s="511">
        <f t="shared" si="25"/>
        <v>41197562.73184295</v>
      </c>
      <c r="F131" s="251">
        <f t="shared" si="25"/>
        <v>41197562.73184295</v>
      </c>
      <c r="G131" s="416"/>
    </row>
    <row r="132" spans="1:7" x14ac:dyDescent="0.2">
      <c r="A132" s="13" t="s">
        <v>464</v>
      </c>
      <c r="B132" s="511">
        <f>B$61*B63</f>
        <v>3151385.5491237999</v>
      </c>
      <c r="C132" s="511">
        <f t="shared" ref="C132:F132" si="26">C$61*C63</f>
        <v>3420152.7998865703</v>
      </c>
      <c r="D132" s="511">
        <f t="shared" si="26"/>
        <v>3420152.7998865703</v>
      </c>
      <c r="E132" s="511">
        <f t="shared" si="26"/>
        <v>3424593.6391814901</v>
      </c>
      <c r="F132" s="251">
        <f t="shared" si="26"/>
        <v>3424593.6391814901</v>
      </c>
      <c r="G132" s="416"/>
    </row>
    <row r="133" spans="1:7" x14ac:dyDescent="0.2">
      <c r="A133" s="30" t="s">
        <v>465</v>
      </c>
      <c r="B133" s="511">
        <f>B$61*B64</f>
        <v>0</v>
      </c>
      <c r="C133" s="511">
        <f t="shared" ref="C133:F133" si="27">C$61*C64</f>
        <v>0</v>
      </c>
      <c r="D133" s="511">
        <f t="shared" si="27"/>
        <v>0</v>
      </c>
      <c r="E133" s="511">
        <f t="shared" si="27"/>
        <v>0</v>
      </c>
      <c r="F133" s="251">
        <f t="shared" si="27"/>
        <v>0</v>
      </c>
      <c r="G133" s="416"/>
    </row>
    <row r="134" spans="1:7" x14ac:dyDescent="0.2">
      <c r="A134" s="13" t="s">
        <v>466</v>
      </c>
      <c r="B134" s="511">
        <f>B78*B80</f>
        <v>1822979.0449524</v>
      </c>
      <c r="C134" s="511">
        <f t="shared" ref="C134:F134" si="28">C78*C80</f>
        <v>1940215.2361782466</v>
      </c>
      <c r="D134" s="511">
        <f t="shared" si="28"/>
        <v>1940215.2361782466</v>
      </c>
      <c r="E134" s="511">
        <f t="shared" si="28"/>
        <v>1944974.3204843495</v>
      </c>
      <c r="F134" s="251">
        <f t="shared" si="28"/>
        <v>1944974.3204843495</v>
      </c>
      <c r="G134" s="416"/>
    </row>
    <row r="135" spans="1:7" x14ac:dyDescent="0.2">
      <c r="A135" s="30" t="s">
        <v>467</v>
      </c>
      <c r="B135" s="511">
        <f>B78*B81</f>
        <v>1782772.5</v>
      </c>
      <c r="C135" s="511">
        <f t="shared" ref="C135:F135" si="29">C78*C81</f>
        <v>1978499.9999999995</v>
      </c>
      <c r="D135" s="511">
        <f t="shared" si="29"/>
        <v>1978499.9999999995</v>
      </c>
      <c r="E135" s="511">
        <f t="shared" si="29"/>
        <v>1978500.0000000002</v>
      </c>
      <c r="F135" s="251">
        <f t="shared" si="29"/>
        <v>1978500.0000000002</v>
      </c>
      <c r="G135" s="416"/>
    </row>
    <row r="136" spans="1:7" x14ac:dyDescent="0.2">
      <c r="A136" s="13" t="s">
        <v>468</v>
      </c>
      <c r="B136" s="718">
        <f>B88-B131-B133-B135</f>
        <v>19728280.315657593</v>
      </c>
      <c r="C136" s="718">
        <f t="shared" ref="C136:F136" si="30">C88-C131-C133-C135</f>
        <v>22085952.806792155</v>
      </c>
      <c r="D136" s="718">
        <f t="shared" si="30"/>
        <v>22085952.806792155</v>
      </c>
      <c r="E136" s="718">
        <f t="shared" si="30"/>
        <v>22073937.26815705</v>
      </c>
      <c r="F136" s="719">
        <f t="shared" si="30"/>
        <v>22073937.26815705</v>
      </c>
      <c r="G136" s="416"/>
    </row>
    <row r="137" spans="1:7" x14ac:dyDescent="0.2">
      <c r="A137" s="47" t="s">
        <v>469</v>
      </c>
      <c r="B137" s="726">
        <f>B160</f>
        <v>490696.54468073434</v>
      </c>
      <c r="C137" s="726">
        <f>($C$130+$C$132+$C$134)/($F$87-(($C$131+$C$133+$C$135)/$C$86))</f>
        <v>515996.50734153308</v>
      </c>
      <c r="D137" s="726">
        <f>($D$130+$D$132+$D$134)/($F$87-(($D$131+$D$133+$D$135)/$D$86))</f>
        <v>515996.50734153308</v>
      </c>
      <c r="E137" s="726">
        <f>($E$130+$E$132+$E$134)/($F$87-(($E$131+$E$133+$E$135)/$E$86))</f>
        <v>513410.87523837888</v>
      </c>
      <c r="F137" s="727">
        <f>B181</f>
        <v>513410.87523837888</v>
      </c>
      <c r="G137" s="416"/>
    </row>
    <row r="138" spans="1:7" ht="13.5" thickBot="1" x14ac:dyDescent="0.25">
      <c r="A138" s="22" t="s">
        <v>470</v>
      </c>
      <c r="B138" s="728">
        <f>+(B130+B132+B134)/B136</f>
        <v>0.41286525174754579</v>
      </c>
      <c r="C138" s="728">
        <f t="shared" ref="C138:F138" si="31">+(C130+C132+C134)/C136</f>
        <v>0.39539962248393334</v>
      </c>
      <c r="D138" s="728">
        <f t="shared" si="31"/>
        <v>0.39539962248393334</v>
      </c>
      <c r="E138" s="728">
        <f t="shared" si="31"/>
        <v>0.39341829520182287</v>
      </c>
      <c r="F138" s="729">
        <f t="shared" si="31"/>
        <v>0.39341829520182287</v>
      </c>
      <c r="G138" s="416"/>
    </row>
    <row r="139" spans="1:7" ht="16.5" thickTop="1" x14ac:dyDescent="0.25">
      <c r="A139" s="79" t="s">
        <v>471</v>
      </c>
    </row>
    <row r="140" spans="1:7" ht="13.5" thickBot="1" x14ac:dyDescent="0.25"/>
    <row r="141" spans="1:7" ht="17.25" thickBot="1" x14ac:dyDescent="0.3">
      <c r="A141" s="780" t="s">
        <v>194</v>
      </c>
      <c r="B141" s="781"/>
      <c r="C141" s="781"/>
      <c r="D141" s="781"/>
      <c r="E141" s="782"/>
    </row>
    <row r="142" spans="1:7" ht="15" x14ac:dyDescent="0.25">
      <c r="A142" s="512" t="s">
        <v>53</v>
      </c>
      <c r="B142" s="513" t="s">
        <v>472</v>
      </c>
      <c r="C142" s="513" t="s">
        <v>473</v>
      </c>
      <c r="D142" s="513" t="s">
        <v>474</v>
      </c>
      <c r="E142" s="514" t="s">
        <v>475</v>
      </c>
    </row>
    <row r="143" spans="1:7" x14ac:dyDescent="0.2">
      <c r="A143" s="623">
        <v>0</v>
      </c>
      <c r="B143" s="624">
        <f>$B$130+$B$132+$B$134</f>
        <v>8145121.4190701246</v>
      </c>
      <c r="C143" s="625">
        <f>A143*($B$131+$B$133+$B$135)/$B$86</f>
        <v>0</v>
      </c>
      <c r="D143" s="624">
        <f>B143+C143</f>
        <v>8145121.4190701246</v>
      </c>
      <c r="E143" s="626">
        <f t="shared" ref="E143:E159" si="32">A143*$B$87</f>
        <v>0</v>
      </c>
    </row>
    <row r="144" spans="1:7" x14ac:dyDescent="0.2">
      <c r="A144" s="627">
        <v>100000</v>
      </c>
      <c r="B144" s="624">
        <f>$B$130+$B$132+$B$134</f>
        <v>8145121.4190701246</v>
      </c>
      <c r="C144" s="624">
        <f t="shared" ref="C144:C159" si="33">A144*($B$131+$B$133+$B$135)/$B$86</f>
        <v>3340089.9176150411</v>
      </c>
      <c r="D144" s="624">
        <f>B144+C144</f>
        <v>11485211.336685166</v>
      </c>
      <c r="E144" s="628">
        <f t="shared" si="32"/>
        <v>5000000</v>
      </c>
    </row>
    <row r="145" spans="1:5" x14ac:dyDescent="0.2">
      <c r="A145" s="627">
        <v>200000</v>
      </c>
      <c r="B145" s="624">
        <f t="shared" ref="B145:B159" si="34">$B$130+$B$132+$B$134</f>
        <v>8145121.4190701246</v>
      </c>
      <c r="C145" s="624">
        <f t="shared" si="33"/>
        <v>6680179.8352300823</v>
      </c>
      <c r="D145" s="624">
        <f t="shared" ref="D145:D159" si="35">B145+C145</f>
        <v>14825301.254300207</v>
      </c>
      <c r="E145" s="628">
        <f t="shared" si="32"/>
        <v>10000000</v>
      </c>
    </row>
    <row r="146" spans="1:5" x14ac:dyDescent="0.2">
      <c r="A146" s="627">
        <v>300000</v>
      </c>
      <c r="B146" s="624">
        <f t="shared" si="34"/>
        <v>8145121.4190701246</v>
      </c>
      <c r="C146" s="624">
        <f t="shared" si="33"/>
        <v>10020269.752845123</v>
      </c>
      <c r="D146" s="624">
        <f t="shared" si="35"/>
        <v>18165391.171915248</v>
      </c>
      <c r="E146" s="628">
        <f t="shared" si="32"/>
        <v>15000000</v>
      </c>
    </row>
    <row r="147" spans="1:5" x14ac:dyDescent="0.2">
      <c r="A147" s="627">
        <v>400000</v>
      </c>
      <c r="B147" s="624">
        <f t="shared" si="34"/>
        <v>8145121.4190701246</v>
      </c>
      <c r="C147" s="624">
        <f t="shared" si="33"/>
        <v>13360359.670460165</v>
      </c>
      <c r="D147" s="624">
        <f t="shared" si="35"/>
        <v>21505481.089530289</v>
      </c>
      <c r="E147" s="628">
        <f t="shared" si="32"/>
        <v>20000000</v>
      </c>
    </row>
    <row r="148" spans="1:5" x14ac:dyDescent="0.2">
      <c r="A148" s="627">
        <v>500000</v>
      </c>
      <c r="B148" s="624">
        <f t="shared" si="34"/>
        <v>8145121.4190701246</v>
      </c>
      <c r="C148" s="624">
        <f t="shared" si="33"/>
        <v>16700449.588075206</v>
      </c>
      <c r="D148" s="624">
        <f t="shared" si="35"/>
        <v>24845571.00714533</v>
      </c>
      <c r="E148" s="628">
        <f t="shared" si="32"/>
        <v>25000000</v>
      </c>
    </row>
    <row r="149" spans="1:5" x14ac:dyDescent="0.2">
      <c r="A149" s="627">
        <v>600000</v>
      </c>
      <c r="B149" s="624">
        <f t="shared" si="34"/>
        <v>8145121.4190701246</v>
      </c>
      <c r="C149" s="624">
        <f t="shared" si="33"/>
        <v>20040539.505690247</v>
      </c>
      <c r="D149" s="624">
        <f t="shared" si="35"/>
        <v>28185660.924760371</v>
      </c>
      <c r="E149" s="628">
        <f t="shared" si="32"/>
        <v>30000000</v>
      </c>
    </row>
    <row r="150" spans="1:5" x14ac:dyDescent="0.2">
      <c r="A150" s="627">
        <v>700000</v>
      </c>
      <c r="B150" s="624">
        <f t="shared" si="34"/>
        <v>8145121.4190701246</v>
      </c>
      <c r="C150" s="624">
        <f t="shared" si="33"/>
        <v>23380629.423305288</v>
      </c>
      <c r="D150" s="624">
        <f t="shared" si="35"/>
        <v>31525750.842375413</v>
      </c>
      <c r="E150" s="628">
        <f t="shared" si="32"/>
        <v>35000000</v>
      </c>
    </row>
    <row r="151" spans="1:5" x14ac:dyDescent="0.2">
      <c r="A151" s="627">
        <v>800000</v>
      </c>
      <c r="B151" s="624">
        <f t="shared" si="34"/>
        <v>8145121.4190701246</v>
      </c>
      <c r="C151" s="624">
        <f t="shared" si="33"/>
        <v>26720719.340920329</v>
      </c>
      <c r="D151" s="624">
        <f t="shared" si="35"/>
        <v>34865840.759990454</v>
      </c>
      <c r="E151" s="628">
        <f t="shared" si="32"/>
        <v>40000000</v>
      </c>
    </row>
    <row r="152" spans="1:5" x14ac:dyDescent="0.2">
      <c r="A152" s="627">
        <v>900000</v>
      </c>
      <c r="B152" s="624">
        <f t="shared" si="34"/>
        <v>8145121.4190701246</v>
      </c>
      <c r="C152" s="624">
        <f t="shared" si="33"/>
        <v>30060809.25853537</v>
      </c>
      <c r="D152" s="624">
        <f t="shared" si="35"/>
        <v>38205930.677605495</v>
      </c>
      <c r="E152" s="628">
        <f t="shared" si="32"/>
        <v>45000000</v>
      </c>
    </row>
    <row r="153" spans="1:5" x14ac:dyDescent="0.2">
      <c r="A153" s="627">
        <v>1000000</v>
      </c>
      <c r="B153" s="624">
        <f t="shared" si="34"/>
        <v>8145121.4190701246</v>
      </c>
      <c r="C153" s="624">
        <f t="shared" si="33"/>
        <v>33400899.176150411</v>
      </c>
      <c r="D153" s="624">
        <f t="shared" si="35"/>
        <v>41546020.595220536</v>
      </c>
      <c r="E153" s="628">
        <f t="shared" si="32"/>
        <v>50000000</v>
      </c>
    </row>
    <row r="154" spans="1:5" x14ac:dyDescent="0.2">
      <c r="A154" s="627">
        <v>1100000</v>
      </c>
      <c r="B154" s="624">
        <f t="shared" si="34"/>
        <v>8145121.4190701246</v>
      </c>
      <c r="C154" s="624">
        <f t="shared" si="33"/>
        <v>36740989.093765453</v>
      </c>
      <c r="D154" s="624">
        <f t="shared" si="35"/>
        <v>44886110.512835577</v>
      </c>
      <c r="E154" s="628">
        <f t="shared" si="32"/>
        <v>55000000</v>
      </c>
    </row>
    <row r="155" spans="1:5" x14ac:dyDescent="0.2">
      <c r="A155" s="627">
        <v>1200000</v>
      </c>
      <c r="B155" s="624">
        <f t="shared" si="34"/>
        <v>8145121.4190701246</v>
      </c>
      <c r="C155" s="624">
        <f t="shared" si="33"/>
        <v>40081079.011380494</v>
      </c>
      <c r="D155" s="624">
        <f t="shared" si="35"/>
        <v>48226200.430450618</v>
      </c>
      <c r="E155" s="628">
        <f t="shared" si="32"/>
        <v>60000000</v>
      </c>
    </row>
    <row r="156" spans="1:5" x14ac:dyDescent="0.2">
      <c r="A156" s="627">
        <v>1300000</v>
      </c>
      <c r="B156" s="624">
        <f t="shared" si="34"/>
        <v>8145121.4190701246</v>
      </c>
      <c r="C156" s="624">
        <f t="shared" si="33"/>
        <v>43421168.928995535</v>
      </c>
      <c r="D156" s="624">
        <f t="shared" si="35"/>
        <v>51566290.348065659</v>
      </c>
      <c r="E156" s="628">
        <f t="shared" si="32"/>
        <v>65000000</v>
      </c>
    </row>
    <row r="157" spans="1:5" x14ac:dyDescent="0.2">
      <c r="A157" s="627">
        <v>1400000</v>
      </c>
      <c r="B157" s="624">
        <f t="shared" si="34"/>
        <v>8145121.4190701246</v>
      </c>
      <c r="C157" s="624">
        <f t="shared" si="33"/>
        <v>46761258.846610576</v>
      </c>
      <c r="D157" s="624">
        <f t="shared" si="35"/>
        <v>54906380.265680701</v>
      </c>
      <c r="E157" s="628">
        <f t="shared" si="32"/>
        <v>70000000</v>
      </c>
    </row>
    <row r="158" spans="1:5" x14ac:dyDescent="0.2">
      <c r="A158" s="627">
        <v>1500000</v>
      </c>
      <c r="B158" s="624">
        <f t="shared" si="34"/>
        <v>8145121.4190701246</v>
      </c>
      <c r="C158" s="624">
        <f t="shared" si="33"/>
        <v>50101348.764225617</v>
      </c>
      <c r="D158" s="624">
        <f t="shared" si="35"/>
        <v>58246470.183295742</v>
      </c>
      <c r="E158" s="628">
        <f t="shared" si="32"/>
        <v>75000000</v>
      </c>
    </row>
    <row r="159" spans="1:5" ht="13.5" thickBot="1" x14ac:dyDescent="0.25">
      <c r="A159" s="629">
        <v>1600000</v>
      </c>
      <c r="B159" s="630">
        <f t="shared" si="34"/>
        <v>8145121.4190701246</v>
      </c>
      <c r="C159" s="630">
        <f t="shared" si="33"/>
        <v>53441438.681840658</v>
      </c>
      <c r="D159" s="630">
        <f t="shared" si="35"/>
        <v>61586560.100910783</v>
      </c>
      <c r="E159" s="631">
        <f t="shared" si="32"/>
        <v>80000000</v>
      </c>
    </row>
    <row r="160" spans="1:5" ht="13.5" thickBot="1" x14ac:dyDescent="0.25">
      <c r="A160" s="515" t="s">
        <v>476</v>
      </c>
      <c r="B160" s="783">
        <f>($B$130+$B$132+$B$134)/(B136/$B$86)</f>
        <v>490696.54468073434</v>
      </c>
      <c r="C160" s="784"/>
      <c r="D160" s="517" t="s">
        <v>477</v>
      </c>
      <c r="E160" s="518"/>
    </row>
    <row r="161" spans="1:5" ht="13.5" thickBot="1" x14ac:dyDescent="0.25"/>
    <row r="162" spans="1:5" ht="17.25" thickBot="1" x14ac:dyDescent="0.3">
      <c r="A162" s="780" t="s">
        <v>402</v>
      </c>
      <c r="B162" s="781" t="s">
        <v>402</v>
      </c>
      <c r="C162" s="781"/>
      <c r="D162" s="781"/>
      <c r="E162" s="782"/>
    </row>
    <row r="163" spans="1:5" ht="15" x14ac:dyDescent="0.25">
      <c r="A163" s="512" t="s">
        <v>53</v>
      </c>
      <c r="B163" s="513" t="s">
        <v>472</v>
      </c>
      <c r="C163" s="513" t="s">
        <v>473</v>
      </c>
      <c r="D163" s="513" t="s">
        <v>474</v>
      </c>
      <c r="E163" s="514" t="s">
        <v>475</v>
      </c>
    </row>
    <row r="164" spans="1:5" x14ac:dyDescent="0.2">
      <c r="A164" s="623">
        <v>0</v>
      </c>
      <c r="B164" s="632">
        <f>$F$130+$F$132+$F$134</f>
        <v>8684290.7684303299</v>
      </c>
      <c r="C164" s="630">
        <f>A164*($F$131+$F$133+$F$135)/$F$86</f>
        <v>0</v>
      </c>
      <c r="D164" s="624">
        <f>B164+C164</f>
        <v>8684290.7684303299</v>
      </c>
      <c r="E164" s="633">
        <f>A164*$F$87</f>
        <v>0</v>
      </c>
    </row>
    <row r="165" spans="1:5" x14ac:dyDescent="0.2">
      <c r="A165" s="627">
        <v>100000</v>
      </c>
      <c r="B165" s="624">
        <f t="shared" ref="B165:B180" si="36">$F$130+$F$132+$F$134</f>
        <v>8684290.7684303299</v>
      </c>
      <c r="C165" s="624">
        <f t="shared" ref="C165:C180" si="37">A165*($F$131+$F$133+$F$135)/$F$86</f>
        <v>3308510.5541642108</v>
      </c>
      <c r="D165" s="624">
        <f t="shared" ref="D165:D180" si="38">B165+C165</f>
        <v>11992801.32259454</v>
      </c>
      <c r="E165" s="628">
        <f t="shared" ref="E165:E180" si="39">A165*$F$87</f>
        <v>5000000</v>
      </c>
    </row>
    <row r="166" spans="1:5" x14ac:dyDescent="0.2">
      <c r="A166" s="627">
        <v>200000</v>
      </c>
      <c r="B166" s="624">
        <f t="shared" si="36"/>
        <v>8684290.7684303299</v>
      </c>
      <c r="C166" s="624">
        <f t="shared" si="37"/>
        <v>6617021.1083284216</v>
      </c>
      <c r="D166" s="624">
        <f t="shared" si="38"/>
        <v>15301311.876758751</v>
      </c>
      <c r="E166" s="628">
        <f t="shared" si="39"/>
        <v>10000000</v>
      </c>
    </row>
    <row r="167" spans="1:5" x14ac:dyDescent="0.2">
      <c r="A167" s="627">
        <v>300000</v>
      </c>
      <c r="B167" s="624">
        <f t="shared" si="36"/>
        <v>8684290.7684303299</v>
      </c>
      <c r="C167" s="624">
        <f t="shared" si="37"/>
        <v>9925531.6624926329</v>
      </c>
      <c r="D167" s="624">
        <f t="shared" si="38"/>
        <v>18609822.430922963</v>
      </c>
      <c r="E167" s="628">
        <f t="shared" si="39"/>
        <v>15000000</v>
      </c>
    </row>
    <row r="168" spans="1:5" x14ac:dyDescent="0.2">
      <c r="A168" s="627">
        <v>400000</v>
      </c>
      <c r="B168" s="624">
        <f t="shared" si="36"/>
        <v>8684290.7684303299</v>
      </c>
      <c r="C168" s="624">
        <f t="shared" si="37"/>
        <v>13234042.216656843</v>
      </c>
      <c r="D168" s="624">
        <f t="shared" si="38"/>
        <v>21918332.985087171</v>
      </c>
      <c r="E168" s="628">
        <f t="shared" si="39"/>
        <v>20000000</v>
      </c>
    </row>
    <row r="169" spans="1:5" x14ac:dyDescent="0.2">
      <c r="A169" s="627">
        <v>500000</v>
      </c>
      <c r="B169" s="624">
        <f t="shared" si="36"/>
        <v>8684290.7684303299</v>
      </c>
      <c r="C169" s="624">
        <f t="shared" si="37"/>
        <v>16542552.770821055</v>
      </c>
      <c r="D169" s="624">
        <f t="shared" si="38"/>
        <v>25226843.539251387</v>
      </c>
      <c r="E169" s="628">
        <f t="shared" si="39"/>
        <v>25000000</v>
      </c>
    </row>
    <row r="170" spans="1:5" x14ac:dyDescent="0.2">
      <c r="A170" s="627">
        <v>600000</v>
      </c>
      <c r="B170" s="624">
        <f t="shared" si="36"/>
        <v>8684290.7684303299</v>
      </c>
      <c r="C170" s="624">
        <f t="shared" si="37"/>
        <v>19851063.324985266</v>
      </c>
      <c r="D170" s="624">
        <f t="shared" si="38"/>
        <v>28535354.093415596</v>
      </c>
      <c r="E170" s="628">
        <f t="shared" si="39"/>
        <v>30000000</v>
      </c>
    </row>
    <row r="171" spans="1:5" x14ac:dyDescent="0.2">
      <c r="A171" s="627">
        <v>700000</v>
      </c>
      <c r="B171" s="624">
        <f t="shared" si="36"/>
        <v>8684290.7684303299</v>
      </c>
      <c r="C171" s="624">
        <f t="shared" si="37"/>
        <v>23159573.879149478</v>
      </c>
      <c r="D171" s="624">
        <f t="shared" si="38"/>
        <v>31843864.647579808</v>
      </c>
      <c r="E171" s="628">
        <f t="shared" si="39"/>
        <v>35000000</v>
      </c>
    </row>
    <row r="172" spans="1:5" x14ac:dyDescent="0.2">
      <c r="A172" s="627">
        <v>800000</v>
      </c>
      <c r="B172" s="624">
        <f t="shared" si="36"/>
        <v>8684290.7684303299</v>
      </c>
      <c r="C172" s="624">
        <f t="shared" si="37"/>
        <v>26468084.433313686</v>
      </c>
      <c r="D172" s="624">
        <f t="shared" si="38"/>
        <v>35152375.20174402</v>
      </c>
      <c r="E172" s="628">
        <f t="shared" si="39"/>
        <v>40000000</v>
      </c>
    </row>
    <row r="173" spans="1:5" x14ac:dyDescent="0.2">
      <c r="A173" s="627">
        <v>900000</v>
      </c>
      <c r="B173" s="624">
        <f t="shared" si="36"/>
        <v>8684290.7684303299</v>
      </c>
      <c r="C173" s="624">
        <f t="shared" si="37"/>
        <v>29776594.987477899</v>
      </c>
      <c r="D173" s="624">
        <f t="shared" si="38"/>
        <v>38460885.755908228</v>
      </c>
      <c r="E173" s="628">
        <f t="shared" si="39"/>
        <v>45000000</v>
      </c>
    </row>
    <row r="174" spans="1:5" x14ac:dyDescent="0.2">
      <c r="A174" s="627">
        <v>1000000</v>
      </c>
      <c r="B174" s="624">
        <f t="shared" si="36"/>
        <v>8684290.7684303299</v>
      </c>
      <c r="C174" s="624">
        <f t="shared" si="37"/>
        <v>33085105.541642111</v>
      </c>
      <c r="D174" s="624">
        <f t="shared" si="38"/>
        <v>41769396.310072437</v>
      </c>
      <c r="E174" s="628">
        <f t="shared" si="39"/>
        <v>50000000</v>
      </c>
    </row>
    <row r="175" spans="1:5" x14ac:dyDescent="0.2">
      <c r="A175" s="627">
        <v>1100000</v>
      </c>
      <c r="B175" s="624">
        <f t="shared" si="36"/>
        <v>8684290.7684303299</v>
      </c>
      <c r="C175" s="624">
        <f t="shared" si="37"/>
        <v>36393616.095806316</v>
      </c>
      <c r="D175" s="624">
        <f t="shared" si="38"/>
        <v>45077906.864236645</v>
      </c>
      <c r="E175" s="628">
        <f t="shared" si="39"/>
        <v>55000000</v>
      </c>
    </row>
    <row r="176" spans="1:5" x14ac:dyDescent="0.2">
      <c r="A176" s="627">
        <v>1200000</v>
      </c>
      <c r="B176" s="624">
        <f t="shared" si="36"/>
        <v>8684290.7684303299</v>
      </c>
      <c r="C176" s="624">
        <f t="shared" si="37"/>
        <v>39702126.649970531</v>
      </c>
      <c r="D176" s="624">
        <f t="shared" si="38"/>
        <v>48386417.418400861</v>
      </c>
      <c r="E176" s="628">
        <f t="shared" si="39"/>
        <v>60000000</v>
      </c>
    </row>
    <row r="177" spans="1:5" x14ac:dyDescent="0.2">
      <c r="A177" s="627">
        <v>1300000</v>
      </c>
      <c r="B177" s="624">
        <f t="shared" si="36"/>
        <v>8684290.7684303299</v>
      </c>
      <c r="C177" s="624">
        <f t="shared" si="37"/>
        <v>43010637.20413474</v>
      </c>
      <c r="D177" s="624">
        <f t="shared" si="38"/>
        <v>51694927.97256507</v>
      </c>
      <c r="E177" s="628">
        <f t="shared" si="39"/>
        <v>65000000</v>
      </c>
    </row>
    <row r="178" spans="1:5" x14ac:dyDescent="0.2">
      <c r="A178" s="627">
        <v>1400000</v>
      </c>
      <c r="B178" s="624">
        <f t="shared" si="36"/>
        <v>8684290.7684303299</v>
      </c>
      <c r="C178" s="624">
        <f t="shared" si="37"/>
        <v>46319147.758298956</v>
      </c>
      <c r="D178" s="624">
        <f t="shared" si="38"/>
        <v>55003438.526729286</v>
      </c>
      <c r="E178" s="628">
        <f t="shared" si="39"/>
        <v>70000000</v>
      </c>
    </row>
    <row r="179" spans="1:5" x14ac:dyDescent="0.2">
      <c r="A179" s="627">
        <v>1500000</v>
      </c>
      <c r="B179" s="624">
        <f t="shared" si="36"/>
        <v>8684290.7684303299</v>
      </c>
      <c r="C179" s="624">
        <f t="shared" si="37"/>
        <v>49627658.312463157</v>
      </c>
      <c r="D179" s="624">
        <f t="shared" si="38"/>
        <v>58311949.080893487</v>
      </c>
      <c r="E179" s="628">
        <f t="shared" si="39"/>
        <v>75000000</v>
      </c>
    </row>
    <row r="180" spans="1:5" ht="13.5" thickBot="1" x14ac:dyDescent="0.25">
      <c r="A180" s="629">
        <v>1600000</v>
      </c>
      <c r="B180" s="630">
        <f t="shared" si="36"/>
        <v>8684290.7684303299</v>
      </c>
      <c r="C180" s="630">
        <f t="shared" si="37"/>
        <v>52936168.866627373</v>
      </c>
      <c r="D180" s="630">
        <f t="shared" si="38"/>
        <v>61620459.635057703</v>
      </c>
      <c r="E180" s="631">
        <f t="shared" si="39"/>
        <v>80000000</v>
      </c>
    </row>
    <row r="181" spans="1:5" ht="13.5" thickBot="1" x14ac:dyDescent="0.25">
      <c r="A181" s="515" t="s">
        <v>476</v>
      </c>
      <c r="B181" s="783">
        <f>($F$130+$F$132+$F$134)/($F$87-(($F$131+$F$133+$F$135)/$F$101))</f>
        <v>513410.87523837888</v>
      </c>
      <c r="C181" s="784"/>
      <c r="D181" s="517" t="s">
        <v>477</v>
      </c>
      <c r="E181" s="516"/>
    </row>
  </sheetData>
  <sheetProtection selectLockedCells="1" selectUnlockedCells="1"/>
  <mergeCells count="4">
    <mergeCell ref="A141:E141"/>
    <mergeCell ref="A162:E162"/>
    <mergeCell ref="B181:C181"/>
    <mergeCell ref="B160:C160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B25:F26 B7:F17 B28:F35 H25:H35 B39:F44 B19:F20 B46:F47 B88:F88 B90:F109 C59:F59 B61:F61 C87:F87 B52:F58 B69:F73 B78:F78 B111:F118 B134:F136 B120:F1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activeCell="K34" sqref="K33:K34"/>
    </sheetView>
  </sheetViews>
  <sheetFormatPr baseColWidth="10" defaultColWidth="11.42578125" defaultRowHeight="12.75" x14ac:dyDescent="0.2"/>
  <cols>
    <col min="1" max="1" width="45.42578125" style="6" customWidth="1"/>
    <col min="2" max="7" width="14.85546875" style="6" customWidth="1"/>
    <col min="8" max="8" width="17.42578125" style="6" customWidth="1"/>
    <col min="9" max="16384" width="11.42578125" style="6"/>
  </cols>
  <sheetData>
    <row r="1" spans="1:7" x14ac:dyDescent="0.2">
      <c r="A1" s="1" t="s">
        <v>0</v>
      </c>
      <c r="B1"/>
      <c r="C1"/>
      <c r="D1"/>
      <c r="E1" s="526">
        <f>InfoInicial!E1</f>
        <v>3</v>
      </c>
    </row>
    <row r="2" spans="1:7" x14ac:dyDescent="0.2">
      <c r="A2" s="1"/>
      <c r="B2"/>
      <c r="C2"/>
      <c r="D2"/>
      <c r="E2" s="80"/>
    </row>
    <row r="3" spans="1:7" ht="15.75" x14ac:dyDescent="0.25">
      <c r="A3" s="36" t="s">
        <v>478</v>
      </c>
      <c r="B3" s="37"/>
      <c r="C3" s="37"/>
      <c r="D3" s="37"/>
      <c r="E3" s="37"/>
      <c r="F3" s="37"/>
      <c r="G3" s="38"/>
    </row>
    <row r="4" spans="1:7" x14ac:dyDescent="0.2">
      <c r="A4" s="39" t="s">
        <v>398</v>
      </c>
      <c r="B4" s="9" t="s">
        <v>359</v>
      </c>
      <c r="C4" s="9" t="s">
        <v>194</v>
      </c>
      <c r="D4" s="9" t="s">
        <v>399</v>
      </c>
      <c r="E4" s="9" t="s">
        <v>400</v>
      </c>
      <c r="F4" s="9" t="s">
        <v>401</v>
      </c>
      <c r="G4" s="10" t="s">
        <v>402</v>
      </c>
    </row>
    <row r="5" spans="1:7" x14ac:dyDescent="0.2">
      <c r="A5" s="81" t="s">
        <v>479</v>
      </c>
      <c r="B5" s="82"/>
      <c r="C5" s="82"/>
      <c r="D5" s="82"/>
      <c r="E5" s="82"/>
      <c r="F5" s="82"/>
      <c r="G5" s="83"/>
    </row>
    <row r="6" spans="1:7" x14ac:dyDescent="0.2">
      <c r="A6" s="81" t="s">
        <v>480</v>
      </c>
      <c r="B6" s="249">
        <f>+C6*0.8</f>
        <v>950812</v>
      </c>
      <c r="C6" s="249">
        <f>+'E-Costos'!B88*0.02</f>
        <v>1188515</v>
      </c>
      <c r="D6" s="249">
        <f>+'E-Costos'!C88*0.02</f>
        <v>1305000</v>
      </c>
      <c r="E6" s="249">
        <f>+'E-Costos'!D88*0.02</f>
        <v>1305000</v>
      </c>
      <c r="F6" s="249">
        <f>+'E-Costos'!E88*0.02</f>
        <v>1305000</v>
      </c>
      <c r="G6" s="250">
        <f>+'E-Costos'!F88*0.02</f>
        <v>1305000</v>
      </c>
    </row>
    <row r="7" spans="1:7" x14ac:dyDescent="0.2">
      <c r="A7" s="81" t="s">
        <v>481</v>
      </c>
      <c r="B7" s="249">
        <v>0</v>
      </c>
      <c r="C7" s="249">
        <f>'E-Costos'!C88*(InfoInicial!$B$39/365)</f>
        <v>5363013.6986301364</v>
      </c>
      <c r="D7" s="249">
        <f>'E-Costos'!C88*(InfoInicial!$B$39/365)</f>
        <v>5363013.6986301364</v>
      </c>
      <c r="E7" s="249">
        <f>'E-Costos'!D88*(InfoInicial!$B$39/365)</f>
        <v>5363013.6986301364</v>
      </c>
      <c r="F7" s="249">
        <f>'E-Costos'!E88*(InfoInicial!$B$39/365)</f>
        <v>5363013.6986301364</v>
      </c>
      <c r="G7" s="250">
        <f>'E-Costos'!F88*(InfoInicial!$B$39/365)</f>
        <v>5363013.6986301364</v>
      </c>
    </row>
    <row r="8" spans="1:7" x14ac:dyDescent="0.2">
      <c r="A8" s="84"/>
      <c r="B8" s="446"/>
      <c r="C8" s="446"/>
      <c r="D8" s="446"/>
      <c r="E8" s="446"/>
      <c r="F8" s="446"/>
      <c r="G8" s="447"/>
    </row>
    <row r="9" spans="1:7" x14ac:dyDescent="0.2">
      <c r="A9" s="81" t="s">
        <v>482</v>
      </c>
      <c r="B9" s="480">
        <f>SUM(B10:B13)</f>
        <v>5265298.9818386277</v>
      </c>
      <c r="C9" s="480">
        <f t="shared" ref="C9:G9" si="0">SUM(C10:C13)</f>
        <v>2634317.7083403296</v>
      </c>
      <c r="D9" s="480">
        <f t="shared" si="0"/>
        <v>2676199.3461177046</v>
      </c>
      <c r="E9" s="737">
        <f t="shared" si="0"/>
        <v>2676199.2903457237</v>
      </c>
      <c r="F9" s="480">
        <f t="shared" si="0"/>
        <v>2696605.783504894</v>
      </c>
      <c r="G9" s="463">
        <f t="shared" si="0"/>
        <v>2696605.3538605412</v>
      </c>
    </row>
    <row r="10" spans="1:7" x14ac:dyDescent="0.2">
      <c r="A10" s="84" t="s">
        <v>483</v>
      </c>
      <c r="B10" s="249">
        <f>Apertura!B272*Apertura!F311</f>
        <v>4624511.5823606392</v>
      </c>
      <c r="C10" s="249">
        <f>Apertura!$B$273*Apertura!$F$311</f>
        <v>1277068.9267549391</v>
      </c>
      <c r="D10" s="249">
        <f>Apertura!$B$273*Apertura!$F$312</f>
        <v>1246511.4666198071</v>
      </c>
      <c r="E10" s="249">
        <f>Apertura!$B$273*Apertura!$F$312</f>
        <v>1246511.4666198071</v>
      </c>
      <c r="F10" s="249">
        <f>Apertura!$B$273*Apertura!$F$312</f>
        <v>1246511.4666198071</v>
      </c>
      <c r="G10" s="250">
        <f>Apertura!$B$273*Apertura!$F$312</f>
        <v>1246511.4666198071</v>
      </c>
    </row>
    <row r="11" spans="1:7" x14ac:dyDescent="0.2">
      <c r="A11" s="84" t="s">
        <v>484</v>
      </c>
      <c r="B11" s="249">
        <f>+C11*0.8</f>
        <v>640787.39947798871</v>
      </c>
      <c r="C11" s="249">
        <f>+Apertura!J202+Apertura!J217+Apertura!J226</f>
        <v>800984.24934748583</v>
      </c>
      <c r="D11" s="249">
        <f>+Apertura!K202+Apertura!K217+Apertura!K226</f>
        <v>871882.3393654821</v>
      </c>
      <c r="E11" s="249">
        <f>+Apertura!K202+Apertura!K217+Apertura!K226</f>
        <v>871882.3393654821</v>
      </c>
      <c r="F11" s="249">
        <f>+Apertura!L202+Apertura!L217+Apertura!L226</f>
        <v>892829.84266176925</v>
      </c>
      <c r="G11" s="250">
        <f>+Apertura!L202+Apertura!L217+Apertura!L226</f>
        <v>892829.84266176925</v>
      </c>
    </row>
    <row r="12" spans="1:7" x14ac:dyDescent="0.2">
      <c r="A12" s="84" t="s">
        <v>485</v>
      </c>
      <c r="B12" s="249">
        <v>0</v>
      </c>
      <c r="C12" s="249">
        <f>'E-Costos'!B35</f>
        <v>67673.032389915286</v>
      </c>
      <c r="D12" s="249">
        <f>'E-Costos'!C35</f>
        <v>67667.962209821781</v>
      </c>
      <c r="E12" s="249">
        <f>'E-Costos'!D35</f>
        <v>67667.962209821781</v>
      </c>
      <c r="F12" s="249">
        <f>'E-Costos'!E35</f>
        <v>67628.903632282701</v>
      </c>
      <c r="G12" s="250">
        <f>'E-Costos'!F35</f>
        <v>67628.903632282701</v>
      </c>
    </row>
    <row r="13" spans="1:7" x14ac:dyDescent="0.2">
      <c r="A13" s="84" t="s">
        <v>486</v>
      </c>
      <c r="B13" s="249">
        <v>0</v>
      </c>
      <c r="C13" s="249">
        <f>'E-Costos'!B106</f>
        <v>488591.49984798947</v>
      </c>
      <c r="D13" s="249">
        <f>'E-Costos'!C106</f>
        <v>490137.57792259386</v>
      </c>
      <c r="E13" s="249">
        <f>'E-Costos'!D106</f>
        <v>490137.52215061284</v>
      </c>
      <c r="F13" s="249">
        <f>'E-Costos'!E106</f>
        <v>489635.57059103483</v>
      </c>
      <c r="G13" s="250">
        <f>'E-Costos'!F106</f>
        <v>489635.1409466819</v>
      </c>
    </row>
    <row r="14" spans="1:7" x14ac:dyDescent="0.2">
      <c r="A14" s="84"/>
      <c r="B14" s="446"/>
      <c r="C14" s="446"/>
      <c r="D14" s="446"/>
      <c r="E14" s="446"/>
      <c r="F14" s="446"/>
      <c r="G14" s="447"/>
    </row>
    <row r="15" spans="1:7" x14ac:dyDescent="0.2">
      <c r="A15" s="81" t="s">
        <v>487</v>
      </c>
      <c r="B15" s="462">
        <f>SUM(B6:B9)</f>
        <v>6216110.9818386277</v>
      </c>
      <c r="C15" s="462">
        <f t="shared" ref="C15:G15" si="1">SUM(C6:C9)</f>
        <v>9185846.4069704656</v>
      </c>
      <c r="D15" s="462">
        <f t="shared" si="1"/>
        <v>9344213.0447478406</v>
      </c>
      <c r="E15" s="462">
        <f t="shared" si="1"/>
        <v>9344212.9889758602</v>
      </c>
      <c r="F15" s="462">
        <f t="shared" si="1"/>
        <v>9364619.4821350314</v>
      </c>
      <c r="G15" s="481">
        <f t="shared" si="1"/>
        <v>9364619.0524906777</v>
      </c>
    </row>
    <row r="16" spans="1:7" x14ac:dyDescent="0.2">
      <c r="A16" s="81" t="s">
        <v>488</v>
      </c>
      <c r="B16" s="446"/>
      <c r="C16" s="480">
        <f>SUM(C17:C20)</f>
        <v>785279.90522049333</v>
      </c>
      <c r="D16" s="480">
        <f t="shared" ref="D16:G16" si="2">SUM(D17:D20)</f>
        <v>782366.78569109249</v>
      </c>
      <c r="E16" s="480">
        <f t="shared" si="2"/>
        <v>782234.15009390539</v>
      </c>
      <c r="F16" s="480">
        <f t="shared" si="2"/>
        <v>778830.909787009</v>
      </c>
      <c r="G16" s="463">
        <f t="shared" si="2"/>
        <v>778803.15564351401</v>
      </c>
    </row>
    <row r="17" spans="1:9" x14ac:dyDescent="0.2">
      <c r="A17" s="84" t="s">
        <v>489</v>
      </c>
      <c r="B17" s="249"/>
      <c r="C17" s="249">
        <f>'E-Costos'!B28</f>
        <v>617.79371664022619</v>
      </c>
      <c r="D17" s="249">
        <f>'E-Costos'!C28</f>
        <v>562.64818966867085</v>
      </c>
      <c r="E17" s="249">
        <f>'E-Costos'!D28</f>
        <v>562.64818966867085</v>
      </c>
      <c r="F17" s="249">
        <f>'E-Costos'!E28</f>
        <v>513.13637325724471</v>
      </c>
      <c r="G17" s="250">
        <f>'E-Costos'!F28</f>
        <v>513.13637325724471</v>
      </c>
      <c r="I17" s="754"/>
    </row>
    <row r="18" spans="1:9" x14ac:dyDescent="0.2">
      <c r="A18" s="84" t="s">
        <v>490</v>
      </c>
      <c r="B18" s="42"/>
      <c r="C18" s="249">
        <f>('E-Costos'!B10-'E-Costos'!B28)/(Apertura!$B$289)*Apertura!$B$276</f>
        <v>7635.8399052101631</v>
      </c>
      <c r="D18" s="249">
        <f>('E-Costos'!C10-'E-Costos'!C28+'E-Costos'!B28)/(Apertura!$B$291)*Apertura!$B$276</f>
        <v>7045.6500848572232</v>
      </c>
      <c r="E18" s="249">
        <f>('E-Costos'!D10-'E-Costos'!D28+'E-Costos'!C28)/(Apertura!$B$291)*Apertura!$B$276</f>
        <v>7045.0434558519282</v>
      </c>
      <c r="F18" s="249">
        <f>('E-Costos'!E10-'E-Costos'!E28+'E-Costos'!D28)/(Apertura!$B$291)*Apertura!$B$276</f>
        <v>6425.6396165198767</v>
      </c>
      <c r="G18" s="250">
        <f>('E-Costos'!F10-'E-Costos'!F28+'E-Costos'!E28)/(Apertura!$B$291)*Apertura!$B$276</f>
        <v>6425.094961212556</v>
      </c>
    </row>
    <row r="19" spans="1:9" x14ac:dyDescent="0.2">
      <c r="A19" s="84" t="s">
        <v>491</v>
      </c>
      <c r="B19" s="42"/>
      <c r="C19" s="249">
        <f>('E-Costos'!B123*C7)</f>
        <v>687931.51107112376</v>
      </c>
      <c r="D19" s="249">
        <f>('E-Costos'!C123*D7)</f>
        <v>684932.30478199199</v>
      </c>
      <c r="E19" s="249">
        <f>('E-Costos'!D123*E7)</f>
        <v>684853.26721531583</v>
      </c>
      <c r="F19" s="249">
        <f>('E-Costos'!E123*F7)</f>
        <v>686696.04045237624</v>
      </c>
      <c r="G19" s="250">
        <f>('E-Costos'!F123*G7)</f>
        <v>686723.76556696417</v>
      </c>
    </row>
    <row r="20" spans="1:9" x14ac:dyDescent="0.2">
      <c r="A20" s="84" t="s">
        <v>492</v>
      </c>
      <c r="B20" s="42"/>
      <c r="C20" s="249">
        <f>('E-Inv AF y Am'!D56 - $C$17 -$C$18)*30/365</f>
        <v>89094.760527519145</v>
      </c>
      <c r="D20" s="249">
        <f>('E-Inv AF y Am'!D56 - $D$17 -$D$18 + $C$17 + $C$18)*30/365</f>
        <v>89826.182634574594</v>
      </c>
      <c r="E20" s="249">
        <f>('E-Inv AF y Am'!D56-$E$17-$E$18+$D$17+$D$18)*30/365</f>
        <v>89773.191233068908</v>
      </c>
      <c r="F20" s="249">
        <f>('E-Inv AF y Am'!E56 - $F$17 -$F$18 + $E$17 + $E$18)/365*30</f>
        <v>85196.093344855617</v>
      </c>
      <c r="G20" s="250">
        <f>('E-Inv AF y Am'!E56 - $G$17 -$G$18 + $F$17 + $F$18)/365*30</f>
        <v>85141.15874208005</v>
      </c>
    </row>
    <row r="21" spans="1:9" x14ac:dyDescent="0.2">
      <c r="A21" s="84"/>
      <c r="B21" s="62"/>
      <c r="C21" s="62"/>
      <c r="D21" s="62"/>
      <c r="E21" s="62"/>
      <c r="F21" s="62"/>
      <c r="G21" s="63"/>
    </row>
    <row r="22" spans="1:9" x14ac:dyDescent="0.2">
      <c r="A22" s="482" t="s">
        <v>493</v>
      </c>
      <c r="B22" s="480">
        <f>B15</f>
        <v>6216110.9818386277</v>
      </c>
      <c r="C22" s="480">
        <f>C15-C16</f>
        <v>8400566.5017499719</v>
      </c>
      <c r="D22" s="480">
        <f>D15-D16</f>
        <v>8561846.2590567488</v>
      </c>
      <c r="E22" s="480">
        <f>E15-E16</f>
        <v>8561978.8388819546</v>
      </c>
      <c r="F22" s="480">
        <f>F15-F16</f>
        <v>8585788.5723480228</v>
      </c>
      <c r="G22" s="463">
        <f>G15-G16</f>
        <v>8585815.8968471643</v>
      </c>
    </row>
    <row r="23" spans="1:9" x14ac:dyDescent="0.2">
      <c r="A23" s="84"/>
      <c r="B23" s="480"/>
      <c r="C23" s="480"/>
      <c r="D23" s="480"/>
      <c r="E23" s="480"/>
      <c r="F23" s="480"/>
      <c r="G23" s="463"/>
    </row>
    <row r="24" spans="1:9" x14ac:dyDescent="0.2">
      <c r="A24" s="81" t="s">
        <v>494</v>
      </c>
      <c r="B24" s="462">
        <f>B15</f>
        <v>6216110.9818386277</v>
      </c>
      <c r="C24" s="462">
        <f>C15-B15</f>
        <v>2969735.4251318378</v>
      </c>
      <c r="D24" s="462">
        <f>D15-C15</f>
        <v>158366.63777737506</v>
      </c>
      <c r="E24" s="462">
        <f>E15-D15</f>
        <v>-5.5771980434656143E-2</v>
      </c>
      <c r="F24" s="462">
        <f>F15-E15</f>
        <v>20406.493159171194</v>
      </c>
      <c r="G24" s="463">
        <f>G15-F15</f>
        <v>-0.42964435368776321</v>
      </c>
    </row>
    <row r="25" spans="1:9" x14ac:dyDescent="0.2">
      <c r="A25" s="81" t="s">
        <v>495</v>
      </c>
      <c r="B25" s="462">
        <f>B22</f>
        <v>6216110.9818386277</v>
      </c>
      <c r="C25" s="462">
        <f>C22-B22</f>
        <v>2184455.5199113442</v>
      </c>
      <c r="D25" s="462">
        <f>D22-C22</f>
        <v>161279.75730677694</v>
      </c>
      <c r="E25" s="462">
        <f>E22-D22</f>
        <v>132.57982520572841</v>
      </c>
      <c r="F25" s="462">
        <f>F22-E22</f>
        <v>23809.733466068283</v>
      </c>
      <c r="G25" s="463">
        <f>G22-F22</f>
        <v>27.324499141424894</v>
      </c>
    </row>
    <row r="26" spans="1:9" x14ac:dyDescent="0.2">
      <c r="A26" s="84"/>
      <c r="B26" s="498"/>
      <c r="C26" s="498"/>
      <c r="D26" s="498"/>
      <c r="E26" s="498"/>
      <c r="F26" s="498"/>
      <c r="G26" s="250"/>
    </row>
    <row r="27" spans="1:9" x14ac:dyDescent="0.2">
      <c r="A27" s="81" t="s">
        <v>496</v>
      </c>
      <c r="B27" s="498"/>
      <c r="C27" s="498"/>
      <c r="D27" s="498"/>
      <c r="E27" s="498"/>
      <c r="F27" s="498"/>
      <c r="G27" s="250"/>
    </row>
    <row r="28" spans="1:9" x14ac:dyDescent="0.2">
      <c r="A28" s="84" t="s">
        <v>497</v>
      </c>
      <c r="B28" s="497"/>
      <c r="C28" s="497"/>
      <c r="D28" s="497"/>
      <c r="E28" s="497"/>
      <c r="F28" s="497"/>
      <c r="G28" s="250"/>
    </row>
    <row r="29" spans="1:9" x14ac:dyDescent="0.2">
      <c r="A29" s="84" t="s">
        <v>498</v>
      </c>
      <c r="B29" s="499"/>
      <c r="C29" s="499"/>
      <c r="D29" s="499"/>
      <c r="E29" s="499"/>
      <c r="F29" s="499"/>
      <c r="G29" s="250"/>
    </row>
    <row r="30" spans="1:9" x14ac:dyDescent="0.2">
      <c r="A30" s="84" t="s">
        <v>499</v>
      </c>
      <c r="B30" s="249">
        <f>B10*0.21</f>
        <v>971147.43229573418</v>
      </c>
      <c r="C30" s="249">
        <f t="shared" ref="C30:G31" si="3">(C10-B10)*0.21</f>
        <v>-702962.95767719694</v>
      </c>
      <c r="D30" s="249">
        <f t="shared" si="3"/>
        <v>-6417.0666283777355</v>
      </c>
      <c r="E30" s="249">
        <f t="shared" si="3"/>
        <v>0</v>
      </c>
      <c r="F30" s="249">
        <f t="shared" si="3"/>
        <v>0</v>
      </c>
      <c r="G30" s="250">
        <f t="shared" si="3"/>
        <v>0</v>
      </c>
    </row>
    <row r="31" spans="1:9" x14ac:dyDescent="0.2">
      <c r="A31" s="496" t="s">
        <v>500</v>
      </c>
      <c r="B31" s="249">
        <f>B11*0.21</f>
        <v>134565.35389037762</v>
      </c>
      <c r="C31" s="249">
        <f t="shared" si="3"/>
        <v>33641.338472594391</v>
      </c>
      <c r="D31" s="249">
        <f t="shared" si="3"/>
        <v>14888.598903779215</v>
      </c>
      <c r="E31" s="249">
        <f t="shared" si="3"/>
        <v>0</v>
      </c>
      <c r="F31" s="249">
        <f>(F11-E11)*0.21</f>
        <v>4398.9756922203014</v>
      </c>
      <c r="G31" s="250">
        <f t="shared" si="3"/>
        <v>0</v>
      </c>
    </row>
    <row r="32" spans="1:9" x14ac:dyDescent="0.2">
      <c r="A32" s="84" t="s">
        <v>501</v>
      </c>
      <c r="B32" s="249">
        <v>0</v>
      </c>
      <c r="C32" s="249">
        <f>C48</f>
        <v>12883</v>
      </c>
      <c r="D32" s="249">
        <f>D48</f>
        <v>11.638686157910342</v>
      </c>
      <c r="E32" s="249">
        <f>E48</f>
        <v>0</v>
      </c>
      <c r="F32" s="249">
        <f>F48</f>
        <v>2.434082142313855</v>
      </c>
      <c r="G32" s="250">
        <f>G48</f>
        <v>0</v>
      </c>
    </row>
    <row r="33" spans="1:7" x14ac:dyDescent="0.2">
      <c r="A33" s="496" t="s">
        <v>502</v>
      </c>
      <c r="B33" s="249">
        <v>0</v>
      </c>
      <c r="C33" s="249">
        <f>C61</f>
        <v>88346.02797731226</v>
      </c>
      <c r="D33" s="249">
        <f>D61</f>
        <v>183.8403969467181</v>
      </c>
      <c r="E33" s="249">
        <f>E61</f>
        <v>0</v>
      </c>
      <c r="F33" s="249">
        <f>F61</f>
        <v>27.730408823976177</v>
      </c>
      <c r="G33" s="250">
        <f>G61</f>
        <v>0</v>
      </c>
    </row>
    <row r="34" spans="1:7" x14ac:dyDescent="0.2">
      <c r="A34" s="81" t="s">
        <v>503</v>
      </c>
      <c r="B34" s="462">
        <f>SUM(B30:B33)</f>
        <v>1105712.7861861119</v>
      </c>
      <c r="C34" s="462">
        <f t="shared" ref="C34:G34" si="4">SUM(C30:C33)</f>
        <v>-568092.59122729034</v>
      </c>
      <c r="D34" s="462">
        <f t="shared" si="4"/>
        <v>8667.0113585061081</v>
      </c>
      <c r="E34" s="462">
        <f t="shared" si="4"/>
        <v>0</v>
      </c>
      <c r="F34" s="462">
        <f t="shared" si="4"/>
        <v>4429.1401831865915</v>
      </c>
      <c r="G34" s="463">
        <f t="shared" si="4"/>
        <v>0</v>
      </c>
    </row>
    <row r="35" spans="1:7" x14ac:dyDescent="0.2">
      <c r="A35" s="84"/>
      <c r="B35" s="500"/>
      <c r="C35" s="500"/>
      <c r="D35" s="500"/>
      <c r="E35" s="500"/>
      <c r="F35" s="500"/>
      <c r="G35" s="501"/>
    </row>
    <row r="36" spans="1:7" x14ac:dyDescent="0.2">
      <c r="A36" s="85" t="s">
        <v>504</v>
      </c>
      <c r="B36" s="734">
        <f t="shared" ref="B36:G36" si="5">SUM(B25,B34)</f>
        <v>7321823.7680247398</v>
      </c>
      <c r="C36" s="734">
        <f t="shared" si="5"/>
        <v>1616362.9286840539</v>
      </c>
      <c r="D36" s="734">
        <f t="shared" si="5"/>
        <v>169946.76866528305</v>
      </c>
      <c r="E36" s="734">
        <f t="shared" si="5"/>
        <v>132.57982520572841</v>
      </c>
      <c r="F36" s="734">
        <f t="shared" si="5"/>
        <v>28238.873649254874</v>
      </c>
      <c r="G36" s="735">
        <f t="shared" si="5"/>
        <v>27.324499141424894</v>
      </c>
    </row>
    <row r="39" spans="1:7" x14ac:dyDescent="0.2">
      <c r="A39" s="52" t="s">
        <v>505</v>
      </c>
    </row>
    <row r="40" spans="1:7" x14ac:dyDescent="0.2">
      <c r="A40" s="6" t="s">
        <v>506</v>
      </c>
    </row>
    <row r="42" spans="1:7" x14ac:dyDescent="0.2">
      <c r="B42" s="625"/>
      <c r="C42" s="692" t="s">
        <v>194</v>
      </c>
      <c r="D42" s="692" t="s">
        <v>399</v>
      </c>
      <c r="E42" s="692" t="s">
        <v>400</v>
      </c>
      <c r="F42" s="692" t="s">
        <v>401</v>
      </c>
      <c r="G42" s="692" t="s">
        <v>402</v>
      </c>
    </row>
    <row r="43" spans="1:7" x14ac:dyDescent="0.2">
      <c r="B43" s="625" t="s">
        <v>165</v>
      </c>
      <c r="C43" s="693">
        <f>'E-Costos'!B25*0.21</f>
        <v>12735.91871488721</v>
      </c>
      <c r="D43" s="693">
        <f>'E-Costos'!C25*0.21</f>
        <v>12735.91871488721</v>
      </c>
      <c r="E43" s="693">
        <f>'E-Costos'!D25*0.21</f>
        <v>12735.91871488721</v>
      </c>
      <c r="F43" s="693">
        <f>'E-Costos'!E25*0.21</f>
        <v>12735.91871488721</v>
      </c>
      <c r="G43" s="693">
        <f>'E-Costos'!F25*0.21</f>
        <v>12735.91871488721</v>
      </c>
    </row>
    <row r="44" spans="1:7" x14ac:dyDescent="0.2">
      <c r="B44" s="625" t="s">
        <v>228</v>
      </c>
      <c r="C44" s="693">
        <f>'E-Costos'!B30*0.21</f>
        <v>125.98365734477892</v>
      </c>
      <c r="D44" s="693">
        <f>'E-Costos'!C30*0.21</f>
        <v>136.19826232569889</v>
      </c>
      <c r="E44" s="693">
        <f>'E-Costos'!D30*0.21</f>
        <v>136.19826232569889</v>
      </c>
      <c r="F44" s="693">
        <f>'E-Costos'!E30*0.21</f>
        <v>138.63234446801371</v>
      </c>
      <c r="G44" s="693">
        <f>'E-Costos'!F30*0.21</f>
        <v>138.63234446801371</v>
      </c>
    </row>
    <row r="45" spans="1:7" x14ac:dyDescent="0.2">
      <c r="B45" s="625" t="s">
        <v>434</v>
      </c>
      <c r="C45" s="693">
        <f>'E-Costos'!B31*0.21</f>
        <v>19.135079216202584</v>
      </c>
      <c r="D45" s="693">
        <f>'E-Costos'!C31*0.21</f>
        <v>20.4169006550094</v>
      </c>
      <c r="E45" s="693">
        <f>'E-Costos'!D31*0.21</f>
        <v>20.4169006550094</v>
      </c>
      <c r="F45" s="693">
        <f>'E-Costos'!E31*0.21</f>
        <v>20.4169006550094</v>
      </c>
      <c r="G45" s="693">
        <f>'E-Costos'!F31*0.21</f>
        <v>20.4169006550094</v>
      </c>
    </row>
    <row r="46" spans="1:7" x14ac:dyDescent="0.2">
      <c r="B46" s="625" t="s">
        <v>283</v>
      </c>
      <c r="C46" s="694">
        <f>'E-Costos'!B32*0.21</f>
        <v>2.3433823363045896</v>
      </c>
      <c r="D46" s="694">
        <f>'E-Costos'!C32*0.21</f>
        <v>2.4856420744887018</v>
      </c>
      <c r="E46" s="694">
        <f>'E-Costos'!D32*0.21</f>
        <v>2.4856420744887018</v>
      </c>
      <c r="F46" s="694">
        <f>'E-Costos'!E32*0.21</f>
        <v>2.4856420744887018</v>
      </c>
      <c r="G46" s="694">
        <f>'E-Costos'!F32*0.21</f>
        <v>2.4856420744887018</v>
      </c>
    </row>
    <row r="47" spans="1:7" x14ac:dyDescent="0.2">
      <c r="B47" s="695" t="s">
        <v>185</v>
      </c>
      <c r="C47" s="696">
        <f>SUM(C43,C44,C45,C46)</f>
        <v>12883.380833784497</v>
      </c>
      <c r="D47" s="696">
        <f>SUM(D43,D44,D45,D46)</f>
        <v>12895.019519942407</v>
      </c>
      <c r="E47" s="696">
        <f>SUM(E43,E44,E45,E46)</f>
        <v>12895.019519942407</v>
      </c>
      <c r="F47" s="696">
        <f>SUM(F43,F44,F45,F46)</f>
        <v>12897.453602084721</v>
      </c>
      <c r="G47" s="696">
        <f>SUM(G43,G44,G45,G46)</f>
        <v>12897.453602084721</v>
      </c>
    </row>
    <row r="48" spans="1:7" x14ac:dyDescent="0.2">
      <c r="B48" s="695" t="s">
        <v>507</v>
      </c>
      <c r="C48" s="697">
        <v>12883</v>
      </c>
      <c r="D48" s="696">
        <f>D47-C47</f>
        <v>11.638686157910342</v>
      </c>
      <c r="E48" s="696">
        <f>E47-D47</f>
        <v>0</v>
      </c>
      <c r="F48" s="696">
        <f>F47-E47</f>
        <v>2.434082142313855</v>
      </c>
      <c r="G48" s="696">
        <f>G47-F47</f>
        <v>0</v>
      </c>
    </row>
    <row r="51" spans="1:7" x14ac:dyDescent="0.2">
      <c r="A51" s="52" t="s">
        <v>508</v>
      </c>
      <c r="B51" s="625" t="s">
        <v>294</v>
      </c>
      <c r="C51" s="625"/>
    </row>
    <row r="52" spans="1:7" x14ac:dyDescent="0.2">
      <c r="B52" s="625" t="s">
        <v>295</v>
      </c>
      <c r="C52" s="625">
        <v>4215</v>
      </c>
    </row>
    <row r="55" spans="1:7" x14ac:dyDescent="0.2">
      <c r="B55" s="625"/>
      <c r="C55" s="692" t="s">
        <v>194</v>
      </c>
      <c r="D55" s="692" t="s">
        <v>399</v>
      </c>
      <c r="E55" s="692" t="s">
        <v>400</v>
      </c>
      <c r="F55" s="692" t="s">
        <v>401</v>
      </c>
      <c r="G55" s="692" t="s">
        <v>402</v>
      </c>
    </row>
    <row r="56" spans="1:7" x14ac:dyDescent="0.2">
      <c r="B56" s="625" t="s">
        <v>165</v>
      </c>
      <c r="C56" s="693">
        <f>((('E-Costos'!B7-'E-Costos'!B25-'E-Costos'!H25)*0.21)/Apertura!B289)*C52</f>
        <v>86537.698960834517</v>
      </c>
      <c r="D56" s="693">
        <f>((('E-Costos'!C7-'E-Costos'!C25)*0.21)/Apertura!B291)*C52</f>
        <v>86717.304084950258</v>
      </c>
      <c r="E56" s="693">
        <f>((('E-Costos'!D7-'E-Costos'!D25)*0.21)/Apertura!B291)*C52</f>
        <v>86717.304084950258</v>
      </c>
      <c r="F56" s="693">
        <f>((('E-Costos'!E7-'E-Costos'!E25)*0.21)/Apertura!B291)*C52</f>
        <v>86717.304084950258</v>
      </c>
      <c r="G56" s="693">
        <f>((('E-Costos'!F7-'E-Costos'!F25)*0.21)/Apertura!B291)*C52</f>
        <v>86717.304084950258</v>
      </c>
    </row>
    <row r="57" spans="1:7" x14ac:dyDescent="0.2">
      <c r="B57" s="625" t="s">
        <v>228</v>
      </c>
      <c r="C57" s="693">
        <f>((('E-Costos'!B12-'E-Costos'!B30-'E-Costos'!H30)*0.21)/Apertura!B289)*C52</f>
        <v>1544.7900458684048</v>
      </c>
      <c r="D57" s="693">
        <f>((('E-Costos'!C12-'E-Costos'!C30)*0.21)/Apertura!B291)*C52</f>
        <v>1551.6458667309553</v>
      </c>
      <c r="E57" s="693">
        <f>((('E-Costos'!D12-'E-Costos'!D30)*0.21)/Apertura!B291)*C52</f>
        <v>1551.6458667309553</v>
      </c>
      <c r="F57" s="693">
        <f>((('E-Costos'!E12-'E-Costos'!E30)*0.21)/Apertura!B291)*C52</f>
        <v>1579.3762755549287</v>
      </c>
      <c r="G57" s="693">
        <f>((('E-Costos'!F12-'E-Costos'!F30)*0.21)/Apertura!B291)*C52</f>
        <v>1579.3762755549287</v>
      </c>
    </row>
    <row r="58" spans="1:7" x14ac:dyDescent="0.2">
      <c r="B58" s="625" t="s">
        <v>434</v>
      </c>
      <c r="C58" s="693">
        <f>((('E-Costos'!B13-'E-Costos'!B31-'E-Costos'!H31)*0.21)/Apertura!B289)*C52</f>
        <v>234.98231471478385</v>
      </c>
      <c r="D58" s="693">
        <f>((('E-Costos'!C13-'E-Costos'!C31)*0.21)/Apertura!B291)*C52</f>
        <v>232.60061451477333</v>
      </c>
      <c r="E58" s="693">
        <f>((('E-Costos'!D13-'E-Costos'!D31)*0.21)/Apertura!B291)*C52</f>
        <v>232.60061451477333</v>
      </c>
      <c r="F58" s="693">
        <f>((('E-Costos'!E13-'E-Costos'!E31)*0.21)/Apertura!B291)*C52</f>
        <v>232.60061451477333</v>
      </c>
      <c r="G58" s="693">
        <f>((('E-Costos'!F13-'E-Costos'!F31)*0.21)/Apertura!B291)*C52</f>
        <v>232.60061451477333</v>
      </c>
    </row>
    <row r="59" spans="1:7" x14ac:dyDescent="0.2">
      <c r="B59" s="625" t="s">
        <v>283</v>
      </c>
      <c r="C59" s="693">
        <f>((('E-Costos'!B14-'E-Costos'!B32-'E-Costos'!H32)*0.21)/Apertura!B289)*C52</f>
        <v>28.556655894560286</v>
      </c>
      <c r="D59" s="693">
        <f>((('E-Costos'!C14-'E-Costos'!C32)*0.21)/Apertura!B291)*C52</f>
        <v>28.317808062997695</v>
      </c>
      <c r="E59" s="693">
        <f>((('E-Costos'!D14-'E-Costos'!D32)*0.21)/Apertura!B291)*C52</f>
        <v>28.317808062997695</v>
      </c>
      <c r="F59" s="693">
        <f>((('E-Costos'!E14-'E-Costos'!E32)*0.21)/Apertura!B291)*C52</f>
        <v>28.317808062997695</v>
      </c>
      <c r="G59" s="693">
        <f>((('E-Costos'!F14-'E-Costos'!F32)*0.21)/Apertura!B291)*C52</f>
        <v>28.317808062997695</v>
      </c>
    </row>
    <row r="60" spans="1:7" x14ac:dyDescent="0.2">
      <c r="B60" s="698" t="s">
        <v>185</v>
      </c>
      <c r="C60" s="699">
        <f>SUM(C56:C59)</f>
        <v>88346.02797731226</v>
      </c>
      <c r="D60" s="699">
        <f t="shared" ref="D60:G60" si="6">SUM(D56:D59)</f>
        <v>88529.868374258978</v>
      </c>
      <c r="E60" s="699">
        <f t="shared" si="6"/>
        <v>88529.868374258978</v>
      </c>
      <c r="F60" s="699">
        <f t="shared" si="6"/>
        <v>88557.598783082954</v>
      </c>
      <c r="G60" s="699">
        <f t="shared" si="6"/>
        <v>88557.598783082954</v>
      </c>
    </row>
    <row r="61" spans="1:7" x14ac:dyDescent="0.2">
      <c r="B61" s="698" t="s">
        <v>507</v>
      </c>
      <c r="C61" s="699">
        <f>C60</f>
        <v>88346.02797731226</v>
      </c>
      <c r="D61" s="699">
        <f>D60-C60</f>
        <v>183.8403969467181</v>
      </c>
      <c r="E61" s="699">
        <f>E60-D60</f>
        <v>0</v>
      </c>
      <c r="F61" s="699">
        <f>F60-E60</f>
        <v>27.730408823976177</v>
      </c>
      <c r="G61" s="699">
        <f>G60-F60</f>
        <v>0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B6:G6 B8 D17:G17 E10:G10 B32:G32 C19:G19 C15:G15 C18:G18 B21:G22 C16:G16 B17 B16 B20 B18 B19 B11:G11 C13:G13 D12:G12 B14:G14 C10:D10 B13 B12:C12 B23:G23 C17 B33:G33 D7:G7 C8:G8 C9:G9 B36:G36 C34:G34 C31:E31 C35:G35 B30:G30 C29:G29 G31 B26:G28 B25 D25:G25 B24 D24:G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L22" sqref="L22"/>
    </sheetView>
  </sheetViews>
  <sheetFormatPr baseColWidth="10" defaultColWidth="11.42578125" defaultRowHeight="12.75" x14ac:dyDescent="0.2"/>
  <cols>
    <col min="1" max="1" width="28.140625" style="6" customWidth="1"/>
    <col min="2" max="2" width="14" style="6" customWidth="1"/>
    <col min="3" max="3" width="15.42578125" style="6" customWidth="1"/>
    <col min="4" max="9" width="14" style="6" customWidth="1"/>
    <col min="10" max="10" width="17.42578125" style="6" customWidth="1"/>
    <col min="11" max="16384" width="11.42578125" style="6"/>
  </cols>
  <sheetData>
    <row r="1" spans="1:10" x14ac:dyDescent="0.2">
      <c r="A1" s="1" t="s">
        <v>0</v>
      </c>
      <c r="B1"/>
      <c r="C1"/>
      <c r="D1"/>
      <c r="G1" s="526">
        <f>InfoInicial!E1</f>
        <v>3</v>
      </c>
    </row>
    <row r="3" spans="1:10" ht="15.75" x14ac:dyDescent="0.25">
      <c r="A3" s="92" t="s">
        <v>509</v>
      </c>
      <c r="B3" s="37"/>
      <c r="C3" s="37"/>
      <c r="D3" s="37"/>
      <c r="E3" s="37"/>
      <c r="F3" s="37"/>
      <c r="G3" s="37"/>
      <c r="H3" s="37"/>
      <c r="I3" s="38"/>
    </row>
    <row r="4" spans="1:10" ht="25.5" x14ac:dyDescent="0.2">
      <c r="A4" s="39" t="s">
        <v>398</v>
      </c>
      <c r="B4" s="86" t="s">
        <v>510</v>
      </c>
      <c r="C4" s="86" t="s">
        <v>511</v>
      </c>
      <c r="D4" s="9" t="s">
        <v>194</v>
      </c>
      <c r="E4" s="9" t="s">
        <v>399</v>
      </c>
      <c r="F4" s="9" t="s">
        <v>400</v>
      </c>
      <c r="G4" s="9" t="s">
        <v>401</v>
      </c>
      <c r="H4" s="87" t="s">
        <v>402</v>
      </c>
      <c r="I4" s="10" t="s">
        <v>212</v>
      </c>
    </row>
    <row r="5" spans="1:10" x14ac:dyDescent="0.2">
      <c r="A5" s="81" t="s">
        <v>512</v>
      </c>
      <c r="B5" s="502"/>
      <c r="C5" s="502"/>
      <c r="D5" s="502"/>
      <c r="E5" s="502"/>
      <c r="F5" s="502"/>
      <c r="G5" s="502"/>
      <c r="H5" s="503"/>
      <c r="I5" s="504"/>
    </row>
    <row r="6" spans="1:10" x14ac:dyDescent="0.2">
      <c r="A6" s="88" t="s">
        <v>513</v>
      </c>
      <c r="B6" s="249"/>
      <c r="C6" s="249">
        <f>'E-Inv AF y Am'!B20+'E-Inv AF y Am'!D20+'E-Inv AF y Am'!B50</f>
        <v>13253946.270199999</v>
      </c>
      <c r="D6" s="249"/>
      <c r="E6" s="249"/>
      <c r="F6" s="249"/>
      <c r="G6" s="249"/>
      <c r="H6" s="410"/>
      <c r="I6" s="250">
        <f>SUM(B6:H6)</f>
        <v>13253946.270199999</v>
      </c>
    </row>
    <row r="7" spans="1:10" x14ac:dyDescent="0.2">
      <c r="A7" s="88" t="s">
        <v>514</v>
      </c>
      <c r="B7" s="249">
        <f>'E-Inv AF y Am'!B31</f>
        <v>253550</v>
      </c>
      <c r="C7" s="249"/>
      <c r="D7" s="249">
        <f>'E-Inv AF y Am'!C31</f>
        <v>40000</v>
      </c>
      <c r="E7" s="249"/>
      <c r="F7" s="249"/>
      <c r="G7" s="249"/>
      <c r="H7" s="410"/>
      <c r="I7" s="250">
        <f t="shared" ref="I7:I8" si="0">SUM(B7:H7)</f>
        <v>293550</v>
      </c>
    </row>
    <row r="8" spans="1:10" x14ac:dyDescent="0.2">
      <c r="A8" s="81" t="s">
        <v>515</v>
      </c>
      <c r="B8" s="462">
        <f>B7</f>
        <v>253550</v>
      </c>
      <c r="C8" s="462">
        <f>SUM(C6:C7)</f>
        <v>13253946.270199999</v>
      </c>
      <c r="D8" s="462">
        <f>SUM(D6:D7)</f>
        <v>40000</v>
      </c>
      <c r="E8" s="249"/>
      <c r="F8" s="249"/>
      <c r="G8" s="249"/>
      <c r="H8" s="410"/>
      <c r="I8" s="463">
        <f t="shared" si="0"/>
        <v>13547496.270199999</v>
      </c>
    </row>
    <row r="9" spans="1:10" x14ac:dyDescent="0.2">
      <c r="A9" s="88"/>
      <c r="B9" s="446"/>
      <c r="C9" s="446"/>
      <c r="D9" s="446"/>
      <c r="E9" s="446"/>
      <c r="F9" s="446"/>
      <c r="G9" s="446"/>
      <c r="H9" s="505"/>
      <c r="I9" s="447"/>
    </row>
    <row r="10" spans="1:10" x14ac:dyDescent="0.2">
      <c r="A10" s="81" t="s">
        <v>516</v>
      </c>
      <c r="B10" s="249"/>
      <c r="C10" s="249"/>
      <c r="D10" s="249"/>
      <c r="E10" s="249"/>
      <c r="F10" s="249"/>
      <c r="G10" s="249"/>
      <c r="H10" s="410"/>
      <c r="I10" s="250"/>
    </row>
    <row r="11" spans="1:10" x14ac:dyDescent="0.2">
      <c r="A11" s="88" t="s">
        <v>517</v>
      </c>
      <c r="B11" s="249"/>
      <c r="C11" s="249">
        <f>'E-InvAT'!B6</f>
        <v>950812</v>
      </c>
      <c r="D11" s="522">
        <f>'E-InvAT'!C6-'E-InvAT'!B6</f>
        <v>237703</v>
      </c>
      <c r="E11" s="522">
        <f>'E-InvAT'!D6-'E-InvAT'!C6</f>
        <v>116485</v>
      </c>
      <c r="F11" s="522">
        <f>'E-InvAT'!E6-'E-InvAT'!D6</f>
        <v>0</v>
      </c>
      <c r="G11" s="522">
        <f>'E-InvAT'!F6-'E-InvAT'!E6</f>
        <v>0</v>
      </c>
      <c r="H11" s="705">
        <f>'E-InvAT'!G6-'E-InvAT'!F6</f>
        <v>0</v>
      </c>
      <c r="I11" s="250">
        <f t="shared" ref="I11:I18" si="1">SUM(B11:H11)</f>
        <v>1305000</v>
      </c>
    </row>
    <row r="12" spans="1:10" x14ac:dyDescent="0.2">
      <c r="A12" s="88" t="s">
        <v>518</v>
      </c>
      <c r="B12" s="249"/>
      <c r="C12" s="249"/>
      <c r="D12" s="249">
        <f>'E-InvAT'!C7-SUM('E-InvAT'!C19:C20)-('E-InvAT'!B7-SUM('E-InvAT'!B19:B20))</f>
        <v>4585987.4270314937</v>
      </c>
      <c r="E12" s="249">
        <f>'E-InvAT'!D7-SUM('E-InvAT'!D19:D20)-('E-InvAT'!C7-SUM('E-InvAT'!C19:C20))</f>
        <v>2267.7841820763424</v>
      </c>
      <c r="F12" s="249">
        <f>'E-InvAT'!E7-SUM('E-InvAT'!E19:E20)-('E-InvAT'!D7-SUM('E-InvAT'!D19:D20))</f>
        <v>132.0289681814611</v>
      </c>
      <c r="G12" s="249">
        <f>'E-InvAT'!F7-SUM('E-InvAT'!F19:F20)-('E-InvAT'!E7-SUM('E-InvAT'!E19:E20))</f>
        <v>2734.3246511528268</v>
      </c>
      <c r="H12" s="410">
        <f>'E-InvAT'!G7-SUM('E-InvAT'!G19:G20)-('E-InvAT'!F7-SUM('E-InvAT'!F19:F20))</f>
        <v>27.209488187916577</v>
      </c>
      <c r="I12" s="250">
        <f t="shared" si="1"/>
        <v>4591148.7743210923</v>
      </c>
    </row>
    <row r="13" spans="1:10" x14ac:dyDescent="0.2">
      <c r="A13" s="88" t="s">
        <v>519</v>
      </c>
      <c r="B13" s="249"/>
      <c r="C13" s="249"/>
      <c r="D13" s="249"/>
      <c r="E13" s="249"/>
      <c r="F13" s="249"/>
      <c r="G13" s="249"/>
      <c r="H13" s="410"/>
      <c r="I13" s="250"/>
    </row>
    <row r="14" spans="1:10" x14ac:dyDescent="0.2">
      <c r="A14" s="88" t="s">
        <v>520</v>
      </c>
      <c r="B14" s="249"/>
      <c r="C14" s="249">
        <f>'E-InvAT'!B10</f>
        <v>4624511.5823606392</v>
      </c>
      <c r="D14" s="249">
        <f>'E-InvAT'!C10-'E-InvAT'!B10</f>
        <v>-3347442.6556056999</v>
      </c>
      <c r="E14" s="249">
        <f>'E-InvAT'!D10-'E-InvAT'!C10</f>
        <v>-30557.460135132074</v>
      </c>
      <c r="F14" s="249">
        <f>'E-InvAT'!E10-'E-InvAT'!D10</f>
        <v>0</v>
      </c>
      <c r="G14" s="249">
        <f>'E-InvAT'!F10-'E-InvAT'!E10</f>
        <v>0</v>
      </c>
      <c r="H14" s="410">
        <f>'E-InvAT'!G10-'E-InvAT'!F10</f>
        <v>0</v>
      </c>
      <c r="I14" s="250">
        <f t="shared" si="1"/>
        <v>1246511.4666198073</v>
      </c>
      <c r="J14" s="754"/>
    </row>
    <row r="15" spans="1:10" x14ac:dyDescent="0.2">
      <c r="A15" s="88" t="s">
        <v>521</v>
      </c>
      <c r="B15" s="249"/>
      <c r="C15" s="249">
        <f>'E-InvAT'!B11</f>
        <v>640787.39947798871</v>
      </c>
      <c r="D15" s="249">
        <f>'E-InvAT'!C11-'E-InvAT'!B11</f>
        <v>160196.84986949712</v>
      </c>
      <c r="E15" s="249">
        <f>'E-InvAT'!D11-'E-InvAT'!C11</f>
        <v>70898.090017996263</v>
      </c>
      <c r="F15" s="249">
        <f>'E-InvAT'!E11-'E-InvAT'!D11</f>
        <v>0</v>
      </c>
      <c r="G15" s="249">
        <f>'E-InvAT'!F11-'E-InvAT'!D11</f>
        <v>20947.503296287148</v>
      </c>
      <c r="H15" s="410">
        <f>'E-InvAT'!G11-'E-InvAT'!F11</f>
        <v>0</v>
      </c>
      <c r="I15" s="250">
        <f t="shared" si="1"/>
        <v>892829.84266176925</v>
      </c>
    </row>
    <row r="16" spans="1:10" x14ac:dyDescent="0.2">
      <c r="A16" s="88" t="s">
        <v>522</v>
      </c>
      <c r="B16" s="249"/>
      <c r="C16" s="249"/>
      <c r="D16" s="249">
        <f>'E-InvAT'!C12-'E-InvAT'!C17-'E-InvAT'!B12+'E-InvAT'!B17</f>
        <v>67055.23867327506</v>
      </c>
      <c r="E16" s="249">
        <f>'E-InvAT'!D12-'E-InvAT'!D17-'E-InvAT'!C12+'E-InvAT'!C17</f>
        <v>50.075346878045821</v>
      </c>
      <c r="F16" s="249">
        <f>'E-InvAT'!E12-'E-InvAT'!E17-'E-InvAT'!D12+'E-InvAT'!D17</f>
        <v>-3.751665644813329E-12</v>
      </c>
      <c r="G16" s="249">
        <f>'E-InvAT'!F12-'E-InvAT'!F17-'E-InvAT'!E12+'E-InvAT'!E17</f>
        <v>10.453238872341785</v>
      </c>
      <c r="H16" s="249">
        <f>'E-InvAT'!G12-'E-InvAT'!G17-'E-InvAT'!F12+'E-InvAT'!F17</f>
        <v>-5.2295945351943374E-12</v>
      </c>
      <c r="I16" s="250">
        <f t="shared" si="1"/>
        <v>67115.767259025451</v>
      </c>
    </row>
    <row r="17" spans="1:10" x14ac:dyDescent="0.2">
      <c r="A17" s="88" t="s">
        <v>523</v>
      </c>
      <c r="B17" s="249"/>
      <c r="C17" s="410"/>
      <c r="D17" s="736">
        <f>('E-InvAT'!C13-'E-InvAT'!C18)-('E-InvAT'!B13-'E-InvAT'!B18)</f>
        <v>480955.65994277928</v>
      </c>
      <c r="E17" s="736">
        <f>('E-InvAT'!D13-'E-InvAT'!D18)-('E-InvAT'!C13-'E-InvAT'!C18)</f>
        <v>2136.267894957331</v>
      </c>
      <c r="F17" s="736">
        <f>('E-InvAT'!E13-'E-InvAT'!E18)-('E-InvAT'!D13-'E-InvAT'!D18)</f>
        <v>0.55085702432552353</v>
      </c>
      <c r="G17" s="736">
        <f>('E-InvAT'!F13-'E-InvAT'!F18)-('E-InvAT'!E13-'E-InvAT'!E18)</f>
        <v>117.45227975404123</v>
      </c>
      <c r="H17" s="736">
        <f>('E-InvAT'!G13-'E-InvAT'!G18)-('E-InvAT'!F13-'E-InvAT'!F18)</f>
        <v>0.11501095438143238</v>
      </c>
      <c r="I17" s="250">
        <f t="shared" si="1"/>
        <v>483210.04598546936</v>
      </c>
    </row>
    <row r="18" spans="1:10" x14ac:dyDescent="0.2">
      <c r="A18" s="81" t="s">
        <v>524</v>
      </c>
      <c r="B18" s="249"/>
      <c r="C18" s="462">
        <f>SUM(C11:C17)</f>
        <v>6216110.9818386277</v>
      </c>
      <c r="D18" s="462">
        <f t="shared" ref="D18:H18" si="2">SUM(D11:D17)</f>
        <v>2184455.5199113456</v>
      </c>
      <c r="E18" s="462">
        <f t="shared" si="2"/>
        <v>161279.75730677589</v>
      </c>
      <c r="F18" s="462">
        <f t="shared" si="2"/>
        <v>132.57982520578287</v>
      </c>
      <c r="G18" s="462">
        <f t="shared" si="2"/>
        <v>23809.733466066358</v>
      </c>
      <c r="H18" s="462">
        <f t="shared" si="2"/>
        <v>27.32449914229278</v>
      </c>
      <c r="I18" s="463">
        <f t="shared" si="1"/>
        <v>8585815.8968471624</v>
      </c>
    </row>
    <row r="19" spans="1:10" x14ac:dyDescent="0.2">
      <c r="A19" s="88"/>
      <c r="B19" s="446"/>
      <c r="C19" s="446"/>
      <c r="D19" s="446"/>
      <c r="E19" s="446"/>
      <c r="F19" s="446"/>
      <c r="G19" s="446"/>
      <c r="H19" s="505"/>
      <c r="I19" s="447"/>
    </row>
    <row r="20" spans="1:10" x14ac:dyDescent="0.2">
      <c r="A20" s="81" t="s">
        <v>525</v>
      </c>
      <c r="B20" s="446"/>
      <c r="C20" s="446"/>
      <c r="D20" s="446"/>
      <c r="E20" s="446"/>
      <c r="F20" s="446"/>
      <c r="G20" s="446"/>
      <c r="H20" s="505"/>
      <c r="I20" s="447"/>
    </row>
    <row r="21" spans="1:10" x14ac:dyDescent="0.2">
      <c r="A21" s="88" t="s">
        <v>526</v>
      </c>
      <c r="B21" s="249">
        <f>B8*0.21</f>
        <v>53245.5</v>
      </c>
      <c r="C21" s="249">
        <f>C8*0.21</f>
        <v>2783328.7167419996</v>
      </c>
      <c r="D21" s="249">
        <f>D8*0.21</f>
        <v>8400</v>
      </c>
      <c r="E21" s="249">
        <f t="shared" ref="E21:H21" si="3">E8*0.21</f>
        <v>0</v>
      </c>
      <c r="F21" s="249">
        <f t="shared" si="3"/>
        <v>0</v>
      </c>
      <c r="G21" s="249">
        <f t="shared" si="3"/>
        <v>0</v>
      </c>
      <c r="H21" s="410">
        <f t="shared" si="3"/>
        <v>0</v>
      </c>
      <c r="I21" s="250">
        <f t="shared" ref="I21:I23" si="4">SUM(B21:H21)</f>
        <v>2844974.2167419996</v>
      </c>
    </row>
    <row r="22" spans="1:10" x14ac:dyDescent="0.2">
      <c r="A22" s="88" t="s">
        <v>527</v>
      </c>
      <c r="B22" s="249"/>
      <c r="C22" s="249">
        <f>'E-InvAT'!B34</f>
        <v>1105712.7861861119</v>
      </c>
      <c r="D22" s="249">
        <f>'E-InvAT'!C34</f>
        <v>-568092.59122729034</v>
      </c>
      <c r="E22" s="249">
        <f>'E-InvAT'!D34</f>
        <v>8667.0113585061081</v>
      </c>
      <c r="F22" s="249">
        <f>'E-InvAT'!E34</f>
        <v>0</v>
      </c>
      <c r="G22" s="249">
        <f>'E-InvAT'!F34</f>
        <v>4429.1401831865915</v>
      </c>
      <c r="H22" s="410">
        <f>'E-InvAT'!G34</f>
        <v>0</v>
      </c>
      <c r="I22" s="250">
        <f t="shared" si="4"/>
        <v>550716.34650051431</v>
      </c>
      <c r="J22" s="520"/>
    </row>
    <row r="23" spans="1:10" x14ac:dyDescent="0.2">
      <c r="A23" s="81" t="s">
        <v>528</v>
      </c>
      <c r="B23" s="462">
        <f>B21+B22</f>
        <v>53245.5</v>
      </c>
      <c r="C23" s="462">
        <f>C21+C22</f>
        <v>3889041.5029281117</v>
      </c>
      <c r="D23" s="462">
        <f t="shared" ref="D23:H23" si="5">D21+D22</f>
        <v>-559692.59122729034</v>
      </c>
      <c r="E23" s="462">
        <f t="shared" si="5"/>
        <v>8667.0113585061081</v>
      </c>
      <c r="F23" s="462">
        <f t="shared" si="5"/>
        <v>0</v>
      </c>
      <c r="G23" s="462">
        <f t="shared" si="5"/>
        <v>4429.1401831865915</v>
      </c>
      <c r="H23" s="742">
        <f t="shared" si="5"/>
        <v>0</v>
      </c>
      <c r="I23" s="463">
        <f t="shared" si="4"/>
        <v>3395690.5632425142</v>
      </c>
    </row>
    <row r="24" spans="1:10" x14ac:dyDescent="0.2">
      <c r="A24" s="81"/>
      <c r="B24" s="446"/>
      <c r="C24" s="446"/>
      <c r="D24" s="446"/>
      <c r="E24" s="446"/>
      <c r="F24" s="446"/>
      <c r="G24" s="446"/>
      <c r="H24" s="505"/>
      <c r="I24" s="447"/>
    </row>
    <row r="25" spans="1:10" x14ac:dyDescent="0.2">
      <c r="A25" s="85" t="s">
        <v>529</v>
      </c>
      <c r="B25" s="395">
        <f>B8+B18+B23</f>
        <v>306795.5</v>
      </c>
      <c r="C25" s="395">
        <f t="shared" ref="C25:H25" si="6">C8+C18+C23</f>
        <v>23359098.75496674</v>
      </c>
      <c r="D25" s="395">
        <f t="shared" si="6"/>
        <v>1664762.9286840553</v>
      </c>
      <c r="E25" s="395">
        <f t="shared" si="6"/>
        <v>169946.768665282</v>
      </c>
      <c r="F25" s="395">
        <f t="shared" si="6"/>
        <v>132.57982520578287</v>
      </c>
      <c r="G25" s="395">
        <f t="shared" si="6"/>
        <v>28238.87364925295</v>
      </c>
      <c r="H25" s="413">
        <f t="shared" si="6"/>
        <v>27.32449914229278</v>
      </c>
      <c r="I25" s="743">
        <f>SUM(B25:H25)</f>
        <v>25529002.730289679</v>
      </c>
    </row>
    <row r="28" spans="1:10" x14ac:dyDescent="0.2">
      <c r="D28" s="789"/>
      <c r="E28" s="789"/>
      <c r="F28" s="789"/>
      <c r="G28" s="789"/>
      <c r="H28" s="789"/>
    </row>
    <row r="29" spans="1:10" x14ac:dyDescent="0.2">
      <c r="D29" s="789"/>
      <c r="E29" s="789"/>
      <c r="F29" s="789"/>
      <c r="G29" s="789"/>
      <c r="H29" s="789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A10" sqref="A10:G10"/>
    </sheetView>
  </sheetViews>
  <sheetFormatPr baseColWidth="10" defaultColWidth="11.42578125" defaultRowHeight="12.75" x14ac:dyDescent="0.2"/>
  <cols>
    <col min="1" max="1" width="28.140625" style="6" customWidth="1"/>
    <col min="2" max="7" width="14" style="6" customWidth="1"/>
    <col min="8" max="8" width="17.42578125" style="6" customWidth="1"/>
    <col min="9" max="16384" width="11.42578125" style="6"/>
  </cols>
  <sheetData>
    <row r="1" spans="1:8" x14ac:dyDescent="0.2">
      <c r="A1" s="1" t="s">
        <v>0</v>
      </c>
      <c r="B1"/>
      <c r="C1"/>
      <c r="D1"/>
      <c r="G1" s="526">
        <f>InfoInicial!E1</f>
        <v>3</v>
      </c>
    </row>
    <row r="2" spans="1:8" ht="15.75" x14ac:dyDescent="0.25">
      <c r="A2" s="92" t="s">
        <v>530</v>
      </c>
      <c r="B2" s="37"/>
      <c r="C2" s="37"/>
      <c r="D2" s="37"/>
      <c r="E2" s="37"/>
      <c r="F2" s="37"/>
      <c r="G2" s="38"/>
    </row>
    <row r="3" spans="1:8" ht="15.75" x14ac:dyDescent="0.25">
      <c r="A3" s="93"/>
      <c r="B3" s="94" t="s">
        <v>531</v>
      </c>
      <c r="C3" s="94"/>
      <c r="D3" s="94"/>
      <c r="E3" s="94"/>
      <c r="F3" s="94"/>
      <c r="G3" s="95"/>
    </row>
    <row r="4" spans="1:8" ht="13.5" thickBot="1" x14ac:dyDescent="0.25">
      <c r="A4" s="96" t="s">
        <v>398</v>
      </c>
      <c r="B4" s="86" t="s">
        <v>359</v>
      </c>
      <c r="C4" s="9" t="s">
        <v>194</v>
      </c>
      <c r="D4" s="9" t="s">
        <v>399</v>
      </c>
      <c r="E4" s="9" t="s">
        <v>400</v>
      </c>
      <c r="F4" s="9" t="s">
        <v>401</v>
      </c>
      <c r="G4" s="10" t="s">
        <v>402</v>
      </c>
    </row>
    <row r="5" spans="1:8" ht="13.5" thickTop="1" x14ac:dyDescent="0.2">
      <c r="A5" s="97" t="s">
        <v>532</v>
      </c>
      <c r="B5" s="745"/>
      <c r="C5" s="746"/>
      <c r="D5" s="746"/>
      <c r="E5" s="746"/>
      <c r="F5" s="746"/>
      <c r="G5" s="747"/>
    </row>
    <row r="6" spans="1:8" x14ac:dyDescent="0.2">
      <c r="A6" s="99" t="s">
        <v>165</v>
      </c>
      <c r="B6" s="748"/>
      <c r="C6" s="519">
        <f>'E-Costos'!B7*0.21</f>
        <v>7367251.0927996524</v>
      </c>
      <c r="D6" s="519">
        <f>'E-Costos'!C7*0.21</f>
        <v>7895760.6167945731</v>
      </c>
      <c r="E6" s="519">
        <f>'E-Costos'!D7*0.21</f>
        <v>7895760.6167945731</v>
      </c>
      <c r="F6" s="519">
        <f>'E-Costos'!E7*0.21</f>
        <v>7895760.6167945731</v>
      </c>
      <c r="G6" s="250">
        <f>'E-Costos'!F7*0.21</f>
        <v>7895760.6167945731</v>
      </c>
    </row>
    <row r="7" spans="1:8" x14ac:dyDescent="0.2">
      <c r="A7" s="99" t="s">
        <v>228</v>
      </c>
      <c r="B7" s="748"/>
      <c r="C7" s="522">
        <f>'E-Costos'!B12*0.21</f>
        <v>130599.50193929777</v>
      </c>
      <c r="D7" s="522">
        <f>'E-Costos'!C12*0.21</f>
        <v>141188.35410576573</v>
      </c>
      <c r="E7" s="522">
        <f>'E-Costos'!D12*0.21</f>
        <v>141188.35410576573</v>
      </c>
      <c r="F7" s="522">
        <f>'E-Costos'!E12*0.21</f>
        <v>143711.61721913677</v>
      </c>
      <c r="G7" s="749">
        <f>'E-Costos'!F12*0.21</f>
        <v>143711.61721913677</v>
      </c>
    </row>
    <row r="8" spans="1:8" x14ac:dyDescent="0.2">
      <c r="A8" s="99" t="s">
        <v>247</v>
      </c>
      <c r="B8" s="748"/>
      <c r="C8" s="522">
        <f>'E-Costos'!B13*0.21</f>
        <v>19836.158656403954</v>
      </c>
      <c r="D8" s="522">
        <f>'E-Costos'!C13*0.21</f>
        <v>21164.944032313044</v>
      </c>
      <c r="E8" s="522">
        <f>'E-Costos'!D13*0.21</f>
        <v>21164.944032313044</v>
      </c>
      <c r="F8" s="522">
        <f>'E-Costos'!E13*0.21</f>
        <v>21164.944032313044</v>
      </c>
      <c r="G8" s="749">
        <f>'E-Costos'!F13*0.21</f>
        <v>21164.944032313044</v>
      </c>
      <c r="H8" s="521"/>
    </row>
    <row r="9" spans="1:8" x14ac:dyDescent="0.2">
      <c r="A9" s="99" t="s">
        <v>283</v>
      </c>
      <c r="B9" s="748"/>
      <c r="C9" s="522">
        <f>'E-Costos'!B14*0.21</f>
        <v>2429.2402080150491</v>
      </c>
      <c r="D9" s="522">
        <f>'E-Costos'!C14*0.21</f>
        <v>2576.7121209951169</v>
      </c>
      <c r="E9" s="522">
        <f>'E-Costos'!D14*0.21</f>
        <v>2576.7121209951169</v>
      </c>
      <c r="F9" s="522">
        <f>'E-Costos'!E14*0.21</f>
        <v>2576.7121209951169</v>
      </c>
      <c r="G9" s="749">
        <f>'E-Costos'!F14*0.21</f>
        <v>2576.7121209951169</v>
      </c>
    </row>
    <row r="10" spans="1:8" x14ac:dyDescent="0.2">
      <c r="A10" s="744" t="s">
        <v>533</v>
      </c>
      <c r="B10" s="750"/>
      <c r="C10" s="477" t="s">
        <v>435</v>
      </c>
      <c r="D10" s="477" t="s">
        <v>435</v>
      </c>
      <c r="E10" s="477" t="s">
        <v>435</v>
      </c>
      <c r="F10" s="477" t="s">
        <v>435</v>
      </c>
      <c r="G10" s="478" t="s">
        <v>435</v>
      </c>
    </row>
    <row r="11" spans="1:8" x14ac:dyDescent="0.2">
      <c r="A11" s="99" t="s">
        <v>431</v>
      </c>
      <c r="B11" s="748"/>
      <c r="C11" s="522" t="s">
        <v>435</v>
      </c>
      <c r="D11" s="522" t="s">
        <v>435</v>
      </c>
      <c r="E11" s="249" t="s">
        <v>435</v>
      </c>
      <c r="F11" s="249" t="s">
        <v>435</v>
      </c>
      <c r="G11" s="250" t="s">
        <v>435</v>
      </c>
    </row>
    <row r="12" spans="1:8" x14ac:dyDescent="0.2">
      <c r="A12" s="101" t="s">
        <v>393</v>
      </c>
      <c r="B12" s="748"/>
      <c r="C12" s="462">
        <f>SUM(C6:C11)</f>
        <v>7520115.9936033692</v>
      </c>
      <c r="D12" s="462">
        <f>SUM(D6:D11)</f>
        <v>8060690.6270536473</v>
      </c>
      <c r="E12" s="462">
        <f>SUM(E6:E11)</f>
        <v>8060690.6270536473</v>
      </c>
      <c r="F12" s="462">
        <f>SUM(F6:F11)</f>
        <v>8063213.8901670184</v>
      </c>
      <c r="G12" s="463">
        <f>SUM(G6:G11)</f>
        <v>8063213.8901670184</v>
      </c>
    </row>
    <row r="13" spans="1:8" x14ac:dyDescent="0.2">
      <c r="A13" s="99" t="s">
        <v>534</v>
      </c>
      <c r="B13" s="748"/>
      <c r="C13" s="249">
        <f>('E-Costos'!H35-'E-Costos'!H26)*0.21</f>
        <v>104673.86474035238</v>
      </c>
      <c r="D13" s="249"/>
      <c r="E13" s="249"/>
      <c r="F13" s="249"/>
      <c r="G13" s="250"/>
    </row>
    <row r="14" spans="1:8" x14ac:dyDescent="0.2">
      <c r="A14" s="99" t="s">
        <v>535</v>
      </c>
      <c r="B14" s="751"/>
      <c r="C14" s="446"/>
      <c r="D14" s="446"/>
      <c r="E14" s="446"/>
      <c r="F14" s="446"/>
      <c r="G14" s="447"/>
    </row>
    <row r="15" spans="1:8" x14ac:dyDescent="0.2">
      <c r="A15" s="99" t="s">
        <v>536</v>
      </c>
      <c r="B15" s="748">
        <f>'E-InvAT'!B32</f>
        <v>0</v>
      </c>
      <c r="C15" s="249">
        <f>'E-InvAT'!C32</f>
        <v>12883</v>
      </c>
      <c r="D15" s="249">
        <f>'E-InvAT'!D32</f>
        <v>11.638686157910342</v>
      </c>
      <c r="E15" s="249">
        <f>'E-InvAT'!E32</f>
        <v>0</v>
      </c>
      <c r="F15" s="249">
        <f>'E-InvAT'!F32</f>
        <v>2.434082142313855</v>
      </c>
      <c r="G15" s="250">
        <f>'E-InvAT'!G32</f>
        <v>0</v>
      </c>
    </row>
    <row r="16" spans="1:8" x14ac:dyDescent="0.2">
      <c r="A16" s="99" t="s">
        <v>537</v>
      </c>
      <c r="B16" s="748">
        <f>'E-InvAT'!B33</f>
        <v>0</v>
      </c>
      <c r="C16" s="249">
        <f>'E-InvAT'!C33</f>
        <v>88346.02797731226</v>
      </c>
      <c r="D16" s="249">
        <f>'E-InvAT'!D33</f>
        <v>183.8403969467181</v>
      </c>
      <c r="E16" s="249">
        <f>'E-InvAT'!E33</f>
        <v>0</v>
      </c>
      <c r="F16" s="249">
        <f>'E-InvAT'!F33</f>
        <v>27.730408823976177</v>
      </c>
      <c r="G16" s="250">
        <f>'E-InvAT'!G33</f>
        <v>0</v>
      </c>
    </row>
    <row r="17" spans="1:7" x14ac:dyDescent="0.2">
      <c r="A17" s="525" t="s">
        <v>538</v>
      </c>
      <c r="B17" s="752"/>
      <c r="C17" s="523">
        <f>C12-SUM(C13:C16)</f>
        <v>7314213.1008857042</v>
      </c>
      <c r="D17" s="523">
        <f>D12-SUM(D15:D16)</f>
        <v>8060495.1479705423</v>
      </c>
      <c r="E17" s="523">
        <f>E12-SUM(E15:E16)</f>
        <v>8060690.6270536473</v>
      </c>
      <c r="F17" s="523">
        <f>F12-SUM(F15:F16)</f>
        <v>8063183.7256760523</v>
      </c>
      <c r="G17" s="524">
        <f>G12-SUM(G15:G16)</f>
        <v>8063213.8901670184</v>
      </c>
    </row>
    <row r="18" spans="1:7" x14ac:dyDescent="0.2">
      <c r="A18" s="525" t="s">
        <v>539</v>
      </c>
      <c r="B18" s="752"/>
      <c r="C18" s="523">
        <f>(SUM('E-Costos'!B54:'E-Costos'!B57))*0.21</f>
        <v>59125.465596285649</v>
      </c>
      <c r="D18" s="523">
        <f>(SUM('E-Costos'!C54:'E-Costos'!C57))*0.21</f>
        <v>61318.663835208856</v>
      </c>
      <c r="E18" s="523">
        <f>(SUM('E-Costos'!D54:'E-Costos'!D57))*0.21</f>
        <v>61318.663835208856</v>
      </c>
      <c r="F18" s="523">
        <f>(SUM('E-Costos'!E54:'E-Costos'!E57))*0.21</f>
        <v>62224.077672037121</v>
      </c>
      <c r="G18" s="524">
        <f>(SUM('E-Costos'!F54:'E-Costos'!F57))*0.21</f>
        <v>62224.077672037121</v>
      </c>
    </row>
    <row r="19" spans="1:7" x14ac:dyDescent="0.2">
      <c r="A19" s="525" t="s">
        <v>540</v>
      </c>
      <c r="B19" s="752"/>
      <c r="C19" s="523">
        <f>(SUM('E-Costos'!B71:'E-Costos'!B74))*0.21</f>
        <v>26556.99036612413</v>
      </c>
      <c r="D19" s="523">
        <f>(SUM('E-Costos'!C71:'E-Costos'!C74))*0.21</f>
        <v>29802.376814200456</v>
      </c>
      <c r="E19" s="523">
        <f>(SUM('E-Costos'!D71:'E-Costos'!D74))*0.21</f>
        <v>29802.376814200456</v>
      </c>
      <c r="F19" s="523">
        <f>(SUM('E-Costos'!E71:'E-Costos'!E74))*0.21</f>
        <v>30772.675556221471</v>
      </c>
      <c r="G19" s="524">
        <f>(SUM('E-Costos'!F71:'E-Costos'!F74))*0.21</f>
        <v>30772.675556221471</v>
      </c>
    </row>
    <row r="20" spans="1:7" x14ac:dyDescent="0.2">
      <c r="A20" s="101"/>
      <c r="B20" s="751"/>
      <c r="C20" s="446"/>
      <c r="D20" s="446"/>
      <c r="E20" s="446"/>
      <c r="F20" s="446"/>
      <c r="G20" s="447"/>
    </row>
    <row r="21" spans="1:7" x14ac:dyDescent="0.2">
      <c r="A21" s="99" t="s">
        <v>541</v>
      </c>
      <c r="B21" s="748"/>
      <c r="C21" s="249">
        <f>SUM(C17:C19)</f>
        <v>7399895.5568481144</v>
      </c>
      <c r="D21" s="249">
        <f t="shared" ref="D21:G21" si="0">SUM(D17:D19)</f>
        <v>8151616.1886199517</v>
      </c>
      <c r="E21" s="249">
        <f t="shared" si="0"/>
        <v>8151811.6677030567</v>
      </c>
      <c r="F21" s="249">
        <f t="shared" si="0"/>
        <v>8156180.4789043106</v>
      </c>
      <c r="G21" s="250">
        <f t="shared" si="0"/>
        <v>8156210.6433952767</v>
      </c>
    </row>
    <row r="22" spans="1:7" x14ac:dyDescent="0.2">
      <c r="A22" s="99" t="s">
        <v>542</v>
      </c>
      <c r="B22" s="748"/>
      <c r="C22" s="249">
        <f>'E-Costos'!B88*0.21</f>
        <v>12479407.5</v>
      </c>
      <c r="D22" s="249">
        <f>'E-Costos'!C88*0.21</f>
        <v>13702500</v>
      </c>
      <c r="E22" s="249">
        <f>'E-Costos'!D88*0.21</f>
        <v>13702500</v>
      </c>
      <c r="F22" s="249">
        <f>'E-Costos'!E88*0.21</f>
        <v>13702500</v>
      </c>
      <c r="G22" s="250">
        <f>'E-Costos'!F88*0.21</f>
        <v>13702500</v>
      </c>
    </row>
    <row r="23" spans="1:7" x14ac:dyDescent="0.2">
      <c r="A23" s="101" t="s">
        <v>543</v>
      </c>
      <c r="B23" s="748"/>
      <c r="C23" s="462">
        <f>C22-C21</f>
        <v>5079511.9431518856</v>
      </c>
      <c r="D23" s="462">
        <f t="shared" ref="D23:G23" si="1">D22-D21</f>
        <v>5550883.8113800483</v>
      </c>
      <c r="E23" s="462">
        <f t="shared" si="1"/>
        <v>5550688.3322969433</v>
      </c>
      <c r="F23" s="462">
        <f t="shared" si="1"/>
        <v>5546319.5210956894</v>
      </c>
      <c r="G23" s="463">
        <f t="shared" si="1"/>
        <v>5546289.3566047233</v>
      </c>
    </row>
    <row r="24" spans="1:7" x14ac:dyDescent="0.2">
      <c r="A24" s="99"/>
      <c r="B24" s="751"/>
      <c r="C24" s="446"/>
      <c r="D24" s="446"/>
      <c r="E24" s="446"/>
      <c r="F24" s="446"/>
      <c r="G24" s="447"/>
    </row>
    <row r="25" spans="1:7" x14ac:dyDescent="0.2">
      <c r="A25" s="103" t="s">
        <v>544</v>
      </c>
      <c r="B25" s="748"/>
      <c r="C25" s="249">
        <f>B27</f>
        <v>3942287.0029281117</v>
      </c>
      <c r="D25" s="249">
        <f>C27</f>
        <v>0</v>
      </c>
      <c r="E25" s="249">
        <f t="shared" ref="E25:G25" si="2">D27</f>
        <v>0</v>
      </c>
      <c r="F25" s="249">
        <f t="shared" si="2"/>
        <v>0</v>
      </c>
      <c r="G25" s="250">
        <f t="shared" si="2"/>
        <v>0</v>
      </c>
    </row>
    <row r="26" spans="1:7" x14ac:dyDescent="0.2">
      <c r="A26" s="103" t="s">
        <v>545</v>
      </c>
      <c r="B26" s="748">
        <f>'E-Cal Inv.'!B23+'E-Cal Inv.'!C23</f>
        <v>3942287.0029281117</v>
      </c>
      <c r="C26" s="249">
        <f>'E-Cal Inv.'!D23</f>
        <v>-559692.59122729034</v>
      </c>
      <c r="D26" s="249">
        <f>'E-Cal Inv.'!E23</f>
        <v>8667.0113585061081</v>
      </c>
      <c r="E26" s="249">
        <f>'E-Cal Inv.'!F23</f>
        <v>0</v>
      </c>
      <c r="F26" s="249">
        <f>'E-Cal Inv.'!G23</f>
        <v>4429.1401831865915</v>
      </c>
      <c r="G26" s="250">
        <f>'E-Cal Inv.'!H23</f>
        <v>0</v>
      </c>
    </row>
    <row r="27" spans="1:7" x14ac:dyDescent="0.2">
      <c r="A27" s="101" t="s">
        <v>546</v>
      </c>
      <c r="B27" s="748">
        <f>B26-B23</f>
        <v>3942287.0029281117</v>
      </c>
      <c r="C27" s="249">
        <f>IF(C25+C26-C23&gt;0,C25+C26-C23,0)</f>
        <v>0</v>
      </c>
      <c r="D27" s="249">
        <f t="shared" ref="D27:G27" si="3">IF(D28-D23&gt;0,D28-D23,0)</f>
        <v>0</v>
      </c>
      <c r="E27" s="249">
        <f t="shared" si="3"/>
        <v>0</v>
      </c>
      <c r="F27" s="249">
        <f t="shared" si="3"/>
        <v>0</v>
      </c>
      <c r="G27" s="250">
        <f t="shared" si="3"/>
        <v>0</v>
      </c>
    </row>
    <row r="28" spans="1:7" x14ac:dyDescent="0.2">
      <c r="A28" s="101" t="s">
        <v>547</v>
      </c>
      <c r="B28" s="748"/>
      <c r="C28" s="249">
        <f>IF(C25+C26&gt;C23,C23,IF(C23-C25-C26&gt;0,C25+C26,0))</f>
        <v>3382594.4117008215</v>
      </c>
      <c r="D28" s="249">
        <f t="shared" ref="D28:G28" si="4">IF(D25+D26&gt;D23,D23,IF(D23-D25-D26&gt;0,D25+D26,0))</f>
        <v>8667.0113585061081</v>
      </c>
      <c r="E28" s="249">
        <f t="shared" si="4"/>
        <v>0</v>
      </c>
      <c r="F28" s="249">
        <f t="shared" si="4"/>
        <v>4429.1401831865915</v>
      </c>
      <c r="G28" s="250">
        <f t="shared" si="4"/>
        <v>0</v>
      </c>
    </row>
    <row r="29" spans="1:7" x14ac:dyDescent="0.2">
      <c r="A29" s="99"/>
      <c r="B29" s="751"/>
      <c r="C29" s="446"/>
      <c r="D29" s="446"/>
      <c r="E29" s="446"/>
      <c r="F29" s="446"/>
      <c r="G29" s="447"/>
    </row>
    <row r="30" spans="1:7" ht="13.5" thickBot="1" x14ac:dyDescent="0.25">
      <c r="A30" s="104" t="s">
        <v>548</v>
      </c>
      <c r="B30" s="753">
        <f>IF(B23-B27-B28&gt;0,B23-B27-B28,0)</f>
        <v>0</v>
      </c>
      <c r="C30" s="506">
        <f t="shared" ref="C30:G30" si="5">IF(C23-C27-C28&gt;0,C23-C27-C28,0)</f>
        <v>1696917.5314510642</v>
      </c>
      <c r="D30" s="506">
        <f t="shared" si="5"/>
        <v>5542216.8000215422</v>
      </c>
      <c r="E30" s="506">
        <f t="shared" si="5"/>
        <v>5550688.3322969433</v>
      </c>
      <c r="F30" s="506">
        <f t="shared" si="5"/>
        <v>5541890.3809125032</v>
      </c>
      <c r="G30" s="507">
        <f t="shared" si="5"/>
        <v>5546289.3566047233</v>
      </c>
    </row>
    <row r="31" spans="1:7" ht="13.5" thickTop="1" x14ac:dyDescent="0.2"/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selection activeCell="O13" sqref="O13"/>
    </sheetView>
  </sheetViews>
  <sheetFormatPr baseColWidth="10" defaultColWidth="11.42578125" defaultRowHeight="12.75" x14ac:dyDescent="0.2"/>
  <cols>
    <col min="1" max="1" width="8" style="6" customWidth="1"/>
    <col min="2" max="9" width="14.85546875" style="6" customWidth="1"/>
    <col min="10" max="10" width="13.5703125" style="6" bestFit="1" customWidth="1"/>
    <col min="11" max="13" width="14.85546875" style="6" customWidth="1"/>
    <col min="14" max="14" width="17.42578125" style="6" customWidth="1"/>
    <col min="15" max="15" width="11.85546875" style="6" bestFit="1" customWidth="1"/>
    <col min="16" max="16" width="12.28515625" style="6" bestFit="1" customWidth="1"/>
    <col min="17" max="16384" width="11.42578125" style="6"/>
  </cols>
  <sheetData>
    <row r="1" spans="1:16" x14ac:dyDescent="0.2">
      <c r="A1" s="1" t="s">
        <v>0</v>
      </c>
      <c r="B1"/>
      <c r="C1"/>
      <c r="D1"/>
      <c r="G1" s="6">
        <f>InfoInicial!E1</f>
        <v>3</v>
      </c>
      <c r="H1" s="526"/>
    </row>
    <row r="2" spans="1:16" ht="15.75" x14ac:dyDescent="0.25">
      <c r="A2" s="92" t="s">
        <v>549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6" s="810" customFormat="1" ht="38.25" x14ac:dyDescent="0.2">
      <c r="A3" s="806" t="s">
        <v>550</v>
      </c>
      <c r="B3" s="807" t="s">
        <v>551</v>
      </c>
      <c r="C3" s="807" t="s">
        <v>552</v>
      </c>
      <c r="D3" s="807" t="s">
        <v>553</v>
      </c>
      <c r="E3" s="807" t="s">
        <v>3</v>
      </c>
      <c r="F3" s="807" t="s">
        <v>554</v>
      </c>
      <c r="G3" s="807" t="s">
        <v>555</v>
      </c>
      <c r="H3" s="807" t="s">
        <v>556</v>
      </c>
      <c r="I3" s="807" t="s">
        <v>406</v>
      </c>
      <c r="J3" s="807" t="s">
        <v>557</v>
      </c>
      <c r="K3" s="807" t="s">
        <v>558</v>
      </c>
      <c r="L3" s="808" t="s">
        <v>559</v>
      </c>
      <c r="M3" s="809" t="s">
        <v>560</v>
      </c>
    </row>
    <row r="4" spans="1:16" x14ac:dyDescent="0.2">
      <c r="A4" s="106">
        <v>0</v>
      </c>
      <c r="B4" s="510">
        <f>'E-Cal Inv.'!B8+'E-Cal Inv.'!C8</f>
        <v>13507496.270199999</v>
      </c>
      <c r="C4" s="247">
        <f>'E-Cal Inv.'!C18</f>
        <v>6216110.9818386277</v>
      </c>
      <c r="D4" s="247">
        <f>'E-Cal Inv.'!C23+'E-Cal Inv.'!B23</f>
        <v>3942287.0029281117</v>
      </c>
      <c r="E4" s="247">
        <v>0</v>
      </c>
      <c r="F4" s="247">
        <v>0</v>
      </c>
      <c r="G4" s="247">
        <f>SUM(B4:F4)</f>
        <v>23665894.25496674</v>
      </c>
      <c r="H4" s="247">
        <v>0</v>
      </c>
      <c r="I4" s="247">
        <v>0</v>
      </c>
      <c r="J4" s="247">
        <v>0</v>
      </c>
      <c r="K4" s="247">
        <f>SUM(H4:J4)</f>
        <v>0</v>
      </c>
      <c r="L4" s="409">
        <f>K4-G4</f>
        <v>-23665894.25496674</v>
      </c>
      <c r="M4" s="248">
        <f>L4</f>
        <v>-23665894.25496674</v>
      </c>
      <c r="O4" s="376"/>
      <c r="P4" s="376"/>
    </row>
    <row r="5" spans="1:16" x14ac:dyDescent="0.2">
      <c r="A5" s="109">
        <v>1</v>
      </c>
      <c r="B5" s="508">
        <f>'E-Inv AF y Am'!C36</f>
        <v>40000</v>
      </c>
      <c r="C5" s="249">
        <f>'E-Cal Inv.'!D18</f>
        <v>2184455.5199113456</v>
      </c>
      <c r="D5" s="249">
        <f>'E-Cal Inv.'!D23</f>
        <v>-559692.59122729034</v>
      </c>
      <c r="E5" s="249">
        <f>'E-Costos'!B119</f>
        <v>488637.02353940188</v>
      </c>
      <c r="F5" s="249">
        <f>'E-Costos'!B120</f>
        <v>4104550.9977309755</v>
      </c>
      <c r="G5" s="249">
        <f t="shared" ref="G5:G9" si="0">SUM(B5:F5)</f>
        <v>6257950.9499544334</v>
      </c>
      <c r="H5" s="249">
        <f>'E-Costos'!B118</f>
        <v>12215925.588485047</v>
      </c>
      <c r="I5" s="249">
        <f>'E-Inv AF y Am'!D56</f>
        <v>1092239.8867066666</v>
      </c>
      <c r="J5" s="249">
        <f>'E-IVA '!C28</f>
        <v>3382594.4117008215</v>
      </c>
      <c r="K5" s="249">
        <f t="shared" ref="K5:K9" si="1">SUM(H5:J5)</f>
        <v>16690759.886892535</v>
      </c>
      <c r="L5" s="410">
        <f t="shared" ref="L5:L9" si="2">K5-G5</f>
        <v>10432808.936938101</v>
      </c>
      <c r="M5" s="250">
        <f>M4+L5</f>
        <v>-13233085.318028638</v>
      </c>
      <c r="O5" s="376"/>
      <c r="P5" s="376"/>
    </row>
    <row r="6" spans="1:16" x14ac:dyDescent="0.2">
      <c r="A6" s="109">
        <v>2</v>
      </c>
      <c r="B6" s="508">
        <v>0</v>
      </c>
      <c r="C6" s="249">
        <f>'E-Cal Inv.'!E18</f>
        <v>161279.75730677589</v>
      </c>
      <c r="D6" s="249">
        <f>'E-Cal Inv.'!E23</f>
        <v>8667.0113585061081</v>
      </c>
      <c r="E6" s="249">
        <f>'E-Costos'!C119</f>
        <v>534188.6565073228</v>
      </c>
      <c r="F6" s="249">
        <f>'E-Costos'!C120</f>
        <v>4487184.7146615116</v>
      </c>
      <c r="G6" s="249">
        <f t="shared" si="0"/>
        <v>5191320.1398341162</v>
      </c>
      <c r="H6" s="249">
        <f>'E-Costos'!C118</f>
        <v>13354716.41268307</v>
      </c>
      <c r="I6" s="249">
        <f>'E-Inv AF y Am'!D56</f>
        <v>1092239.8867066666</v>
      </c>
      <c r="J6" s="249">
        <f>'E-IVA '!D28</f>
        <v>8667.0113585061081</v>
      </c>
      <c r="K6" s="249">
        <f t="shared" si="1"/>
        <v>14455623.310748244</v>
      </c>
      <c r="L6" s="410">
        <f t="shared" si="2"/>
        <v>9264303.1709141284</v>
      </c>
      <c r="M6" s="250">
        <f>M5+L6</f>
        <v>-3968782.1471145097</v>
      </c>
      <c r="O6" s="376"/>
      <c r="P6" s="376"/>
    </row>
    <row r="7" spans="1:16" x14ac:dyDescent="0.2">
      <c r="A7" s="109">
        <v>3</v>
      </c>
      <c r="B7" s="508">
        <v>0</v>
      </c>
      <c r="C7" s="249">
        <f>'E-Cal Inv.'!F18</f>
        <v>132.57982520578287</v>
      </c>
      <c r="D7" s="249">
        <f>'E-Cal Inv.'!F23</f>
        <v>0</v>
      </c>
      <c r="E7" s="249">
        <f>'E-Costos'!D119</f>
        <v>534127.01396066311</v>
      </c>
      <c r="F7" s="249">
        <f>'E-Costos'!D120</f>
        <v>4486666.9172695698</v>
      </c>
      <c r="G7" s="249">
        <f t="shared" si="0"/>
        <v>5020926.5110554388</v>
      </c>
      <c r="H7" s="249">
        <f>'E-Costos'!D118</f>
        <v>13353175.349016577</v>
      </c>
      <c r="I7" s="249">
        <f>'E-Inv AF y Am'!D56</f>
        <v>1092239.8867066666</v>
      </c>
      <c r="J7" s="249">
        <f>'E-IVA '!E28</f>
        <v>0</v>
      </c>
      <c r="K7" s="249">
        <f t="shared" si="1"/>
        <v>14445415.235723244</v>
      </c>
      <c r="L7" s="410">
        <f t="shared" si="2"/>
        <v>9424488.7246678062</v>
      </c>
      <c r="M7" s="250">
        <f t="shared" ref="M7:M9" si="3">M6+L7</f>
        <v>5455706.5775532965</v>
      </c>
      <c r="O7" s="376"/>
      <c r="P7" s="376"/>
    </row>
    <row r="8" spans="1:16" x14ac:dyDescent="0.2">
      <c r="A8" s="109">
        <v>4</v>
      </c>
      <c r="B8" s="508">
        <v>0</v>
      </c>
      <c r="C8" s="249">
        <f>'E-Cal Inv.'!G18</f>
        <v>23809.733466066358</v>
      </c>
      <c r="D8" s="249">
        <f>'E-Cal Inv.'!G23</f>
        <v>4429.1401831865915</v>
      </c>
      <c r="E8" s="249">
        <f>'E-Costos'!E119</f>
        <v>535564.21958358411</v>
      </c>
      <c r="F8" s="249">
        <f>'E-Costos'!E120</f>
        <v>4498739.4445021059</v>
      </c>
      <c r="G8" s="249">
        <f t="shared" si="0"/>
        <v>5062542.5377349425</v>
      </c>
      <c r="H8" s="249">
        <f>'E-Costos'!E118</f>
        <v>13389105.489589602</v>
      </c>
      <c r="I8" s="249">
        <f>'E-Inv AF y Am'!E56</f>
        <v>1035883.5533733333</v>
      </c>
      <c r="J8" s="249">
        <f>'E-IVA '!F28</f>
        <v>4429.1401831865915</v>
      </c>
      <c r="K8" s="249">
        <f t="shared" si="1"/>
        <v>14429418.183146121</v>
      </c>
      <c r="L8" s="410">
        <f t="shared" si="2"/>
        <v>9366875.6454111785</v>
      </c>
      <c r="M8" s="250">
        <f t="shared" si="3"/>
        <v>14822582.222964475</v>
      </c>
      <c r="O8" s="376"/>
      <c r="P8" s="376"/>
    </row>
    <row r="9" spans="1:16" x14ac:dyDescent="0.2">
      <c r="A9" s="109">
        <v>5</v>
      </c>
      <c r="B9" s="508">
        <f>-'E-Inv AF y Am'!F56</f>
        <v>-8199009.5033333329</v>
      </c>
      <c r="C9" s="249">
        <f>-'E-Cal Inv.'!I18+'E-Cal Inv.'!H18</f>
        <v>-8585788.572348021</v>
      </c>
      <c r="D9" s="249">
        <f>'E-Cal Inv.'!H23</f>
        <v>0</v>
      </c>
      <c r="E9" s="249">
        <f>'E-Costos'!F119</f>
        <v>535585.84280329465</v>
      </c>
      <c r="F9" s="249">
        <f>'E-Costos'!F120</f>
        <v>4498921.0795476753</v>
      </c>
      <c r="G9" s="249">
        <f t="shared" si="0"/>
        <v>-11750291.153330386</v>
      </c>
      <c r="H9" s="249">
        <f>'E-Costos'!F118</f>
        <v>13389646.070082366</v>
      </c>
      <c r="I9" s="249">
        <f>'E-Inv AF y Am'!E56</f>
        <v>1035883.5533733333</v>
      </c>
      <c r="J9" s="249">
        <f>'E-IVA '!G28</f>
        <v>0</v>
      </c>
      <c r="K9" s="249">
        <f t="shared" si="1"/>
        <v>14425529.6234557</v>
      </c>
      <c r="L9" s="410">
        <f t="shared" si="2"/>
        <v>26175820.776786085</v>
      </c>
      <c r="M9" s="250">
        <f t="shared" si="3"/>
        <v>40998402.999750562</v>
      </c>
      <c r="O9" s="376"/>
      <c r="P9" s="376"/>
    </row>
    <row r="10" spans="1:16" x14ac:dyDescent="0.2">
      <c r="A10" s="109"/>
      <c r="B10" s="509"/>
      <c r="C10" s="446"/>
      <c r="D10" s="446"/>
      <c r="E10" s="446"/>
      <c r="F10" s="446"/>
      <c r="G10" s="446"/>
      <c r="H10" s="446"/>
      <c r="I10" s="446"/>
      <c r="J10" s="446"/>
      <c r="K10" s="446"/>
      <c r="L10" s="505"/>
      <c r="M10" s="447"/>
    </row>
    <row r="11" spans="1:16" x14ac:dyDescent="0.2">
      <c r="A11" s="110" t="s">
        <v>561</v>
      </c>
      <c r="B11" s="787">
        <f>SUM(B4:B10)</f>
        <v>5348486.7668666663</v>
      </c>
      <c r="C11" s="395">
        <f t="shared" ref="C11:K11" si="4">SUM(C4:C10)</f>
        <v>0</v>
      </c>
      <c r="D11" s="395">
        <f t="shared" si="4"/>
        <v>3395690.5632425142</v>
      </c>
      <c r="E11" s="395">
        <f t="shared" si="4"/>
        <v>2628102.7563942666</v>
      </c>
      <c r="F11" s="395">
        <f t="shared" si="4"/>
        <v>22076063.153711833</v>
      </c>
      <c r="G11" s="395">
        <f t="shared" si="4"/>
        <v>33448343.240215279</v>
      </c>
      <c r="H11" s="395">
        <f t="shared" si="4"/>
        <v>65702568.909856662</v>
      </c>
      <c r="I11" s="395">
        <f t="shared" si="4"/>
        <v>5348486.7668666663</v>
      </c>
      <c r="J11" s="395">
        <f t="shared" si="4"/>
        <v>3395690.5632425142</v>
      </c>
      <c r="K11" s="395">
        <f t="shared" si="4"/>
        <v>74446746.239965841</v>
      </c>
      <c r="L11" s="413">
        <f>K11-G11</f>
        <v>40998402.999750562</v>
      </c>
      <c r="M11" s="507"/>
    </row>
    <row r="13" spans="1:16" ht="13.5" thickBot="1" x14ac:dyDescent="0.25">
      <c r="C13" s="793" t="s">
        <v>562</v>
      </c>
      <c r="D13" s="790">
        <f>+L11</f>
        <v>40998402.999750562</v>
      </c>
    </row>
    <row r="14" spans="1:16" ht="13.5" thickBot="1" x14ac:dyDescent="0.25">
      <c r="A14" s="52"/>
      <c r="C14" s="793" t="s">
        <v>563</v>
      </c>
      <c r="D14" s="794">
        <f>+A6+M7/L7</f>
        <v>2.5788862119674931</v>
      </c>
      <c r="E14" s="6" t="s">
        <v>564</v>
      </c>
      <c r="F14" s="791" t="s">
        <v>702</v>
      </c>
      <c r="G14" s="796">
        <f>1/D15</f>
        <v>2.6083075205952899</v>
      </c>
      <c r="H14" s="792" t="s">
        <v>8</v>
      </c>
    </row>
    <row r="15" spans="1:16" x14ac:dyDescent="0.2">
      <c r="C15" s="793" t="s">
        <v>565</v>
      </c>
      <c r="D15" s="795">
        <f>+IRR(L4:L9)</f>
        <v>0.38339037559948896</v>
      </c>
    </row>
    <row r="19" spans="2:10" x14ac:dyDescent="0.2">
      <c r="B19" s="754"/>
      <c r="E19" s="754"/>
    </row>
    <row r="21" spans="2:10" ht="20.25" x14ac:dyDescent="0.3">
      <c r="E21" s="797" t="s">
        <v>703</v>
      </c>
    </row>
    <row r="25" spans="2:10" ht="13.5" thickBot="1" x14ac:dyDescent="0.25"/>
    <row r="26" spans="2:10" ht="13.5" thickBot="1" x14ac:dyDescent="0.25">
      <c r="I26" s="804" t="s">
        <v>159</v>
      </c>
      <c r="J26" s="805" t="s">
        <v>704</v>
      </c>
    </row>
    <row r="27" spans="2:10" x14ac:dyDescent="0.2">
      <c r="I27" s="802">
        <v>0.05</v>
      </c>
      <c r="J27" s="803">
        <f>$L$4+($L$5/((1+I27)^$A$5))+($L$6/(1+I27)^$A$6)+($L$7/(1+I27)^$A$7)+($L$8/(1+I27)^$A$8)+($L$9/(1+I27)^$A$9)</f>
        <v>31029930.319046613</v>
      </c>
    </row>
    <row r="28" spans="2:10" x14ac:dyDescent="0.2">
      <c r="I28" s="798">
        <v>0.1</v>
      </c>
      <c r="J28" s="800">
        <f t="shared" ref="J28:J36" si="5">$L$4+($L$5/((1+I28)^$A$5))+($L$6/(1+I28)^$A$6)+($L$7/(1+I28)^$A$7)+($L$8/(1+I28)^$A$8)+($L$9/(1+I28)^$A$9)</f>
        <v>23206511.646669507</v>
      </c>
    </row>
    <row r="29" spans="2:10" x14ac:dyDescent="0.2">
      <c r="I29" s="798">
        <v>0.15</v>
      </c>
      <c r="J29" s="800">
        <f t="shared" si="5"/>
        <v>16977562.678615205</v>
      </c>
    </row>
    <row r="30" spans="2:10" x14ac:dyDescent="0.2">
      <c r="I30" s="798">
        <v>0.2</v>
      </c>
      <c r="J30" s="800">
        <f t="shared" si="5"/>
        <v>11952323.581073482</v>
      </c>
    </row>
    <row r="31" spans="2:10" x14ac:dyDescent="0.2">
      <c r="I31" s="798">
        <v>0.25</v>
      </c>
      <c r="J31" s="800">
        <f t="shared" si="5"/>
        <v>7848810.3674963834</v>
      </c>
    </row>
    <row r="32" spans="2:10" x14ac:dyDescent="0.2">
      <c r="I32" s="798">
        <v>0.3</v>
      </c>
      <c r="J32" s="800">
        <f t="shared" si="5"/>
        <v>4460400.808984492</v>
      </c>
    </row>
    <row r="33" spans="9:10" x14ac:dyDescent="0.2">
      <c r="I33" s="798">
        <v>0.35</v>
      </c>
      <c r="J33" s="800">
        <f t="shared" si="5"/>
        <v>1633545.4533331227</v>
      </c>
    </row>
    <row r="34" spans="9:10" x14ac:dyDescent="0.2">
      <c r="I34" s="798">
        <v>0.4</v>
      </c>
      <c r="J34" s="800">
        <f t="shared" si="5"/>
        <v>-747361.1858139243</v>
      </c>
    </row>
    <row r="35" spans="9:10" x14ac:dyDescent="0.2">
      <c r="I35" s="798">
        <v>0.45</v>
      </c>
      <c r="J35" s="800">
        <f t="shared" si="5"/>
        <v>-2770415.5868195496</v>
      </c>
    </row>
    <row r="36" spans="9:10" ht="13.5" thickBot="1" x14ac:dyDescent="0.25">
      <c r="I36" s="799">
        <v>0.5</v>
      </c>
      <c r="J36" s="801">
        <f t="shared" si="5"/>
        <v>-4503510.4102931917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B4:M8 B10:M11 B9 D9:M9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F1" sqref="F1"/>
    </sheetView>
  </sheetViews>
  <sheetFormatPr baseColWidth="10" defaultColWidth="11.42578125" defaultRowHeight="12.75" x14ac:dyDescent="0.2"/>
  <cols>
    <col min="1" max="1" width="27.28515625" style="6" customWidth="1"/>
    <col min="2" max="9" width="15.140625" style="6" customWidth="1"/>
    <col min="10" max="16384" width="11.42578125" style="6"/>
  </cols>
  <sheetData>
    <row r="1" spans="1:9" x14ac:dyDescent="0.2">
      <c r="A1" s="1" t="s">
        <v>0</v>
      </c>
      <c r="B1"/>
      <c r="C1"/>
      <c r="D1"/>
      <c r="F1" s="703">
        <f>InfoInicial!E1</f>
        <v>3</v>
      </c>
      <c r="G1" s="526"/>
    </row>
    <row r="2" spans="1:9" ht="15.75" x14ac:dyDescent="0.25">
      <c r="A2" s="111" t="s">
        <v>566</v>
      </c>
      <c r="B2" s="66"/>
      <c r="C2" s="66"/>
      <c r="D2" s="66"/>
      <c r="E2" s="66"/>
      <c r="F2" s="66"/>
      <c r="G2" s="67"/>
    </row>
    <row r="3" spans="1:9" x14ac:dyDescent="0.2">
      <c r="A3" s="39" t="s">
        <v>398</v>
      </c>
      <c r="B3" s="785" t="s">
        <v>567</v>
      </c>
      <c r="C3" s="785"/>
      <c r="D3" s="785" t="s">
        <v>568</v>
      </c>
      <c r="E3" s="785"/>
      <c r="F3" s="786" t="s">
        <v>569</v>
      </c>
      <c r="G3" s="786"/>
    </row>
    <row r="4" spans="1:9" x14ac:dyDescent="0.2">
      <c r="A4" s="39" t="s">
        <v>383</v>
      </c>
      <c r="B4" s="112" t="s">
        <v>570</v>
      </c>
      <c r="C4" s="112" t="s">
        <v>159</v>
      </c>
      <c r="D4" s="112" t="s">
        <v>570</v>
      </c>
      <c r="E4" s="112" t="s">
        <v>159</v>
      </c>
      <c r="F4" s="112" t="s">
        <v>570</v>
      </c>
      <c r="G4" s="113" t="s">
        <v>159</v>
      </c>
    </row>
    <row r="5" spans="1:9" x14ac:dyDescent="0.2">
      <c r="A5" s="17" t="s">
        <v>571</v>
      </c>
      <c r="B5" s="42"/>
      <c r="C5" s="64"/>
      <c r="D5" s="42"/>
      <c r="E5" s="64"/>
      <c r="F5" s="42"/>
      <c r="G5" s="65"/>
    </row>
    <row r="6" spans="1:9" x14ac:dyDescent="0.2">
      <c r="A6" s="15" t="s">
        <v>572</v>
      </c>
      <c r="B6" s="42"/>
      <c r="C6" s="64"/>
      <c r="D6" s="42"/>
      <c r="E6" s="64"/>
      <c r="F6" s="42"/>
      <c r="G6" s="65"/>
    </row>
    <row r="7" spans="1:9" x14ac:dyDescent="0.2">
      <c r="A7" s="15" t="s">
        <v>573</v>
      </c>
      <c r="B7" s="42"/>
      <c r="C7" s="64"/>
      <c r="D7" s="42"/>
      <c r="E7" s="74"/>
      <c r="F7" s="42"/>
      <c r="G7" s="65"/>
    </row>
    <row r="8" spans="1:9" x14ac:dyDescent="0.2">
      <c r="A8" s="22" t="s">
        <v>212</v>
      </c>
      <c r="B8" s="114"/>
      <c r="C8" s="115"/>
      <c r="D8" s="114"/>
      <c r="E8" s="115"/>
      <c r="F8" s="114"/>
      <c r="G8" s="116"/>
    </row>
    <row r="9" spans="1:9" x14ac:dyDescent="0.2">
      <c r="A9" s="52"/>
      <c r="B9" s="35"/>
      <c r="C9" s="117"/>
      <c r="D9" s="35"/>
      <c r="E9" s="35"/>
      <c r="F9" s="35"/>
      <c r="G9" s="35"/>
    </row>
    <row r="10" spans="1:9" ht="15.75" x14ac:dyDescent="0.25">
      <c r="A10" s="118" t="s">
        <v>574</v>
      </c>
      <c r="B10" s="119"/>
      <c r="C10" s="119"/>
      <c r="D10" s="119"/>
      <c r="E10" s="119"/>
      <c r="F10" s="119"/>
      <c r="G10" s="119"/>
      <c r="H10" s="119"/>
      <c r="I10" s="120"/>
    </row>
    <row r="11" spans="1:9" x14ac:dyDescent="0.2">
      <c r="A11" s="121" t="s">
        <v>575</v>
      </c>
      <c r="B11" s="122" t="s">
        <v>576</v>
      </c>
      <c r="C11" s="122" t="s">
        <v>577</v>
      </c>
      <c r="D11" s="122" t="s">
        <v>578</v>
      </c>
      <c r="E11" s="122" t="s">
        <v>577</v>
      </c>
      <c r="F11" s="122" t="s">
        <v>579</v>
      </c>
      <c r="G11" s="122" t="s">
        <v>578</v>
      </c>
      <c r="H11" s="122"/>
      <c r="I11" s="123" t="s">
        <v>580</v>
      </c>
    </row>
    <row r="12" spans="1:9" x14ac:dyDescent="0.2">
      <c r="A12" s="124"/>
      <c r="B12" s="125"/>
      <c r="C12" s="125" t="s">
        <v>581</v>
      </c>
      <c r="D12" s="125" t="s">
        <v>581</v>
      </c>
      <c r="E12" s="125" t="s">
        <v>37</v>
      </c>
      <c r="F12" s="125" t="s">
        <v>582</v>
      </c>
      <c r="G12" s="125" t="s">
        <v>37</v>
      </c>
      <c r="H12" s="125" t="s">
        <v>583</v>
      </c>
      <c r="I12" s="126" t="s">
        <v>584</v>
      </c>
    </row>
    <row r="13" spans="1:9" x14ac:dyDescent="0.2">
      <c r="A13" s="127"/>
      <c r="B13" s="60"/>
      <c r="C13" s="60"/>
      <c r="D13" s="60"/>
      <c r="E13" s="60"/>
      <c r="F13" s="128"/>
      <c r="G13" s="60"/>
      <c r="H13" s="129"/>
      <c r="I13" s="61"/>
    </row>
    <row r="14" spans="1:9" x14ac:dyDescent="0.2">
      <c r="A14" s="130"/>
      <c r="B14" s="42"/>
      <c r="C14" s="42"/>
      <c r="D14" s="42"/>
      <c r="E14" s="42"/>
      <c r="F14" s="16"/>
      <c r="G14" s="42"/>
      <c r="H14" s="74"/>
      <c r="I14" s="43"/>
    </row>
    <row r="15" spans="1:9" x14ac:dyDescent="0.2">
      <c r="A15" s="130"/>
      <c r="B15" s="42"/>
      <c r="C15" s="42"/>
      <c r="D15" s="42"/>
      <c r="E15" s="42"/>
      <c r="F15" s="16"/>
      <c r="G15" s="42"/>
      <c r="H15" s="74"/>
      <c r="I15" s="43"/>
    </row>
    <row r="16" spans="1:9" x14ac:dyDescent="0.2">
      <c r="A16" s="130"/>
      <c r="B16" s="42"/>
      <c r="C16" s="42"/>
      <c r="D16" s="42"/>
      <c r="E16" s="42"/>
      <c r="F16" s="16"/>
      <c r="G16" s="42"/>
      <c r="H16" s="74"/>
      <c r="I16" s="43"/>
    </row>
    <row r="17" spans="1:9" x14ac:dyDescent="0.2">
      <c r="A17" s="130"/>
      <c r="B17" s="42"/>
      <c r="C17" s="42"/>
      <c r="D17" s="42"/>
      <c r="E17" s="42"/>
      <c r="F17" s="16"/>
      <c r="G17" s="42"/>
      <c r="H17" s="74"/>
      <c r="I17" s="43"/>
    </row>
    <row r="18" spans="1:9" x14ac:dyDescent="0.2">
      <c r="A18" s="130"/>
      <c r="B18" s="42"/>
      <c r="C18" s="42"/>
      <c r="D18" s="42"/>
      <c r="E18" s="42"/>
      <c r="F18" s="16"/>
      <c r="G18" s="42"/>
      <c r="H18" s="74"/>
      <c r="I18" s="43"/>
    </row>
    <row r="19" spans="1:9" x14ac:dyDescent="0.2">
      <c r="A19" s="130"/>
      <c r="B19" s="42"/>
      <c r="C19" s="42"/>
      <c r="D19" s="42"/>
      <c r="E19" s="42"/>
      <c r="F19" s="16"/>
      <c r="G19" s="42"/>
      <c r="H19" s="74"/>
      <c r="I19" s="43"/>
    </row>
    <row r="20" spans="1:9" x14ac:dyDescent="0.2">
      <c r="A20" s="131"/>
      <c r="B20" s="48"/>
      <c r="C20" s="48"/>
      <c r="D20" s="56"/>
      <c r="E20" s="48"/>
      <c r="F20" s="19"/>
      <c r="G20" s="56"/>
      <c r="H20" s="132"/>
      <c r="I20" s="57"/>
    </row>
    <row r="21" spans="1:9" x14ac:dyDescent="0.2">
      <c r="A21" s="133" t="s">
        <v>585</v>
      </c>
      <c r="B21" s="134"/>
      <c r="C21" s="134"/>
      <c r="D21" s="704"/>
      <c r="E21" s="134"/>
      <c r="F21" s="135"/>
      <c r="G21" s="704"/>
      <c r="H21" s="136"/>
      <c r="I21" s="704"/>
    </row>
    <row r="22" spans="1:9" x14ac:dyDescent="0.2">
      <c r="A22" s="127"/>
      <c r="B22" s="60"/>
      <c r="C22" s="60"/>
      <c r="D22" s="40"/>
      <c r="E22" s="60"/>
      <c r="F22" s="128"/>
      <c r="G22" s="40"/>
      <c r="H22" s="129"/>
      <c r="I22" s="41"/>
    </row>
    <row r="23" spans="1:9" x14ac:dyDescent="0.2">
      <c r="A23" s="130"/>
      <c r="B23" s="42"/>
      <c r="C23" s="42"/>
      <c r="D23" s="42"/>
      <c r="E23" s="42"/>
      <c r="F23" s="16"/>
      <c r="G23" s="42"/>
      <c r="H23" s="74"/>
      <c r="I23" s="43"/>
    </row>
    <row r="24" spans="1:9" x14ac:dyDescent="0.2">
      <c r="A24" s="137"/>
      <c r="B24" s="42"/>
      <c r="C24" s="42"/>
      <c r="D24" s="42"/>
      <c r="E24" s="42"/>
      <c r="F24" s="42"/>
      <c r="G24" s="42"/>
      <c r="H24" s="64"/>
      <c r="I24" s="43"/>
    </row>
    <row r="25" spans="1:9" x14ac:dyDescent="0.2">
      <c r="A25" s="137"/>
      <c r="B25" s="42"/>
      <c r="C25" s="42"/>
      <c r="D25" s="42"/>
      <c r="E25" s="42"/>
      <c r="F25" s="42"/>
      <c r="G25" s="42"/>
      <c r="H25" s="64"/>
      <c r="I25" s="43"/>
    </row>
    <row r="26" spans="1:9" x14ac:dyDescent="0.2">
      <c r="A26" s="137"/>
      <c r="B26" s="42"/>
      <c r="C26" s="42"/>
      <c r="D26" s="42"/>
      <c r="E26" s="42"/>
      <c r="F26" s="42"/>
      <c r="G26" s="42"/>
      <c r="H26" s="64"/>
      <c r="I26" s="43"/>
    </row>
    <row r="27" spans="1:9" x14ac:dyDescent="0.2">
      <c r="A27" s="137"/>
      <c r="B27" s="42"/>
      <c r="C27" s="42"/>
      <c r="D27" s="42"/>
      <c r="E27" s="42"/>
      <c r="F27" s="42"/>
      <c r="G27" s="42"/>
      <c r="H27" s="64"/>
      <c r="I27" s="43"/>
    </row>
    <row r="28" spans="1:9" x14ac:dyDescent="0.2">
      <c r="A28" s="137"/>
      <c r="B28" s="42"/>
      <c r="C28" s="42"/>
      <c r="D28" s="42"/>
      <c r="E28" s="42"/>
      <c r="F28" s="42"/>
      <c r="G28" s="42"/>
      <c r="H28" s="64"/>
      <c r="I28" s="43"/>
    </row>
    <row r="29" spans="1:9" x14ac:dyDescent="0.2">
      <c r="A29" s="137"/>
      <c r="B29" s="42"/>
      <c r="C29" s="42"/>
      <c r="D29" s="42"/>
      <c r="E29" s="42"/>
      <c r="F29" s="42"/>
      <c r="G29" s="42"/>
      <c r="H29" s="64"/>
      <c r="I29" s="43"/>
    </row>
    <row r="30" spans="1:9" x14ac:dyDescent="0.2">
      <c r="A30" s="137"/>
      <c r="B30" s="42"/>
      <c r="C30" s="42"/>
      <c r="D30" s="42"/>
      <c r="E30" s="42"/>
      <c r="F30" s="42"/>
      <c r="G30" s="42"/>
      <c r="H30" s="64"/>
      <c r="I30" s="43"/>
    </row>
    <row r="31" spans="1:9" x14ac:dyDescent="0.2">
      <c r="A31" s="137"/>
      <c r="B31" s="42"/>
      <c r="C31" s="42"/>
      <c r="D31" s="42"/>
      <c r="E31" s="42"/>
      <c r="F31" s="42"/>
      <c r="G31" s="42"/>
      <c r="H31" s="64"/>
      <c r="I31" s="43"/>
    </row>
    <row r="32" spans="1:9" x14ac:dyDescent="0.2">
      <c r="A32" s="137"/>
      <c r="B32" s="42"/>
      <c r="C32" s="42"/>
      <c r="D32" s="42"/>
      <c r="E32" s="42"/>
      <c r="F32" s="42"/>
      <c r="G32" s="42"/>
      <c r="H32" s="64"/>
      <c r="I32" s="43"/>
    </row>
    <row r="33" spans="1:9" x14ac:dyDescent="0.2">
      <c r="A33" s="137"/>
      <c r="B33" s="42"/>
      <c r="C33" s="42"/>
      <c r="D33" s="42"/>
      <c r="E33" s="42"/>
      <c r="F33" s="42"/>
      <c r="G33" s="42"/>
      <c r="H33" s="64"/>
      <c r="I33" s="43"/>
    </row>
    <row r="34" spans="1:9" x14ac:dyDescent="0.2">
      <c r="A34" s="137"/>
      <c r="B34" s="42"/>
      <c r="C34" s="42"/>
      <c r="D34" s="42"/>
      <c r="E34" s="42"/>
      <c r="F34" s="42"/>
      <c r="G34" s="42"/>
      <c r="H34" s="64"/>
      <c r="I34" s="43"/>
    </row>
    <row r="35" spans="1:9" x14ac:dyDescent="0.2">
      <c r="A35" s="137"/>
      <c r="B35" s="42"/>
      <c r="C35" s="42"/>
      <c r="D35" s="42"/>
      <c r="E35" s="42"/>
      <c r="F35" s="16"/>
      <c r="G35" s="42"/>
      <c r="H35" s="74"/>
      <c r="I35" s="43"/>
    </row>
    <row r="36" spans="1:9" x14ac:dyDescent="0.2">
      <c r="A36" s="137"/>
      <c r="B36" s="42"/>
      <c r="C36" s="42"/>
      <c r="D36" s="42"/>
      <c r="E36" s="42"/>
      <c r="F36" s="42"/>
      <c r="G36" s="42"/>
      <c r="H36" s="64"/>
      <c r="I36" s="43"/>
    </row>
    <row r="37" spans="1:9" x14ac:dyDescent="0.2">
      <c r="A37" s="137"/>
      <c r="B37" s="42"/>
      <c r="C37" s="42"/>
      <c r="D37" s="42"/>
      <c r="E37" s="42"/>
      <c r="F37" s="16"/>
      <c r="G37" s="42"/>
      <c r="H37" s="74"/>
      <c r="I37" s="43"/>
    </row>
    <row r="38" spans="1:9" x14ac:dyDescent="0.2">
      <c r="A38" s="137"/>
      <c r="B38" s="42"/>
      <c r="C38" s="42"/>
      <c r="D38" s="42"/>
      <c r="E38" s="42"/>
      <c r="F38" s="42"/>
      <c r="G38" s="42"/>
      <c r="H38" s="64"/>
      <c r="I38" s="43"/>
    </row>
    <row r="39" spans="1:9" x14ac:dyDescent="0.2">
      <c r="A39" s="137"/>
      <c r="B39" s="42"/>
      <c r="C39" s="42"/>
      <c r="D39" s="42"/>
      <c r="E39" s="42"/>
      <c r="F39" s="16"/>
      <c r="G39" s="42"/>
      <c r="H39" s="74"/>
      <c r="I39" s="43"/>
    </row>
    <row r="40" spans="1:9" x14ac:dyDescent="0.2">
      <c r="A40" s="137"/>
      <c r="B40" s="42"/>
      <c r="C40" s="42"/>
      <c r="D40" s="42"/>
      <c r="E40" s="42"/>
      <c r="F40" s="42"/>
      <c r="G40" s="42"/>
      <c r="H40" s="64"/>
      <c r="I40" s="43"/>
    </row>
    <row r="41" spans="1:9" x14ac:dyDescent="0.2">
      <c r="A41" s="137"/>
      <c r="B41" s="42"/>
      <c r="C41" s="42"/>
      <c r="D41" s="42"/>
      <c r="E41" s="42"/>
      <c r="F41" s="16"/>
      <c r="G41" s="42"/>
      <c r="H41" s="74"/>
      <c r="I41" s="43"/>
    </row>
    <row r="42" spans="1:9" x14ac:dyDescent="0.2">
      <c r="A42" s="137"/>
      <c r="B42" s="42"/>
      <c r="C42" s="42"/>
      <c r="D42" s="42"/>
      <c r="E42" s="42"/>
      <c r="F42" s="42"/>
      <c r="G42" s="42"/>
      <c r="H42" s="64"/>
      <c r="I42" s="43"/>
    </row>
    <row r="43" spans="1:9" x14ac:dyDescent="0.2">
      <c r="A43" s="137"/>
      <c r="B43" s="42"/>
      <c r="C43" s="42"/>
      <c r="D43" s="42"/>
      <c r="E43" s="42"/>
      <c r="F43" s="16"/>
      <c r="G43" s="42"/>
      <c r="H43" s="74"/>
      <c r="I43" s="43"/>
    </row>
    <row r="44" spans="1:9" x14ac:dyDescent="0.2">
      <c r="A44" s="137"/>
      <c r="B44" s="42"/>
      <c r="C44" s="42"/>
      <c r="D44" s="42"/>
      <c r="E44" s="42"/>
      <c r="F44" s="42"/>
      <c r="G44" s="42"/>
      <c r="H44" s="64"/>
      <c r="I44" s="43"/>
    </row>
    <row r="45" spans="1:9" x14ac:dyDescent="0.2">
      <c r="A45" s="137"/>
      <c r="B45" s="42"/>
      <c r="C45" s="42"/>
      <c r="D45" s="42"/>
      <c r="E45" s="42"/>
      <c r="F45" s="16"/>
      <c r="G45" s="42"/>
      <c r="H45" s="74"/>
      <c r="I45" s="43"/>
    </row>
    <row r="46" spans="1:9" x14ac:dyDescent="0.2">
      <c r="A46" s="137"/>
      <c r="B46" s="42"/>
      <c r="C46" s="42"/>
      <c r="D46" s="42"/>
      <c r="E46" s="42"/>
      <c r="F46" s="42"/>
      <c r="G46" s="42"/>
      <c r="H46" s="64"/>
      <c r="I46" s="43"/>
    </row>
    <row r="47" spans="1:9" x14ac:dyDescent="0.2">
      <c r="A47" s="137"/>
      <c r="B47" s="42"/>
      <c r="C47" s="42"/>
      <c r="D47" s="42"/>
      <c r="E47" s="42"/>
      <c r="F47" s="16"/>
      <c r="G47" s="42"/>
      <c r="H47" s="74"/>
      <c r="I47" s="43"/>
    </row>
    <row r="48" spans="1:9" x14ac:dyDescent="0.2">
      <c r="A48" s="137"/>
      <c r="B48" s="42"/>
      <c r="C48" s="42"/>
      <c r="D48" s="42"/>
      <c r="E48" s="42"/>
      <c r="F48" s="42"/>
      <c r="G48" s="42"/>
      <c r="H48" s="64"/>
      <c r="I48" s="43"/>
    </row>
    <row r="49" spans="1:9" x14ac:dyDescent="0.2">
      <c r="A49" s="137"/>
      <c r="B49" s="42"/>
      <c r="C49" s="42"/>
      <c r="D49" s="42"/>
      <c r="E49" s="42"/>
      <c r="F49" s="16"/>
      <c r="G49" s="42"/>
      <c r="H49" s="74"/>
      <c r="I49" s="43"/>
    </row>
    <row r="50" spans="1:9" x14ac:dyDescent="0.2">
      <c r="A50" s="137"/>
      <c r="B50" s="42"/>
      <c r="C50" s="42"/>
      <c r="D50" s="42"/>
      <c r="E50" s="42"/>
      <c r="F50" s="42"/>
      <c r="G50" s="42"/>
      <c r="H50" s="64"/>
      <c r="I50" s="43"/>
    </row>
    <row r="51" spans="1:9" x14ac:dyDescent="0.2">
      <c r="A51" s="137"/>
      <c r="B51" s="42"/>
      <c r="C51" s="42"/>
      <c r="D51" s="42"/>
      <c r="E51" s="42"/>
      <c r="F51" s="16"/>
      <c r="G51" s="42"/>
      <c r="H51" s="74"/>
      <c r="I51" s="43"/>
    </row>
    <row r="52" spans="1:9" x14ac:dyDescent="0.2">
      <c r="A52" s="137"/>
      <c r="B52" s="42"/>
      <c r="C52" s="42"/>
      <c r="D52" s="42"/>
      <c r="E52" s="42"/>
      <c r="F52" s="42"/>
      <c r="G52" s="42"/>
      <c r="H52" s="64"/>
      <c r="I52" s="43"/>
    </row>
    <row r="53" spans="1:9" x14ac:dyDescent="0.2">
      <c r="A53" s="130"/>
      <c r="B53" s="42"/>
      <c r="C53" s="42"/>
      <c r="D53" s="42"/>
      <c r="E53" s="42"/>
      <c r="F53" s="16"/>
      <c r="G53" s="42"/>
      <c r="H53" s="74"/>
      <c r="I53" s="43"/>
    </row>
    <row r="54" spans="1:9" x14ac:dyDescent="0.2">
      <c r="A54" s="59" t="s">
        <v>586</v>
      </c>
      <c r="B54" s="114"/>
      <c r="C54" s="114"/>
      <c r="D54" s="114"/>
      <c r="E54" s="114"/>
      <c r="F54" s="138"/>
      <c r="G54" s="114"/>
      <c r="H54" s="139"/>
      <c r="I54" s="140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InfoInicial</vt:lpstr>
      <vt:lpstr>Apertura</vt:lpstr>
      <vt:lpstr>E-Inv AF y Am</vt:lpstr>
      <vt:lpstr>E-Costos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revision/>
  <dcterms:created xsi:type="dcterms:W3CDTF">2017-08-12T04:31:41Z</dcterms:created>
  <dcterms:modified xsi:type="dcterms:W3CDTF">2017-09-01T21:50:48Z</dcterms:modified>
  <cp:category/>
  <cp:contentStatus/>
</cp:coreProperties>
</file>