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_\Desktop\UNIVERSIDAD\UTN\4TO AÑO\5. EVALUACION DE PROYECTOS\dimencionamiento tecnico\"/>
    </mc:Choice>
  </mc:AlternateContent>
  <xr:revisionPtr revIDLastSave="0" documentId="13_ncr:1_{51DAFA28-8307-4968-915C-8FA4D36A6DA2}" xr6:coauthVersionLast="36" xr6:coauthVersionMax="36" xr10:uidLastSave="{00000000-0000-0000-0000-000000000000}"/>
  <bookViews>
    <workbookView xWindow="0" yWindow="0" windowWidth="19200" windowHeight="6960" tabRatio="599" activeTab="7" xr2:uid="{1D2DBF89-8A5F-4B08-8ED2-B9EEE25D8098}"/>
  </bookViews>
  <sheets>
    <sheet name="RENDIMIENTO" sheetId="5" r:id="rId1"/>
    <sheet name="LISTADO MP" sheetId="4" r:id="rId2"/>
    <sheet name="2" sheetId="7" r:id="rId3"/>
    <sheet name="6" sheetId="9" r:id="rId4"/>
    <sheet name="7" sheetId="10" r:id="rId5"/>
    <sheet name="8" sheetId="12" r:id="rId6"/>
    <sheet name="9" sheetId="13" r:id="rId7"/>
    <sheet name="10" sheetId="11" r:id="rId8"/>
    <sheet name="11. CUADRO EVOLUCION GENERAL" sheetId="3" r:id="rId9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D11" i="3"/>
  <c r="F10" i="3" l="1"/>
  <c r="F8" i="3"/>
  <c r="E6" i="3"/>
  <c r="E26" i="9"/>
  <c r="H25" i="9"/>
  <c r="D22" i="9"/>
  <c r="E8" i="3"/>
  <c r="E10" i="3"/>
  <c r="F2" i="11"/>
  <c r="E19" i="13"/>
  <c r="D23" i="13" s="1"/>
  <c r="G16" i="13"/>
  <c r="E17" i="13" s="1"/>
  <c r="E11" i="13"/>
  <c r="E8" i="13"/>
  <c r="D10" i="10"/>
  <c r="F12" i="10"/>
  <c r="E6" i="13"/>
  <c r="D10" i="3" s="1"/>
  <c r="G10" i="13" l="1"/>
  <c r="D12" i="10"/>
  <c r="E24" i="9"/>
  <c r="E17" i="9"/>
  <c r="E16" i="9"/>
  <c r="E15" i="9"/>
  <c r="C7" i="10"/>
  <c r="C7" i="9"/>
  <c r="F17" i="9" s="1"/>
  <c r="D12" i="5"/>
  <c r="C12" i="13" l="1"/>
  <c r="E7" i="3" s="1"/>
  <c r="C22" i="13"/>
  <c r="D25" i="13" s="1"/>
  <c r="E9" i="3" s="1"/>
  <c r="F16" i="9"/>
  <c r="G16" i="9" s="1"/>
  <c r="G17" i="9"/>
  <c r="F15" i="9"/>
  <c r="G15" i="9" s="1"/>
  <c r="G18" i="9" s="1"/>
  <c r="H43" i="5"/>
  <c r="D41" i="5"/>
  <c r="D44" i="5"/>
  <c r="D43" i="5"/>
  <c r="D42" i="5"/>
  <c r="D33" i="5"/>
  <c r="D32" i="5"/>
  <c r="D31" i="5"/>
  <c r="D30" i="5"/>
  <c r="D29" i="5"/>
  <c r="D28" i="5"/>
  <c r="D27" i="5" l="1"/>
  <c r="C22" i="5" l="1"/>
  <c r="D22" i="5" s="1"/>
  <c r="F22" i="5" s="1"/>
  <c r="D13" i="5"/>
  <c r="C21" i="5" s="1"/>
  <c r="D21" i="5" s="1"/>
  <c r="F21" i="5" s="1"/>
  <c r="C20" i="5"/>
  <c r="D20" i="5" s="1"/>
  <c r="F20" i="5" s="1"/>
  <c r="G21" i="5"/>
  <c r="H21" i="5" s="1"/>
  <c r="G20" i="5"/>
  <c r="H20" i="5" s="1"/>
  <c r="G12" i="4"/>
  <c r="G22" i="5" s="1"/>
  <c r="H22" i="5" s="1"/>
  <c r="G30" i="5" s="1"/>
  <c r="H30" i="5" s="1"/>
  <c r="G28" i="5" l="1"/>
  <c r="H28" i="5" s="1"/>
  <c r="G29" i="5"/>
  <c r="H29" i="5" s="1"/>
  <c r="C14" i="5"/>
  <c r="I21" i="5"/>
  <c r="J21" i="5" s="1"/>
  <c r="I22" i="5"/>
  <c r="J22" i="5" s="1"/>
  <c r="I20" i="5"/>
  <c r="J20" i="5" s="1"/>
</calcChain>
</file>

<file path=xl/sharedStrings.xml><?xml version="1.0" encoding="utf-8"?>
<sst xmlns="http://schemas.openxmlformats.org/spreadsheetml/2006/main" count="223" uniqueCount="174">
  <si>
    <t>total</t>
  </si>
  <si>
    <t>al fin del mes</t>
  </si>
  <si>
    <t>stock</t>
  </si>
  <si>
    <t>compras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</si>
  <si>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</si>
  <si>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</si>
  <si>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</si>
  <si>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</si>
  <si>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</si>
  <si>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</si>
  <si>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</si>
  <si>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</si>
  <si>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</si>
  <si>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</si>
  <si>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</si>
  <si>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</si>
  <si>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 DE MEDIDA</t>
  </si>
  <si>
    <t>PERIODO DE INST.</t>
  </si>
  <si>
    <t>AÑO 1</t>
  </si>
  <si>
    <t>AÑO 2 A 5</t>
  </si>
  <si>
    <t>UNIDAD P.T.</t>
  </si>
  <si>
    <t>TENDEDERO 9 VARILLAS</t>
  </si>
  <si>
    <t>ELEMNTO</t>
  </si>
  <si>
    <t>MP</t>
  </si>
  <si>
    <t>SUBCONJUNTO</t>
  </si>
  <si>
    <r>
      <t xml:space="preserve">4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Ø=3,5mm; L=485mm)]</t>
    </r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</si>
  <si>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L=1500mm)]</t>
    </r>
  </si>
  <si>
    <t>[CAÑO ACERO ( 5/8”; L=2920)]</t>
  </si>
  <si>
    <t>PATA LARGA</t>
  </si>
  <si>
    <t>[CAÑO ACERO ( 5/8”; L=2686)]</t>
  </si>
  <si>
    <t>PATA CORTA</t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</si>
  <si>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L=556mm)]</t>
    </r>
  </si>
  <si>
    <t>MANIJA</t>
  </si>
  <si>
    <r>
      <t xml:space="preserve">9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Ø=3,5mm; L=1000mm)]</t>
    </r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</si>
  <si>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L=550mm)]</t>
    </r>
  </si>
  <si>
    <t>MESA</t>
  </si>
  <si>
    <r>
      <t xml:space="preserve">3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L=505,9mm)]</t>
    </r>
  </si>
  <si>
    <t>4 X [ARANLOCK (Ø=5mm)]</t>
  </si>
  <si>
    <t>4 X [REGATON ( 5/8”)]</t>
  </si>
  <si>
    <t>CANTIDAD DE MP POR UNIDAD</t>
  </si>
  <si>
    <t>PATAS</t>
  </si>
  <si>
    <r>
      <t xml:space="preserve">BOLSA HDPE  (65 x 139cm; 50 </t>
    </r>
    <r>
      <rPr>
        <sz val="11"/>
        <color theme="1"/>
        <rFont val="Calibri"/>
        <family val="2"/>
      </rPr>
      <t>µm)</t>
    </r>
  </si>
  <si>
    <t>ENVOLTORIO PACK 6 UNIDADES</t>
  </si>
  <si>
    <t>CAJA CARTON (110 cm x 40 cm x 60)</t>
  </si>
  <si>
    <t>ENVOLTORIO</t>
  </si>
  <si>
    <t>CALCULO</t>
  </si>
  <si>
    <t>2920+2686+1*2 (mm x corte) = 5608</t>
  </si>
  <si>
    <t>[CAÑO ACERO ( 5/8”; L=5608)]</t>
  </si>
  <si>
    <t xml:space="preserve">FILM HDPE </t>
  </si>
  <si>
    <t>Por rollo de 3,5 mm salen las varillas necesarias para 102 tendederos.</t>
  </si>
  <si>
    <t>Por rollo de 5 mm salen las varillas necesarias para 114 tendederos.</t>
  </si>
  <si>
    <t>Por caño de 6m de largo sale 1 tendedero (se cortan 2 patas largas o 2 patas cortas).</t>
  </si>
  <si>
    <t>Por tender se utilizan 4 aranlocks, 4 regatones y 2 remaches.</t>
  </si>
  <si>
    <r>
      <t xml:space="preserve"> [ROLLO (</t>
    </r>
    <r>
      <rPr>
        <sz val="11"/>
        <color theme="1"/>
        <rFont val="Calibri"/>
        <family val="2"/>
      </rPr>
      <t>Ø=3,5mm; 100 KG]</t>
    </r>
  </si>
  <si>
    <t xml:space="preserve"> [ROLLO (Ø=3,5mm; 100 KG]</t>
  </si>
  <si>
    <t>CANTIDAD TENDEDEROS</t>
  </si>
  <si>
    <t>[CAÑO ACERO ( 5/8”; L=6m)]</t>
  </si>
  <si>
    <t>DENSIDAD (Kg/m3)</t>
  </si>
  <si>
    <t>∏*(0,00175)^2</t>
  </si>
  <si>
    <t>LARGO</t>
  </si>
  <si>
    <t>∏*(0,0025)^2</t>
  </si>
  <si>
    <t xml:space="preserve">CALCULO (DENSIDAD=PESO/SECCION*LARGO) </t>
  </si>
  <si>
    <t>X UNIDAD (m)</t>
  </si>
  <si>
    <t>LARGO (m)</t>
  </si>
  <si>
    <t>PESO (Kg)</t>
  </si>
  <si>
    <t>SECCION (m2)</t>
  </si>
  <si>
    <t>CUANTO RINDEN LOS ROLLOS/CAÑOS</t>
  </si>
  <si>
    <t>[ARANLOCK (Ø=5mm)]</t>
  </si>
  <si>
    <t>22600 UNIDADES</t>
  </si>
  <si>
    <t>CANTIDAD DE MP</t>
  </si>
  <si>
    <t>ELEMENTO</t>
  </si>
  <si>
    <t>TENDEDEROS</t>
  </si>
  <si>
    <t>DESPERDICIO</t>
  </si>
  <si>
    <t xml:space="preserve">LARGO TOTAL(QxL) </t>
  </si>
  <si>
    <t>USO TOTAL</t>
  </si>
  <si>
    <t>USO UNITARIO</t>
  </si>
  <si>
    <t>SIN CORTE</t>
  </si>
  <si>
    <t>%</t>
  </si>
  <si>
    <t>2 X ALAS</t>
  </si>
  <si>
    <t>2*4*485+9*1000+13*2 (mm x corte) = 12914</t>
  </si>
  <si>
    <t>550+3*505,9+556+2*1500+6*2 (mm x corte) = 5637,7</t>
  </si>
  <si>
    <t xml:space="preserve"> [BARRA (Ø=5mm; L=5637,7mm)]</t>
  </si>
  <si>
    <t>[BARRA (Ø=3,5mm; L=12914mm)]</t>
  </si>
  <si>
    <t>PESO NETO (tn)</t>
  </si>
  <si>
    <t>PESO BRUTO(tn)</t>
  </si>
  <si>
    <r>
      <t xml:space="preserve"> [ROLLO (</t>
    </r>
    <r>
      <rPr>
        <sz val="11"/>
        <color theme="1"/>
        <rFont val="Calibri"/>
        <family val="2"/>
      </rPr>
      <t>Ø=5mm; 100 KG]</t>
    </r>
  </si>
  <si>
    <t>Ritmo de trabajo:</t>
  </si>
  <si>
    <t>a)      Días Activos/ Añoc= 246+52-13 (x vacaciones) =285 días</t>
  </si>
  <si>
    <t>b)     Horas Activas/ Año= 285 días/año* 8 horas/día= 2.280horas/año</t>
  </si>
  <si>
    <t>SE TRABAJA 1 TURNO DE 8 HS 6 DIAS A LA SEMANA</t>
  </si>
  <si>
    <t>15 DIAS DE VACACIONES</t>
  </si>
  <si>
    <t>15 DIAS FERIADOS; 246 DIAS LABORABLES; 104 FINES DE SEMANA --&gt; 52 SABADOS</t>
  </si>
  <si>
    <t>2 X [REMACHE; L=34cm x 5(compresion)]</t>
  </si>
  <si>
    <t>2 X [REMACHE; L=34cm x 5]</t>
  </si>
  <si>
    <t>CANTIDAD DE MP SEMANAL (285 DIAS EN 52 SEMNAS)</t>
  </si>
  <si>
    <t xml:space="preserve"> UNIDADES</t>
  </si>
  <si>
    <t xml:space="preserve"> [REGATON ( 5/8”)]</t>
  </si>
  <si>
    <t xml:space="preserve"> [REMACHE; L=34cm x 5(compresion)]</t>
  </si>
  <si>
    <t>12 MESES</t>
  </si>
  <si>
    <t>1 MES</t>
  </si>
  <si>
    <t>VOLUMEN DE PRODUCCION</t>
  </si>
  <si>
    <t>TIEMPO</t>
  </si>
  <si>
    <t>CANTIDAD</t>
  </si>
  <si>
    <t>mes</t>
  </si>
  <si>
    <t>ritmo de produccion al inicio (%)</t>
  </si>
  <si>
    <t>produccion promedio (%)</t>
  </si>
  <si>
    <t>produccion propuesta (U)</t>
  </si>
  <si>
    <t>produccion mensual promedio (U)</t>
  </si>
  <si>
    <t>volumen de produccion</t>
  </si>
  <si>
    <t>1 semana</t>
  </si>
  <si>
    <t>52 semanas</t>
  </si>
  <si>
    <t>tiempo</t>
  </si>
  <si>
    <t>cantidad</t>
  </si>
  <si>
    <t>MP AÑO 1</t>
  </si>
  <si>
    <t>se tiene en cuenta que son 6 turnos de 8 hs por semana,en total hay 48 hs por semans</t>
  </si>
  <si>
    <t>se producen 434,62 tendederos</t>
  </si>
  <si>
    <t>en promedio un tendedero lleva 0 ,11 hs</t>
  </si>
  <si>
    <t>VENTAS (plan de ventas)</t>
  </si>
  <si>
    <r>
      <t>STOCK PROMEDIO ELABORADO(</t>
    </r>
    <r>
      <rPr>
        <b/>
        <sz val="11"/>
        <color theme="1"/>
        <rFont val="Calibri"/>
        <family val="2"/>
        <scheme val="minor"/>
      </rPr>
      <t>7-</t>
    </r>
    <r>
      <rPr>
        <sz val="11"/>
        <color theme="1"/>
        <rFont val="Calibri"/>
        <family val="2"/>
        <scheme val="minor"/>
      </rPr>
      <t>)</t>
    </r>
  </si>
  <si>
    <r>
      <t>PRODUCCION (</t>
    </r>
    <r>
      <rPr>
        <b/>
        <sz val="11"/>
        <color theme="1"/>
        <rFont val="Calibri"/>
        <family val="2"/>
        <scheme val="minor"/>
      </rPr>
      <t>6-</t>
    </r>
    <r>
      <rPr>
        <sz val="11"/>
        <color theme="1"/>
        <rFont val="Calibri"/>
        <family val="2"/>
        <scheme val="minor"/>
      </rPr>
      <t>)</t>
    </r>
  </si>
  <si>
    <r>
      <t>DESPERDICIO NO RECUP.(</t>
    </r>
    <r>
      <rPr>
        <b/>
        <sz val="11"/>
        <color theme="1"/>
        <rFont val="Calibri"/>
        <family val="2"/>
        <scheme val="minor"/>
      </rPr>
      <t>9-</t>
    </r>
    <r>
      <rPr>
        <sz val="11"/>
        <color theme="1"/>
        <rFont val="Calibri"/>
        <family val="2"/>
        <scheme val="minor"/>
      </rPr>
      <t>)</t>
    </r>
  </si>
  <si>
    <r>
      <t>EN CURSO Y SEMIELABORADO(</t>
    </r>
    <r>
      <rPr>
        <b/>
        <sz val="11"/>
        <color theme="1"/>
        <rFont val="Calibri"/>
        <family val="2"/>
        <scheme val="minor"/>
      </rPr>
      <t>9-</t>
    </r>
    <r>
      <rPr>
        <sz val="11"/>
        <color theme="1"/>
        <rFont val="Calibri"/>
        <family val="2"/>
        <scheme val="minor"/>
      </rPr>
      <t>)</t>
    </r>
  </si>
  <si>
    <r>
      <t>CONSUMO DE MP(</t>
    </r>
    <r>
      <rPr>
        <b/>
        <sz val="11"/>
        <color theme="1"/>
        <rFont val="Calibri"/>
        <family val="2"/>
        <scheme val="minor"/>
      </rPr>
      <t>9-</t>
    </r>
    <r>
      <rPr>
        <sz val="11"/>
        <color theme="1"/>
        <rFont val="Calibri"/>
        <family val="2"/>
        <scheme val="minor"/>
      </rPr>
      <t>)</t>
    </r>
  </si>
  <si>
    <r>
      <t>STOCK MP (</t>
    </r>
    <r>
      <rPr>
        <b/>
        <sz val="11"/>
        <color theme="1"/>
        <rFont val="Calibri"/>
        <family val="2"/>
        <scheme val="minor"/>
      </rPr>
      <t>10-</t>
    </r>
    <r>
      <rPr>
        <sz val="11"/>
        <color theme="1"/>
        <rFont val="Calibri"/>
        <family val="2"/>
        <scheme val="minor"/>
      </rPr>
      <t>)</t>
    </r>
  </si>
  <si>
    <r>
      <t xml:space="preserve">COMPRA DE MP </t>
    </r>
    <r>
      <rPr>
        <b/>
        <sz val="11"/>
        <color theme="1"/>
        <rFont val="Calibri"/>
        <family val="2"/>
        <scheme val="minor"/>
      </rPr>
      <t>(10-)</t>
    </r>
  </si>
  <si>
    <t>a) Volumen de producción mensual en estado de régimen (promedio): se tienen en cuenta 285 días laborales en el año (el resto, vacaciones, fines de semana, feriados, se distribuyen a lo largo del año linealmente), resultando así un valor mensual promedio de:</t>
  </si>
  <si>
    <r>
      <t>6) EVOLUCIÓN DE LA PRODUCCIÓN</t>
    </r>
    <r>
      <rPr>
        <sz val="12"/>
        <color rgb="FF555555"/>
        <rFont val="Arial"/>
        <family val="2"/>
      </rPr>
      <t/>
    </r>
  </si>
  <si>
    <t>b) Volumen de la producción durante el periodo de puesta en marcha:</t>
  </si>
  <si>
    <t>Es necesario analizar el nivel de producción durante el periodo de puesta en marcha y ver si las capacidades antes determinadas, satisfacen la demanda del primer año</t>
  </si>
  <si>
    <t>c) Capacidad de producción durante el resto del 1er año: 12 meses – 3 meses = 9 meses</t>
  </si>
  <si>
    <t xml:space="preserve">1833,33 unidades / mes * 9 meses = </t>
  </si>
  <si>
    <t>se redondea a 16500</t>
  </si>
  <si>
    <t xml:space="preserve">d) Capacidad de producción en el año 1 = 1506,67+ 16.500 = </t>
  </si>
  <si>
    <t>a) Volumen de producción semanal promedio, en estado de régimen:</t>
  </si>
  <si>
    <t>7) STOCK PROMEDIO DE PRODUCTO ELABORADO</t>
  </si>
  <si>
    <t>b) El stock promedio de elaborado varia entre 0 y 434,61 por semana.</t>
  </si>
  <si>
    <t xml:space="preserve">Entonces el Stock promedio es </t>
  </si>
  <si>
    <t xml:space="preserve">Aunque la capacidad de producción sea </t>
  </si>
  <si>
    <t xml:space="preserve">,se producirán </t>
  </si>
  <si>
    <t xml:space="preserve"> tendederos durante el primer año (ventas: 14.100 + stock promedio)</t>
  </si>
  <si>
    <t>Fueron previamente determinadas a partir de un estudio de mercado.</t>
  </si>
  <si>
    <t>(La producción es determinada en función del plan de ventas)</t>
  </si>
  <si>
    <r>
      <t>8) EVOLUCIÓN DE LAS VENTAS DURANTE LA VIDA ÚTIL DEL PROYECTO</t>
    </r>
    <r>
      <rPr>
        <sz val="12"/>
        <color rgb="FF555555"/>
        <rFont val="Arial"/>
        <family val="2"/>
      </rPr>
      <t/>
    </r>
  </si>
  <si>
    <t>En el año 1 el consumo de materia prima esta destinada a la producción realizada y a la formación de mercadería en curso.</t>
  </si>
  <si>
    <r>
      <t>9) CONSUMO DE MATERIA PRIMA PARA EL PROGRAMA DE PRODUCCIÓN Y FORMACIÓN DE LA MERCADERÍA EN CURSO Y SEMIELABORADA.</t>
    </r>
    <r>
      <rPr>
        <sz val="12"/>
        <color rgb="FF0B0080"/>
        <rFont val="Arial"/>
        <family val="2"/>
      </rPr>
      <t/>
    </r>
  </si>
  <si>
    <t>Se multiplica la producción deseada por un factor de desperdicio propio del año 1.</t>
  </si>
  <si>
    <t>b) Consumo de materia prima en la mercadería en proceso:</t>
  </si>
  <si>
    <t>Año 2 al 5: el consumo de materia prima es exclusivamente destinado a la producción cada año: 22.600 unidades de tendederos.</t>
  </si>
  <si>
    <t>volumen de materia prima requerido: la alimentación de proceso durante el ciclo de elaboración.</t>
  </si>
  <si>
    <t>c) Consumo total de materia prima en el año 1</t>
  </si>
  <si>
    <r>
      <t>a) Consumo de materia prima para realizar la producción del 1er año:</t>
    </r>
    <r>
      <rPr>
        <sz val="12"/>
        <color rgb="FF555555"/>
        <rFont val="Arial"/>
        <family val="2"/>
      </rPr>
      <t/>
    </r>
  </si>
  <si>
    <r>
      <rPr>
        <u/>
        <sz val="11"/>
        <color theme="1"/>
        <rFont val="Calibri"/>
        <family val="2"/>
        <scheme val="minor"/>
      </rPr>
      <t>En los 1eros 3 meses</t>
    </r>
    <r>
      <rPr>
        <sz val="11"/>
        <color theme="1"/>
        <rFont val="Calibri"/>
        <family val="2"/>
        <scheme val="minor"/>
      </rPr>
      <t xml:space="preserve"> (puesta en marcha) </t>
    </r>
    <r>
      <rPr>
        <b/>
        <sz val="7"/>
        <color rgb="FF252525"/>
        <rFont val="Arial"/>
        <family val="2"/>
      </rPr>
      <t>(6b)</t>
    </r>
    <r>
      <rPr>
        <sz val="7"/>
        <color rgb="FF252525"/>
        <rFont val="Arial"/>
        <family val="2"/>
      </rPr>
      <t xml:space="preserve">: 1,1 * 1506,67 = </t>
    </r>
  </si>
  <si>
    <r>
      <rPr>
        <u/>
        <sz val="11"/>
        <color theme="1"/>
        <rFont val="Calibri"/>
        <family val="2"/>
        <scheme val="minor"/>
      </rPr>
      <t>En los 9 meses restante</t>
    </r>
    <r>
      <rPr>
        <sz val="11"/>
        <color theme="1"/>
        <rFont val="Calibri"/>
        <family val="2"/>
        <scheme val="minor"/>
      </rPr>
      <t>s </t>
    </r>
    <r>
      <rPr>
        <b/>
        <sz val="7"/>
        <color rgb="FF252525"/>
        <rFont val="Arial"/>
        <family val="2"/>
      </rPr>
      <t>( 7b - 6b)</t>
    </r>
    <r>
      <rPr>
        <sz val="7"/>
        <color rgb="FF252525"/>
        <rFont val="Arial"/>
        <family val="2"/>
      </rPr>
      <t>: 1,05 * 12.811 = 13.451,5 unidades</t>
    </r>
  </si>
  <si>
    <t>Se debe multiplicar el listado de componentes (BOM) por la cantidad de tendederos necesarios:</t>
  </si>
  <si>
    <r>
      <t>Volumen de la producción realizada en el año 1 (</t>
    </r>
    <r>
      <rPr>
        <b/>
        <sz val="11"/>
        <color theme="1"/>
        <rFont val="Calibri"/>
        <family val="2"/>
        <scheme val="minor"/>
      </rPr>
      <t>7b</t>
    </r>
    <r>
      <rPr>
        <sz val="11"/>
        <color theme="1"/>
        <rFont val="Calibri"/>
        <family val="2"/>
        <scheme val="minor"/>
      </rPr>
      <t xml:space="preserve">) = </t>
    </r>
  </si>
  <si>
    <t xml:space="preserve">Desperdicio no recuperable: </t>
  </si>
  <si>
    <t xml:space="preserve">Se tiene en cuenta que son 6 turnos de 8 hs por semana,en total hay 48 hs en las que se producen </t>
  </si>
  <si>
    <t>tendederos</t>
  </si>
  <si>
    <t xml:space="preserve">En promedio el ciclo de elaboración del tendedero es de </t>
  </si>
  <si>
    <t>hs</t>
  </si>
  <si>
    <t xml:space="preserve">Entonces --&gt; 22.600 * 0,11 hs / (285 días * 8 hs/dia) =  </t>
  </si>
  <si>
    <t xml:space="preserve">  (se multiplica por el Bom)</t>
  </si>
  <si>
    <t>Para los productos elaborados:</t>
  </si>
  <si>
    <t xml:space="preserve">Para la mercadería en curso y semi elaborados: </t>
  </si>
  <si>
    <t xml:space="preserve">Consumo total de materia prima año 1: </t>
  </si>
  <si>
    <t>En estado de régimen sera (en unidades)</t>
  </si>
  <si>
    <t>b) variación del stock de materia prima durante el año y programa de compras:</t>
  </si>
  <si>
    <t xml:space="preserve">a)El stock mínimo es la mitad de producción de una semana </t>
  </si>
  <si>
    <t>se compra semanalmente las mp necesarias para la produccion</t>
  </si>
  <si>
    <r>
      <rPr>
        <u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Durante del período de instalación habrá que adquirir, como mínimo, la mat. prima que se requiere para la puesta en marcha (1657,3) </t>
    </r>
  </si>
  <si>
    <t>Durante el periodo de puesta en marcha, se continua con la adquisición de materia prima a fin de atender el consumo de los 8,5 meses y formar el stock promedio.</t>
  </si>
  <si>
    <t>Se precisan producir las unidades a vender y el stock promedio, durante los primeros 3 meses se producirán:</t>
  </si>
  <si>
    <r>
      <t xml:space="preserve"> y el resto del año: ventas+ stock prom (</t>
    </r>
    <r>
      <rPr>
        <b/>
        <sz val="11"/>
        <color theme="1"/>
        <rFont val="Calibri"/>
        <family val="2"/>
        <scheme val="minor"/>
      </rPr>
      <t>7b</t>
    </r>
    <r>
      <rPr>
        <sz val="11"/>
        <color theme="1"/>
        <rFont val="Calibri"/>
        <family val="2"/>
        <scheme val="minor"/>
      </rPr>
      <t>) - producción 3 meses(</t>
    </r>
    <r>
      <rPr>
        <b/>
        <sz val="11"/>
        <color theme="1"/>
        <rFont val="Calibri"/>
        <family val="2"/>
        <scheme val="minor"/>
      </rPr>
      <t>6b</t>
    </r>
    <r>
      <rPr>
        <sz val="11"/>
        <color theme="1"/>
        <rFont val="Calibri"/>
        <family val="2"/>
        <scheme val="minor"/>
      </rPr>
      <t xml:space="preserve">) = </t>
    </r>
  </si>
  <si>
    <t xml:space="preserve">e) Volumen de producción del año 2 al 5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</si>
</sst>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12"/>
      <color rgb="FF555555"/>
      <name val="Arial"/>
      <family val="2"/>
    </font>
    <font>
      <sz val="7"/>
      <color rgb="FF252525"/>
      <name val="Arial"/>
      <family val="2"/>
    </font>
    <font>
      <b/>
      <sz val="7"/>
      <color rgb="FF252525"/>
      <name val="Arial"/>
      <family val="2"/>
    </font>
    <font>
      <sz val="12"/>
      <color rgb="FF0B0080"/>
      <name val="Arial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1" fontId="0" fillId="2" borderId="18" xfId="0" applyNumberForma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1" fontId="0" fillId="2" borderId="30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1" fontId="0" fillId="3" borderId="23" xfId="0" applyNumberFormat="1" applyFill="1" applyBorder="1" applyAlignment="1">
      <alignment horizontal="center" vertical="center"/>
    </xf>
    <xf numFmtId="1" fontId="0" fillId="3" borderId="18" xfId="0" applyNumberFormat="1" applyFill="1" applyBorder="1" applyAlignment="1">
      <alignment horizontal="center" vertical="center"/>
    </xf>
    <xf numFmtId="1" fontId="0" fillId="3" borderId="25" xfId="0" applyNumberFormat="1" applyFill="1" applyBorder="1" applyAlignment="1">
      <alignment horizontal="center" vertical="center"/>
    </xf>
    <xf numFmtId="1" fontId="0" fillId="3" borderId="30" xfId="0" applyNumberForma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 vertical="center"/>
    </xf>
    <xf numFmtId="1" fontId="0" fillId="4" borderId="17" xfId="0" applyNumberFormat="1" applyFill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 vertical="center"/>
    </xf>
    <xf numFmtId="1" fontId="0" fillId="4" borderId="22" xfId="0" applyNumberFormat="1" applyFill="1" applyBorder="1" applyAlignment="1">
      <alignment horizontal="center" vertical="center"/>
    </xf>
    <xf numFmtId="1" fontId="0" fillId="2" borderId="35" xfId="0" applyNumberFormat="1" applyFill="1" applyBorder="1" applyAlignment="1">
      <alignment horizontal="center" vertical="center"/>
    </xf>
    <xf numFmtId="1" fontId="0" fillId="2" borderId="34" xfId="0" applyNumberFormat="1" applyFill="1" applyBorder="1" applyAlignment="1">
      <alignment horizontal="center" vertical="center"/>
    </xf>
    <xf numFmtId="1" fontId="0" fillId="2" borderId="36" xfId="0" applyNumberFormat="1" applyFill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0" fontId="0" fillId="2" borderId="0" xfId="0" applyFill="1" applyBorder="1"/>
    <xf numFmtId="1" fontId="0" fillId="2" borderId="37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3" borderId="35" xfId="0" applyNumberFormat="1" applyFill="1" applyBorder="1" applyAlignment="1">
      <alignment horizontal="center" vertical="center"/>
    </xf>
    <xf numFmtId="1" fontId="0" fillId="3" borderId="36" xfId="0" applyNumberFormat="1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0" fillId="2" borderId="32" xfId="0" applyNumberFormat="1" applyFill="1" applyBorder="1" applyAlignment="1">
      <alignment horizontal="center" vertical="center"/>
    </xf>
    <xf numFmtId="1" fontId="0" fillId="4" borderId="2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5" fontId="0" fillId="2" borderId="20" xfId="0" applyNumberFormat="1" applyFill="1" applyBorder="1" applyAlignment="1">
      <alignment horizontal="center" vertical="center"/>
    </xf>
    <xf numFmtId="166" fontId="0" fillId="2" borderId="20" xfId="0" applyNumberForma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2" fontId="1" fillId="2" borderId="1" xfId="0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4" borderId="1" xfId="0" applyFill="1" applyBorder="1"/>
    <xf numFmtId="1" fontId="0" fillId="2" borderId="6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/>
    <xf numFmtId="1" fontId="0" fillId="2" borderId="0" xfId="0" applyNumberFormat="1" applyFill="1" applyBorder="1" applyAlignment="1">
      <alignment vertical="center"/>
    </xf>
    <xf numFmtId="10" fontId="0" fillId="2" borderId="0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47" xfId="0" applyFill="1" applyBorder="1"/>
    <xf numFmtId="0" fontId="0" fillId="6" borderId="1" xfId="0" applyFill="1" applyBorder="1"/>
    <xf numFmtId="0" fontId="3" fillId="2" borderId="0" xfId="0" applyFont="1" applyFill="1"/>
    <xf numFmtId="1" fontId="0" fillId="2" borderId="4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13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0" fillId="2" borderId="0" xfId="0" applyNumberFormat="1" applyFill="1"/>
    <xf numFmtId="0" fontId="3" fillId="2" borderId="1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3" fontId="0" fillId="2" borderId="12" xfId="0" applyNumberFormat="1" applyFill="1" applyBorder="1" applyAlignment="1">
      <alignment horizontal="left" vertical="center" wrapText="1"/>
    </xf>
    <xf numFmtId="3" fontId="0" fillId="2" borderId="39" xfId="0" applyNumberFormat="1" applyFill="1" applyBorder="1" applyAlignment="1">
      <alignment horizontal="left" vertical="center" wrapText="1"/>
    </xf>
    <xf numFmtId="4" fontId="0" fillId="2" borderId="39" xfId="0" applyNumberFormat="1" applyFill="1" applyBorder="1" applyAlignment="1">
      <alignment horizontal="left" vertical="center" wrapText="1"/>
    </xf>
    <xf numFmtId="4" fontId="0" fillId="2" borderId="12" xfId="0" applyNumberFormat="1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4" fontId="0" fillId="2" borderId="12" xfId="0" applyNumberFormat="1" applyFill="1" applyBorder="1"/>
    <xf numFmtId="0" fontId="0" fillId="2" borderId="17" xfId="0" applyFill="1" applyBorder="1" applyAlignment="1">
      <alignment horizontal="left" vertical="center" wrapText="1"/>
    </xf>
    <xf numFmtId="4" fontId="0" fillId="2" borderId="29" xfId="0" applyNumberFormat="1" applyFill="1" applyBorder="1"/>
    <xf numFmtId="3" fontId="0" fillId="2" borderId="29" xfId="0" applyNumberFormat="1" applyFill="1" applyBorder="1" applyAlignment="1">
      <alignment horizontal="left" vertical="center" wrapText="1"/>
    </xf>
    <xf numFmtId="3" fontId="0" fillId="2" borderId="22" xfId="0" applyNumberFormat="1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3" fontId="0" fillId="2" borderId="40" xfId="0" applyNumberFormat="1" applyFill="1" applyBorder="1" applyAlignment="1">
      <alignment horizontal="left" vertical="center" wrapText="1"/>
    </xf>
    <xf numFmtId="3" fontId="0" fillId="2" borderId="41" xfId="0" applyNumberFormat="1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3" fontId="0" fillId="2" borderId="0" xfId="0" applyNumberFormat="1" applyFill="1"/>
    <xf numFmtId="4" fontId="4" fillId="2" borderId="0" xfId="0" applyNumberFormat="1" applyFont="1" applyFill="1"/>
    <xf numFmtId="0" fontId="0" fillId="2" borderId="0" xfId="0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12" xfId="0" applyFill="1" applyBorder="1"/>
    <xf numFmtId="0" fontId="3" fillId="7" borderId="12" xfId="0" applyFont="1" applyFill="1" applyBorder="1"/>
    <xf numFmtId="0" fontId="0" fillId="7" borderId="12" xfId="0" applyFill="1" applyBorder="1"/>
    <xf numFmtId="0" fontId="0" fillId="7" borderId="19" xfId="0" applyFill="1" applyBorder="1" applyAlignment="1">
      <alignment horizontal="center" vertical="center" wrapText="1"/>
    </xf>
    <xf numFmtId="0" fontId="0" fillId="7" borderId="15" xfId="0" applyFill="1" applyBorder="1"/>
    <xf numFmtId="1" fontId="0" fillId="4" borderId="6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" fontId="0" fillId="4" borderId="28" xfId="0" applyNumberFormat="1" applyFill="1" applyBorder="1" applyAlignment="1">
      <alignment horizontal="center" vertical="center"/>
    </xf>
    <xf numFmtId="1" fontId="0" fillId="2" borderId="31" xfId="0" applyNumberForma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center" vertical="center"/>
    </xf>
    <xf numFmtId="164" fontId="0" fillId="3" borderId="31" xfId="0" applyNumberFormat="1" applyFill="1" applyBorder="1" applyAlignment="1">
      <alignment horizontal="center" vertical="center"/>
    </xf>
    <xf numFmtId="164" fontId="0" fillId="3" borderId="33" xfId="0" applyNumberFormat="1" applyFill="1" applyBorder="1" applyAlignment="1">
      <alignment horizontal="center" vertical="center"/>
    </xf>
    <xf numFmtId="164" fontId="0" fillId="3" borderId="32" xfId="0" applyNumberForma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117475</xdr:colOff>
      <xdr:row>11</xdr:row>
      <xdr:rowOff>53975</xdr:rowOff>
    </xdr:from>
    <xdr:ext cx="65" cy="17222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07218FF-67C5-4908-8EDA-EE5004066394}"/>
            </a:ext>
          </a:extLst>
        </xdr:cNvPr>
        <xdr:cNvSpPr txBox="1"/>
      </xdr:nvSpPr>
      <xdr:spPr>
        <a:xfrm>
          <a:off x="10410825" y="210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12</xdr:row>
      <xdr:rowOff>53975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D474426-CA4F-40D5-B4F0-E228C7F84CA9}"/>
            </a:ext>
          </a:extLst>
        </xdr:cNvPr>
        <xdr:cNvSpPr txBox="1"/>
      </xdr:nvSpPr>
      <xdr:spPr>
        <a:xfrm>
          <a:off x="10413546" y="208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13</xdr:row>
      <xdr:rowOff>53975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F959386-7733-4668-A76D-022882E059A8}"/>
            </a:ext>
          </a:extLst>
        </xdr:cNvPr>
        <xdr:cNvSpPr txBox="1"/>
      </xdr:nvSpPr>
      <xdr:spPr>
        <a:xfrm>
          <a:off x="10413546" y="208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13</xdr:row>
      <xdr:rowOff>53975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DA18B57-0BAF-4A55-8C6B-A5BC86BAE50C}"/>
            </a:ext>
          </a:extLst>
        </xdr:cNvPr>
        <xdr:cNvSpPr txBox="1"/>
      </xdr:nvSpPr>
      <xdr:spPr>
        <a:xfrm>
          <a:off x="11402332" y="208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20</xdr:row>
      <xdr:rowOff>53975</xdr:rowOff>
    </xdr:from>
    <xdr:ext cx="65" cy="172227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67B0458-DA12-452F-BC20-E26D658E04A9}"/>
            </a:ext>
          </a:extLst>
        </xdr:cNvPr>
        <xdr:cNvSpPr txBox="1"/>
      </xdr:nvSpPr>
      <xdr:spPr>
        <a:xfrm>
          <a:off x="11487710" y="21382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21</xdr:row>
      <xdr:rowOff>53975</xdr:rowOff>
    </xdr:from>
    <xdr:ext cx="65" cy="17222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E3841D5-AB23-43B2-8C95-6437FB0678B0}"/>
            </a:ext>
          </a:extLst>
        </xdr:cNvPr>
        <xdr:cNvSpPr txBox="1"/>
      </xdr:nvSpPr>
      <xdr:spPr>
        <a:xfrm>
          <a:off x="11487710" y="233250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22</xdr:row>
      <xdr:rowOff>53975</xdr:rowOff>
    </xdr:from>
    <xdr:ext cx="65" cy="172227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AA48890-4708-477C-874E-3700E3051E32}"/>
            </a:ext>
          </a:extLst>
        </xdr:cNvPr>
        <xdr:cNvSpPr txBox="1"/>
      </xdr:nvSpPr>
      <xdr:spPr>
        <a:xfrm>
          <a:off x="11487710" y="2526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22</xdr:row>
      <xdr:rowOff>53975</xdr:rowOff>
    </xdr:from>
    <xdr:ext cx="65" cy="172227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38D5F35-51C2-438F-BC52-0DD8B0D3B041}"/>
            </a:ext>
          </a:extLst>
        </xdr:cNvPr>
        <xdr:cNvSpPr txBox="1"/>
      </xdr:nvSpPr>
      <xdr:spPr>
        <a:xfrm>
          <a:off x="11487710" y="25267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19</xdr:row>
      <xdr:rowOff>53975</xdr:rowOff>
    </xdr:from>
    <xdr:ext cx="65" cy="172227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E88FD62-D5D1-473B-BE55-9C64865DB627}"/>
            </a:ext>
          </a:extLst>
        </xdr:cNvPr>
        <xdr:cNvSpPr txBox="1"/>
      </xdr:nvSpPr>
      <xdr:spPr>
        <a:xfrm>
          <a:off x="11487710" y="38714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20</xdr:row>
      <xdr:rowOff>53975</xdr:rowOff>
    </xdr:from>
    <xdr:ext cx="65" cy="17222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24FDC665-1838-407E-BF4B-1F2745BF513A}"/>
            </a:ext>
          </a:extLst>
        </xdr:cNvPr>
        <xdr:cNvSpPr txBox="1"/>
      </xdr:nvSpPr>
      <xdr:spPr>
        <a:xfrm>
          <a:off x="11487710" y="406568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19</xdr:row>
      <xdr:rowOff>53975</xdr:rowOff>
    </xdr:from>
    <xdr:ext cx="65" cy="172227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BB38523-64C9-488D-8757-584888061B71}"/>
            </a:ext>
          </a:extLst>
        </xdr:cNvPr>
        <xdr:cNvSpPr txBox="1"/>
      </xdr:nvSpPr>
      <xdr:spPr>
        <a:xfrm>
          <a:off x="11487710" y="38714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20</xdr:row>
      <xdr:rowOff>53975</xdr:rowOff>
    </xdr:from>
    <xdr:ext cx="65" cy="172227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1727D071-59A4-4A87-92EC-C9FC7F845237}"/>
            </a:ext>
          </a:extLst>
        </xdr:cNvPr>
        <xdr:cNvSpPr txBox="1"/>
      </xdr:nvSpPr>
      <xdr:spPr>
        <a:xfrm>
          <a:off x="11487710" y="406568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18</xdr:row>
      <xdr:rowOff>53975</xdr:rowOff>
    </xdr:from>
    <xdr:ext cx="65" cy="172227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C69079C-FD6B-4ADF-9AC3-3B66500EE6E7}"/>
            </a:ext>
          </a:extLst>
        </xdr:cNvPr>
        <xdr:cNvSpPr txBox="1"/>
      </xdr:nvSpPr>
      <xdr:spPr>
        <a:xfrm>
          <a:off x="11487710" y="36772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19</xdr:row>
      <xdr:rowOff>53975</xdr:rowOff>
    </xdr:from>
    <xdr:ext cx="65" cy="172227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876AF4A-17D2-445A-9F4B-FC8065160223}"/>
            </a:ext>
          </a:extLst>
        </xdr:cNvPr>
        <xdr:cNvSpPr txBox="1"/>
      </xdr:nvSpPr>
      <xdr:spPr>
        <a:xfrm>
          <a:off x="11487710" y="387144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28</xdr:row>
      <xdr:rowOff>53975</xdr:rowOff>
    </xdr:from>
    <xdr:ext cx="65" cy="172227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26D4549-7DAC-444F-9F02-AAD9E0B0B26D}"/>
            </a:ext>
          </a:extLst>
        </xdr:cNvPr>
        <xdr:cNvSpPr txBox="1"/>
      </xdr:nvSpPr>
      <xdr:spPr>
        <a:xfrm>
          <a:off x="9553575" y="381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29</xdr:row>
      <xdr:rowOff>53975</xdr:rowOff>
    </xdr:from>
    <xdr:ext cx="65" cy="172227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C3F4780-849D-446B-88AC-645D49FE2E27}"/>
            </a:ext>
          </a:extLst>
        </xdr:cNvPr>
        <xdr:cNvSpPr txBox="1"/>
      </xdr:nvSpPr>
      <xdr:spPr>
        <a:xfrm>
          <a:off x="9553575" y="4003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27</xdr:row>
      <xdr:rowOff>53975</xdr:rowOff>
    </xdr:from>
    <xdr:ext cx="65" cy="172227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83FF4222-08AE-4C2A-9521-99F568761217}"/>
            </a:ext>
          </a:extLst>
        </xdr:cNvPr>
        <xdr:cNvSpPr txBox="1"/>
      </xdr:nvSpPr>
      <xdr:spPr>
        <a:xfrm>
          <a:off x="9553575" y="362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28</xdr:row>
      <xdr:rowOff>53975</xdr:rowOff>
    </xdr:from>
    <xdr:ext cx="65" cy="172227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736C85EC-7924-492A-A369-ABBBD7E79F12}"/>
            </a:ext>
          </a:extLst>
        </xdr:cNvPr>
        <xdr:cNvSpPr txBox="1"/>
      </xdr:nvSpPr>
      <xdr:spPr>
        <a:xfrm>
          <a:off x="9553575" y="381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27</xdr:row>
      <xdr:rowOff>53975</xdr:rowOff>
    </xdr:from>
    <xdr:ext cx="65" cy="172227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28E0EE1-6661-4E6D-BE31-78BACFFE18A1}"/>
            </a:ext>
          </a:extLst>
        </xdr:cNvPr>
        <xdr:cNvSpPr txBox="1"/>
      </xdr:nvSpPr>
      <xdr:spPr>
        <a:xfrm>
          <a:off x="9553575" y="362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28</xdr:row>
      <xdr:rowOff>53975</xdr:rowOff>
    </xdr:from>
    <xdr:ext cx="65" cy="172227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32041AE-B058-4346-812E-6C8F27B001C5}"/>
            </a:ext>
          </a:extLst>
        </xdr:cNvPr>
        <xdr:cNvSpPr txBox="1"/>
      </xdr:nvSpPr>
      <xdr:spPr>
        <a:xfrm>
          <a:off x="9553575" y="381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26</xdr:row>
      <xdr:rowOff>53975</xdr:rowOff>
    </xdr:from>
    <xdr:ext cx="65" cy="172227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10159556-6FE9-4FE4-9C95-F680A2FC0CD4}"/>
            </a:ext>
          </a:extLst>
        </xdr:cNvPr>
        <xdr:cNvSpPr txBox="1"/>
      </xdr:nvSpPr>
      <xdr:spPr>
        <a:xfrm>
          <a:off x="9553575" y="343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27</xdr:row>
      <xdr:rowOff>53975</xdr:rowOff>
    </xdr:from>
    <xdr:ext cx="65" cy="172227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E50F0F3A-C776-4E5F-9DAB-8848FE10A094}"/>
            </a:ext>
          </a:extLst>
        </xdr:cNvPr>
        <xdr:cNvSpPr txBox="1"/>
      </xdr:nvSpPr>
      <xdr:spPr>
        <a:xfrm>
          <a:off x="9553575" y="362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38B5-98B7-4F9C-872D-86F7893BB227}">
  <dimension ref="A2:J50"/>
  <sheetViews>
    <sheetView topLeftCell="A7" zoomScale="55" zoomScaleNormal="55" workbookViewId="0">
      <selection activeCell="G38" sqref="G38"/>
    </sheetView>
  </sheetViews>
  <sheetFormatPr baseColWidth="10" defaultRowHeight="14.5" x14ac:dyDescent="0.35"/>
  <cols>
    <col min="1" max="1" width="43.90625" style="1" customWidth="1"/>
    <col min="2" max="2" width="35.1796875" style="1" customWidth="1"/>
    <col min="3" max="3" width="15.36328125" style="1" customWidth="1"/>
    <col min="4" max="4" width="29.7265625" style="1" customWidth="1"/>
    <col min="5" max="5" width="10.90625" style="1"/>
    <col min="6" max="6" width="18.1796875" style="1" customWidth="1"/>
    <col min="7" max="7" width="19.54296875" style="1" customWidth="1"/>
    <col min="8" max="8" width="17.1796875" style="1" customWidth="1"/>
    <col min="9" max="10" width="12.6328125" style="1" customWidth="1"/>
    <col min="11" max="16384" width="10.90625" style="1"/>
  </cols>
  <sheetData>
    <row r="2" spans="1:10" x14ac:dyDescent="0.35">
      <c r="A2" s="1" t="s">
        <v>49</v>
      </c>
    </row>
    <row r="3" spans="1:10" x14ac:dyDescent="0.35">
      <c r="A3" s="1" t="s">
        <v>50</v>
      </c>
    </row>
    <row r="4" spans="1:10" x14ac:dyDescent="0.35">
      <c r="A4" s="1" t="s">
        <v>51</v>
      </c>
    </row>
    <row r="5" spans="1:10" x14ac:dyDescent="0.35">
      <c r="A5" s="1" t="s">
        <v>52</v>
      </c>
    </row>
    <row r="8" spans="1:10" ht="15" thickBot="1" x14ac:dyDescent="0.4"/>
    <row r="9" spans="1:10" ht="15" thickBot="1" x14ac:dyDescent="0.4">
      <c r="B9" s="137" t="s">
        <v>66</v>
      </c>
      <c r="C9" s="138"/>
      <c r="D9" s="139"/>
      <c r="F9" s="143" t="s">
        <v>59</v>
      </c>
      <c r="G9" s="144"/>
      <c r="H9" s="144"/>
      <c r="I9" s="145"/>
    </row>
    <row r="10" spans="1:10" ht="15" thickBot="1" x14ac:dyDescent="0.4">
      <c r="B10" s="140" t="s">
        <v>21</v>
      </c>
      <c r="C10" s="141"/>
      <c r="D10" s="142"/>
      <c r="F10" s="134" t="s">
        <v>61</v>
      </c>
      <c r="G10" s="135"/>
      <c r="H10" s="135"/>
      <c r="I10" s="136"/>
      <c r="J10" s="23"/>
    </row>
    <row r="11" spans="1:10" ht="15" thickBot="1" x14ac:dyDescent="0.4">
      <c r="B11" s="16" t="s">
        <v>22</v>
      </c>
      <c r="C11" s="38" t="s">
        <v>62</v>
      </c>
      <c r="D11" s="18" t="s">
        <v>55</v>
      </c>
      <c r="F11" s="31" t="s">
        <v>57</v>
      </c>
      <c r="G11" s="31" t="s">
        <v>65</v>
      </c>
      <c r="H11" s="31" t="s">
        <v>64</v>
      </c>
      <c r="I11" s="31" t="s">
        <v>63</v>
      </c>
      <c r="J11" s="26"/>
    </row>
    <row r="12" spans="1:10" ht="15" thickBot="1" x14ac:dyDescent="0.4">
      <c r="B12" s="7" t="s">
        <v>53</v>
      </c>
      <c r="C12" s="41">
        <v>12.914</v>
      </c>
      <c r="D12" s="37">
        <f>+I12/C12</f>
        <v>102.24175313613132</v>
      </c>
      <c r="F12" s="32">
        <v>7872</v>
      </c>
      <c r="G12" s="33" t="s">
        <v>58</v>
      </c>
      <c r="H12" s="32">
        <v>100</v>
      </c>
      <c r="I12" s="39">
        <v>1320.35</v>
      </c>
      <c r="J12" s="53"/>
    </row>
    <row r="13" spans="1:10" ht="15" thickBot="1" x14ac:dyDescent="0.4">
      <c r="B13" s="27" t="s">
        <v>54</v>
      </c>
      <c r="C13" s="42">
        <v>5.6376999999999997</v>
      </c>
      <c r="D13" s="37">
        <f>+I13/C13</f>
        <v>114.75779129786972</v>
      </c>
      <c r="F13" s="35">
        <v>7872</v>
      </c>
      <c r="G13" s="36" t="s">
        <v>60</v>
      </c>
      <c r="H13" s="35">
        <v>100</v>
      </c>
      <c r="I13" s="40">
        <v>646.97</v>
      </c>
      <c r="J13" s="53"/>
    </row>
    <row r="14" spans="1:10" ht="15" thickBot="1" x14ac:dyDescent="0.4">
      <c r="B14" s="9" t="s">
        <v>56</v>
      </c>
      <c r="C14" s="41">
        <f>+G22</f>
        <v>5.6059999999999999</v>
      </c>
      <c r="D14" s="30">
        <v>1</v>
      </c>
      <c r="F14" s="32"/>
      <c r="G14" s="33"/>
      <c r="H14" s="32"/>
      <c r="I14" s="32">
        <v>6</v>
      </c>
      <c r="J14" s="26"/>
    </row>
    <row r="16" spans="1:10" ht="15" thickBot="1" x14ac:dyDescent="0.4"/>
    <row r="17" spans="1:10" ht="15" thickBot="1" x14ac:dyDescent="0.4">
      <c r="F17" s="143" t="s">
        <v>72</v>
      </c>
      <c r="G17" s="144"/>
      <c r="H17" s="144"/>
      <c r="I17" s="144"/>
      <c r="J17" s="145"/>
    </row>
    <row r="18" spans="1:10" ht="15" thickBot="1" x14ac:dyDescent="0.4">
      <c r="B18" s="137" t="s">
        <v>69</v>
      </c>
      <c r="C18" s="138"/>
      <c r="D18" s="139"/>
      <c r="F18" s="134" t="s">
        <v>45</v>
      </c>
      <c r="G18" s="135"/>
      <c r="H18" s="135"/>
      <c r="I18" s="135"/>
      <c r="J18" s="136"/>
    </row>
    <row r="19" spans="1:10" ht="15" thickBot="1" x14ac:dyDescent="0.4">
      <c r="B19" s="16" t="s">
        <v>70</v>
      </c>
      <c r="C19" s="38" t="s">
        <v>71</v>
      </c>
      <c r="D19" s="18" t="s">
        <v>68</v>
      </c>
      <c r="F19" s="31" t="s">
        <v>73</v>
      </c>
      <c r="G19" s="31" t="s">
        <v>75</v>
      </c>
      <c r="H19" s="31" t="s">
        <v>74</v>
      </c>
      <c r="I19" s="31" t="s">
        <v>72</v>
      </c>
      <c r="J19" s="31" t="s">
        <v>77</v>
      </c>
    </row>
    <row r="20" spans="1:10" ht="15" thickBot="1" x14ac:dyDescent="0.4">
      <c r="B20" s="7" t="s">
        <v>85</v>
      </c>
      <c r="C20" s="30">
        <f>+D12</f>
        <v>102.24175313613132</v>
      </c>
      <c r="D20" s="30">
        <f>22600/C20</f>
        <v>221.04472299011627</v>
      </c>
      <c r="F20" s="32">
        <f>+D20*I12</f>
        <v>291856.40000000002</v>
      </c>
      <c r="G20" s="46">
        <f>+'LISTADO MP'!G7/1000</f>
        <v>12.88</v>
      </c>
      <c r="H20" s="39">
        <f>+G20*22600</f>
        <v>291088</v>
      </c>
      <c r="I20" s="39">
        <f>+F20-H20</f>
        <v>768.40000000002328</v>
      </c>
      <c r="J20" s="47">
        <f>+I20/F20</f>
        <v>2.6328016106551824E-3</v>
      </c>
    </row>
    <row r="21" spans="1:10" ht="15" thickBot="1" x14ac:dyDescent="0.4">
      <c r="B21" s="19" t="s">
        <v>54</v>
      </c>
      <c r="C21" s="30">
        <f>+D13</f>
        <v>114.75779129786972</v>
      </c>
      <c r="D21" s="30">
        <f>22600/C21</f>
        <v>196.93651946767235</v>
      </c>
      <c r="F21" s="32">
        <f>+D21*I13</f>
        <v>127412.01999999999</v>
      </c>
      <c r="G21" s="46">
        <f>+'LISTADO MP'!G9/1000</f>
        <v>5.6236999999999995</v>
      </c>
      <c r="H21" s="39">
        <f>+G21*22600</f>
        <v>127095.62</v>
      </c>
      <c r="I21" s="39">
        <f>+F21-H21</f>
        <v>316.39999999999418</v>
      </c>
      <c r="J21" s="47">
        <f>+I21/F21</f>
        <v>2.4832821895453363E-3</v>
      </c>
    </row>
    <row r="22" spans="1:10" ht="15" thickBot="1" x14ac:dyDescent="0.4">
      <c r="B22" s="9" t="s">
        <v>56</v>
      </c>
      <c r="C22" s="30">
        <f>+D14</f>
        <v>1</v>
      </c>
      <c r="D22" s="30">
        <f>22600/C22</f>
        <v>22600</v>
      </c>
      <c r="F22" s="32">
        <f>+D22*6</f>
        <v>135600</v>
      </c>
      <c r="G22" s="46">
        <f>+'LISTADO MP'!G12/1000</f>
        <v>5.6059999999999999</v>
      </c>
      <c r="H22" s="39">
        <f>+G22*22600</f>
        <v>126695.59999999999</v>
      </c>
      <c r="I22" s="39">
        <f>+F22-H22</f>
        <v>8904.4000000000087</v>
      </c>
      <c r="J22" s="47">
        <f>+I22/F22</f>
        <v>6.5666666666666734E-2</v>
      </c>
    </row>
    <row r="23" spans="1:10" ht="15" customHeight="1" x14ac:dyDescent="0.35">
      <c r="F23" s="26"/>
      <c r="G23" s="34"/>
      <c r="H23" s="26"/>
      <c r="I23" s="26"/>
      <c r="J23" s="26"/>
    </row>
    <row r="24" spans="1:10" ht="15" thickBot="1" x14ac:dyDescent="0.4">
      <c r="F24" s="23"/>
      <c r="G24" s="23"/>
      <c r="H24" s="23"/>
      <c r="I24" s="23"/>
      <c r="J24" s="23"/>
    </row>
    <row r="25" spans="1:10" ht="15" thickBot="1" x14ac:dyDescent="0.4">
      <c r="A25" s="65"/>
      <c r="B25" s="137" t="s">
        <v>113</v>
      </c>
      <c r="C25" s="138"/>
      <c r="D25" s="139"/>
      <c r="E25" s="65"/>
      <c r="F25" s="143" t="s">
        <v>72</v>
      </c>
      <c r="G25" s="144"/>
      <c r="H25" s="144"/>
      <c r="I25" s="145"/>
      <c r="J25" s="54"/>
    </row>
    <row r="26" spans="1:10" ht="15" thickBot="1" x14ac:dyDescent="0.4">
      <c r="A26" s="65"/>
      <c r="B26" s="16" t="s">
        <v>70</v>
      </c>
      <c r="C26" s="38" t="s">
        <v>71</v>
      </c>
      <c r="D26" s="18" t="s">
        <v>95</v>
      </c>
      <c r="E26" s="65"/>
      <c r="F26" s="134" t="s">
        <v>45</v>
      </c>
      <c r="G26" s="135"/>
      <c r="H26" s="135"/>
      <c r="I26" s="136"/>
      <c r="J26" s="55"/>
    </row>
    <row r="27" spans="1:10" ht="15" thickBot="1" x14ac:dyDescent="0.4">
      <c r="A27" s="65"/>
      <c r="B27" s="66" t="s">
        <v>85</v>
      </c>
      <c r="C27" s="146">
        <v>15110</v>
      </c>
      <c r="D27" s="67">
        <f>+C27/C20</f>
        <v>147.78698072480782</v>
      </c>
      <c r="E27" s="65"/>
      <c r="F27" s="31" t="s">
        <v>84</v>
      </c>
      <c r="G27" s="31" t="s">
        <v>83</v>
      </c>
      <c r="H27" s="31" t="s">
        <v>72</v>
      </c>
      <c r="I27" s="31" t="s">
        <v>77</v>
      </c>
      <c r="J27" s="26"/>
    </row>
    <row r="28" spans="1:10" ht="15" thickBot="1" x14ac:dyDescent="0.4">
      <c r="A28" s="65"/>
      <c r="B28" s="52" t="s">
        <v>54</v>
      </c>
      <c r="C28" s="147"/>
      <c r="D28" s="67">
        <f>+C27/C21</f>
        <v>131.6686198741827</v>
      </c>
      <c r="E28" s="65"/>
      <c r="F28" s="39">
        <v>22.1</v>
      </c>
      <c r="G28" s="46">
        <f>+H20/F20*F28</f>
        <v>22.041815084404522</v>
      </c>
      <c r="H28" s="39">
        <f>+F28-G28</f>
        <v>5.8184915595479225E-2</v>
      </c>
      <c r="I28" s="47">
        <v>2.6328016106551824E-3</v>
      </c>
      <c r="J28" s="56"/>
    </row>
    <row r="29" spans="1:10" ht="15" thickBot="1" x14ac:dyDescent="0.4">
      <c r="A29" s="65"/>
      <c r="B29" s="60" t="s">
        <v>56</v>
      </c>
      <c r="C29" s="147"/>
      <c r="D29" s="67">
        <f>+C27/C22</f>
        <v>15110</v>
      </c>
      <c r="E29" s="65"/>
      <c r="F29" s="39">
        <v>19.7</v>
      </c>
      <c r="G29" s="46">
        <f>+H21/F21*F29</f>
        <v>19.651079340865955</v>
      </c>
      <c r="H29" s="39">
        <f>+F29-G29</f>
        <v>4.8920659134044087E-2</v>
      </c>
      <c r="I29" s="47">
        <v>2.4832821895453363E-3</v>
      </c>
      <c r="J29" s="56"/>
    </row>
    <row r="30" spans="1:10" ht="15" thickBot="1" x14ac:dyDescent="0.4">
      <c r="A30" s="65"/>
      <c r="B30" s="60" t="s">
        <v>67</v>
      </c>
      <c r="C30" s="147"/>
      <c r="D30" s="67">
        <f>+$C$27*4</f>
        <v>60440</v>
      </c>
      <c r="E30" s="65"/>
      <c r="F30" s="39">
        <v>36.159999999999997</v>
      </c>
      <c r="G30" s="46">
        <f>+H22/F22*F30</f>
        <v>33.785493333333328</v>
      </c>
      <c r="H30" s="39">
        <f>+F30-G30</f>
        <v>2.3745066666666688</v>
      </c>
      <c r="I30" s="47">
        <v>6.5666666666666734E-2</v>
      </c>
      <c r="J30" s="56"/>
    </row>
    <row r="31" spans="1:10" ht="15" thickBot="1" x14ac:dyDescent="0.4">
      <c r="A31" s="65"/>
      <c r="B31" s="60" t="s">
        <v>96</v>
      </c>
      <c r="C31" s="147"/>
      <c r="D31" s="67">
        <f t="shared" ref="D31" si="0">+$C$27*4</f>
        <v>60440</v>
      </c>
      <c r="E31" s="65"/>
    </row>
    <row r="32" spans="1:10" ht="15" thickBot="1" x14ac:dyDescent="0.4">
      <c r="A32" s="65"/>
      <c r="B32" s="60" t="s">
        <v>97</v>
      </c>
      <c r="C32" s="147"/>
      <c r="D32" s="67">
        <f>+$C$27*2</f>
        <v>30220</v>
      </c>
      <c r="E32" s="65"/>
    </row>
    <row r="33" spans="1:8" ht="15" thickBot="1" x14ac:dyDescent="0.4">
      <c r="A33" s="65"/>
      <c r="B33" s="60" t="s">
        <v>41</v>
      </c>
      <c r="C33" s="148"/>
      <c r="D33" s="67">
        <f>+$C$27*1</f>
        <v>15110</v>
      </c>
      <c r="E33" s="65"/>
    </row>
    <row r="34" spans="1:8" x14ac:dyDescent="0.35">
      <c r="A34" s="65"/>
      <c r="B34" s="65"/>
      <c r="C34" s="65"/>
      <c r="D34" s="65"/>
      <c r="E34" s="65"/>
    </row>
    <row r="35" spans="1:8" ht="15" thickBot="1" x14ac:dyDescent="0.4">
      <c r="A35" s="65"/>
      <c r="B35" s="65"/>
      <c r="C35" s="65"/>
      <c r="D35" s="65"/>
      <c r="E35" s="65"/>
    </row>
    <row r="36" spans="1:8" x14ac:dyDescent="0.35">
      <c r="A36" s="65"/>
      <c r="B36" s="137" t="s">
        <v>94</v>
      </c>
      <c r="C36" s="138"/>
      <c r="D36" s="139"/>
      <c r="E36" s="65"/>
    </row>
    <row r="37" spans="1:8" ht="15" thickBot="1" x14ac:dyDescent="0.4">
      <c r="A37" s="65"/>
      <c r="B37" s="16" t="s">
        <v>70</v>
      </c>
      <c r="C37" s="38" t="s">
        <v>71</v>
      </c>
      <c r="D37" s="18" t="s">
        <v>95</v>
      </c>
      <c r="E37" s="65"/>
    </row>
    <row r="38" spans="1:8" ht="15" thickBot="1" x14ac:dyDescent="0.4">
      <c r="A38" s="65"/>
      <c r="B38" s="66" t="s">
        <v>85</v>
      </c>
      <c r="C38" s="146">
        <v>434.61538461538498</v>
      </c>
      <c r="D38" s="67">
        <v>4.2508600575022397</v>
      </c>
      <c r="E38" s="65"/>
      <c r="F38" s="1" t="s">
        <v>114</v>
      </c>
    </row>
    <row r="39" spans="1:8" ht="15" thickBot="1" x14ac:dyDescent="0.4">
      <c r="A39" s="65"/>
      <c r="B39" s="52" t="s">
        <v>54</v>
      </c>
      <c r="C39" s="147"/>
      <c r="D39" s="67">
        <v>3.7872407589936992</v>
      </c>
      <c r="E39" s="65"/>
      <c r="F39" s="1" t="s">
        <v>115</v>
      </c>
    </row>
    <row r="40" spans="1:8" ht="15" thickBot="1" x14ac:dyDescent="0.4">
      <c r="A40" s="65"/>
      <c r="B40" s="60" t="s">
        <v>56</v>
      </c>
      <c r="C40" s="147"/>
      <c r="D40" s="67">
        <v>434.61538461538464</v>
      </c>
      <c r="E40" s="65"/>
      <c r="F40" s="86" t="s">
        <v>116</v>
      </c>
    </row>
    <row r="41" spans="1:8" ht="15" thickBot="1" x14ac:dyDescent="0.4">
      <c r="A41" s="65"/>
      <c r="B41" s="60" t="s">
        <v>67</v>
      </c>
      <c r="C41" s="147"/>
      <c r="D41" s="67">
        <f>+$C$38*4</f>
        <v>1738.4615384615399</v>
      </c>
      <c r="E41" s="65"/>
      <c r="F41" s="86"/>
      <c r="H41" s="1">
        <v>0.110441305048088</v>
      </c>
    </row>
    <row r="42" spans="1:8" ht="15" thickBot="1" x14ac:dyDescent="0.4">
      <c r="A42" s="65"/>
      <c r="B42" s="60" t="s">
        <v>96</v>
      </c>
      <c r="C42" s="147"/>
      <c r="D42" s="67">
        <f>+$C$38*4</f>
        <v>1738.4615384615399</v>
      </c>
      <c r="E42" s="65"/>
    </row>
    <row r="43" spans="1:8" ht="15" thickBot="1" x14ac:dyDescent="0.4">
      <c r="A43" s="65"/>
      <c r="B43" s="60" t="s">
        <v>97</v>
      </c>
      <c r="C43" s="147"/>
      <c r="D43" s="67">
        <f>+$C$38*2</f>
        <v>869.23076923076997</v>
      </c>
      <c r="E43" s="65"/>
      <c r="H43" s="1">
        <f>22600*0.11/(285*8)</f>
        <v>1.0903508771929824</v>
      </c>
    </row>
    <row r="44" spans="1:8" ht="15" thickBot="1" x14ac:dyDescent="0.4">
      <c r="A44" s="65"/>
      <c r="B44" s="60" t="s">
        <v>41</v>
      </c>
      <c r="C44" s="148"/>
      <c r="D44" s="67">
        <f>+$C$38*1</f>
        <v>434.61538461538498</v>
      </c>
      <c r="E44" s="65"/>
    </row>
    <row r="45" spans="1:8" x14ac:dyDescent="0.35">
      <c r="A45" s="65"/>
      <c r="B45" s="65"/>
      <c r="C45" s="65"/>
      <c r="D45" s="65"/>
      <c r="E45" s="65"/>
    </row>
    <row r="46" spans="1:8" x14ac:dyDescent="0.35">
      <c r="A46" s="65"/>
      <c r="B46" s="65"/>
      <c r="C46" s="65"/>
      <c r="D46" s="65"/>
      <c r="E46" s="65"/>
    </row>
    <row r="47" spans="1:8" x14ac:dyDescent="0.35">
      <c r="A47" s="65"/>
      <c r="B47" s="65"/>
      <c r="C47" s="65"/>
      <c r="D47" s="65"/>
      <c r="E47" s="65"/>
    </row>
    <row r="48" spans="1:8" x14ac:dyDescent="0.35">
      <c r="A48" s="65"/>
      <c r="B48" s="65"/>
      <c r="C48" s="65"/>
      <c r="D48" s="65"/>
      <c r="E48" s="65"/>
    </row>
    <row r="49" spans="1:5" x14ac:dyDescent="0.35">
      <c r="A49" s="65"/>
      <c r="B49" s="65"/>
      <c r="C49" s="65"/>
      <c r="D49" s="65"/>
      <c r="E49" s="65"/>
    </row>
    <row r="50" spans="1:5" x14ac:dyDescent="0.35">
      <c r="A50" s="65"/>
      <c r="B50" s="65"/>
      <c r="C50" s="65"/>
      <c r="D50" s="65"/>
      <c r="E50" s="65"/>
    </row>
  </sheetData>
  <mergeCells count="13">
    <mergeCell ref="C27:C33"/>
    <mergeCell ref="B36:D36"/>
    <mergeCell ref="C38:C44"/>
    <mergeCell ref="F25:I25"/>
    <mergeCell ref="F26:I26"/>
    <mergeCell ref="F10:I10"/>
    <mergeCell ref="B25:D25"/>
    <mergeCell ref="B9:D9"/>
    <mergeCell ref="B10:D10"/>
    <mergeCell ref="F9:I9"/>
    <mergeCell ref="B18:D18"/>
    <mergeCell ref="F17:J17"/>
    <mergeCell ref="F18:J1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BAB4-1B5F-4BAC-9980-9AB92E8100BA}">
  <dimension ref="A2:G21"/>
  <sheetViews>
    <sheetView zoomScale="70" zoomScaleNormal="70" workbookViewId="0">
      <selection activeCell="E22" sqref="E22"/>
    </sheetView>
  </sheetViews>
  <sheetFormatPr baseColWidth="10" defaultRowHeight="14.5" x14ac:dyDescent="0.35"/>
  <cols>
    <col min="1" max="1" width="10.90625" style="1"/>
    <col min="2" max="2" width="39.7265625" style="1" customWidth="1"/>
    <col min="3" max="3" width="31.90625" style="1" customWidth="1"/>
    <col min="4" max="5" width="30.6328125" style="1" customWidth="1"/>
    <col min="6" max="6" width="43.81640625" style="1" customWidth="1"/>
    <col min="7" max="16384" width="10.90625" style="1"/>
  </cols>
  <sheetData>
    <row r="2" spans="2:7" ht="15" thickBot="1" x14ac:dyDescent="0.4"/>
    <row r="3" spans="2:7" ht="15" thickBot="1" x14ac:dyDescent="0.4">
      <c r="B3" s="137" t="s">
        <v>39</v>
      </c>
      <c r="C3" s="138"/>
      <c r="D3" s="139"/>
      <c r="E3" s="59"/>
    </row>
    <row r="4" spans="2:7" ht="15" thickBot="1" x14ac:dyDescent="0.4">
      <c r="B4" s="140" t="s">
        <v>21</v>
      </c>
      <c r="C4" s="156"/>
      <c r="D4" s="142"/>
      <c r="E4" s="26"/>
    </row>
    <row r="5" spans="2:7" ht="15" thickBot="1" x14ac:dyDescent="0.4">
      <c r="B5" s="16" t="s">
        <v>22</v>
      </c>
      <c r="C5" s="17" t="s">
        <v>24</v>
      </c>
      <c r="D5" s="18" t="s">
        <v>23</v>
      </c>
      <c r="E5" s="26"/>
      <c r="F5" s="31" t="s">
        <v>45</v>
      </c>
      <c r="G5" s="51" t="s">
        <v>76</v>
      </c>
    </row>
    <row r="6" spans="2:7" x14ac:dyDescent="0.35">
      <c r="B6" s="5" t="s">
        <v>25</v>
      </c>
      <c r="C6" s="6" t="s">
        <v>78</v>
      </c>
      <c r="D6" s="157" t="s">
        <v>82</v>
      </c>
      <c r="E6" s="26"/>
      <c r="F6" s="149" t="s">
        <v>79</v>
      </c>
      <c r="G6" s="43"/>
    </row>
    <row r="7" spans="2:7" ht="15" thickBot="1" x14ac:dyDescent="0.4">
      <c r="B7" s="7" t="s">
        <v>33</v>
      </c>
      <c r="C7" s="8" t="s">
        <v>35</v>
      </c>
      <c r="D7" s="158"/>
      <c r="E7" s="26"/>
      <c r="F7" s="150"/>
      <c r="G7" s="44">
        <v>12880</v>
      </c>
    </row>
    <row r="8" spans="2:7" x14ac:dyDescent="0.35">
      <c r="B8" s="10" t="s">
        <v>34</v>
      </c>
      <c r="C8" s="11" t="s">
        <v>35</v>
      </c>
      <c r="D8" s="159" t="s">
        <v>81</v>
      </c>
      <c r="E8" s="58"/>
      <c r="F8" s="151" t="s">
        <v>80</v>
      </c>
      <c r="G8" s="48"/>
    </row>
    <row r="9" spans="2:7" x14ac:dyDescent="0.35">
      <c r="B9" s="12" t="s">
        <v>36</v>
      </c>
      <c r="C9" s="13" t="s">
        <v>35</v>
      </c>
      <c r="D9" s="160"/>
      <c r="E9" s="58"/>
      <c r="F9" s="152"/>
      <c r="G9" s="49">
        <v>5623.7</v>
      </c>
    </row>
    <row r="10" spans="2:7" x14ac:dyDescent="0.35">
      <c r="B10" s="12" t="s">
        <v>31</v>
      </c>
      <c r="C10" s="13" t="s">
        <v>32</v>
      </c>
      <c r="D10" s="160"/>
      <c r="E10" s="58"/>
      <c r="F10" s="152"/>
      <c r="G10" s="49"/>
    </row>
    <row r="11" spans="2:7" ht="15" thickBot="1" x14ac:dyDescent="0.4">
      <c r="B11" s="14" t="s">
        <v>26</v>
      </c>
      <c r="C11" s="15" t="s">
        <v>78</v>
      </c>
      <c r="D11" s="161"/>
      <c r="E11" s="58"/>
      <c r="F11" s="153"/>
      <c r="G11" s="50"/>
    </row>
    <row r="12" spans="2:7" x14ac:dyDescent="0.35">
      <c r="B12" s="2" t="s">
        <v>27</v>
      </c>
      <c r="C12" s="3" t="s">
        <v>28</v>
      </c>
      <c r="D12" s="162" t="s">
        <v>47</v>
      </c>
      <c r="E12" s="58"/>
      <c r="F12" s="154" t="s">
        <v>46</v>
      </c>
      <c r="G12" s="44">
        <f>2920+2686</f>
        <v>5606</v>
      </c>
    </row>
    <row r="13" spans="2:7" ht="15" thickBot="1" x14ac:dyDescent="0.4">
      <c r="B13" s="20" t="s">
        <v>29</v>
      </c>
      <c r="C13" s="4" t="s">
        <v>30</v>
      </c>
      <c r="D13" s="163"/>
      <c r="E13" s="58"/>
      <c r="F13" s="155"/>
      <c r="G13" s="45"/>
    </row>
    <row r="14" spans="2:7" ht="15" thickBot="1" x14ac:dyDescent="0.4">
      <c r="B14" s="27" t="s">
        <v>37</v>
      </c>
      <c r="C14" s="28" t="s">
        <v>35</v>
      </c>
      <c r="D14" s="29" t="s">
        <v>37</v>
      </c>
      <c r="E14" s="26"/>
      <c r="F14" s="26"/>
    </row>
    <row r="15" spans="2:7" ht="15" thickBot="1" x14ac:dyDescent="0.4">
      <c r="B15" s="20" t="s">
        <v>38</v>
      </c>
      <c r="C15" s="24" t="s">
        <v>40</v>
      </c>
      <c r="D15" s="25" t="s">
        <v>38</v>
      </c>
      <c r="E15" s="26"/>
      <c r="F15" s="26"/>
    </row>
    <row r="16" spans="2:7" ht="15" thickBot="1" x14ac:dyDescent="0.4">
      <c r="B16" s="19" t="s">
        <v>92</v>
      </c>
      <c r="C16" s="21" t="s">
        <v>40</v>
      </c>
      <c r="D16" s="22" t="s">
        <v>93</v>
      </c>
      <c r="E16" s="26"/>
      <c r="F16" s="26"/>
    </row>
    <row r="17" spans="1:6" ht="15" thickBot="1" x14ac:dyDescent="0.4">
      <c r="B17" s="27" t="s">
        <v>41</v>
      </c>
      <c r="C17" s="28" t="s">
        <v>44</v>
      </c>
      <c r="D17" s="29" t="s">
        <v>41</v>
      </c>
      <c r="E17" s="26"/>
      <c r="F17" s="26"/>
    </row>
    <row r="18" spans="1:6" ht="15" thickBot="1" x14ac:dyDescent="0.4">
      <c r="A18" s="23"/>
      <c r="B18" s="26"/>
      <c r="C18" s="26"/>
      <c r="D18" s="26"/>
      <c r="E18" s="26"/>
      <c r="F18" s="26"/>
    </row>
    <row r="19" spans="1:6" ht="15" thickBot="1" x14ac:dyDescent="0.4">
      <c r="A19" s="23"/>
      <c r="B19" s="137" t="s">
        <v>42</v>
      </c>
      <c r="C19" s="138"/>
      <c r="D19" s="139"/>
      <c r="E19" s="59"/>
      <c r="F19" s="23"/>
    </row>
    <row r="20" spans="1:6" ht="15" thickBot="1" x14ac:dyDescent="0.4">
      <c r="B20" s="19" t="s">
        <v>43</v>
      </c>
      <c r="C20" s="21" t="s">
        <v>44</v>
      </c>
      <c r="D20" s="22" t="s">
        <v>43</v>
      </c>
      <c r="E20" s="26"/>
      <c r="F20" s="26"/>
    </row>
    <row r="21" spans="1:6" ht="15" thickBot="1" x14ac:dyDescent="0.4">
      <c r="B21" s="19" t="s">
        <v>48</v>
      </c>
      <c r="C21" s="21" t="s">
        <v>44</v>
      </c>
      <c r="D21" s="22" t="s">
        <v>48</v>
      </c>
      <c r="E21" s="26"/>
      <c r="F21" s="26"/>
    </row>
  </sheetData>
  <mergeCells count="9">
    <mergeCell ref="B19:D19"/>
    <mergeCell ref="F6:F7"/>
    <mergeCell ref="F8:F11"/>
    <mergeCell ref="F12:F13"/>
    <mergeCell ref="B3:D3"/>
    <mergeCell ref="B4:D4"/>
    <mergeCell ref="D6:D7"/>
    <mergeCell ref="D8:D11"/>
    <mergeCell ref="D12:D1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34A-3804-417D-8A93-8077A9C67EAA}">
  <dimension ref="B8:B14"/>
  <sheetViews>
    <sheetView workbookViewId="0">
      <selection activeCell="B23" sqref="B23"/>
    </sheetView>
  </sheetViews>
  <sheetFormatPr baseColWidth="10" defaultRowHeight="14.5" x14ac:dyDescent="0.35"/>
  <cols>
    <col min="1" max="1" width="10.90625" style="1"/>
    <col min="2" max="2" width="70.90625" style="1" customWidth="1"/>
    <col min="3" max="16384" width="10.90625" style="1"/>
  </cols>
  <sheetData>
    <row r="8" spans="2:2" ht="15" thickBot="1" x14ac:dyDescent="0.4"/>
    <row r="9" spans="2:2" ht="15" thickBot="1" x14ac:dyDescent="0.4">
      <c r="B9" s="64" t="s">
        <v>86</v>
      </c>
    </row>
    <row r="10" spans="2:2" x14ac:dyDescent="0.35">
      <c r="B10" s="63" t="s">
        <v>89</v>
      </c>
    </row>
    <row r="11" spans="2:2" x14ac:dyDescent="0.35">
      <c r="B11" s="61" t="s">
        <v>90</v>
      </c>
    </row>
    <row r="12" spans="2:2" x14ac:dyDescent="0.35">
      <c r="B12" s="61" t="s">
        <v>91</v>
      </c>
    </row>
    <row r="13" spans="2:2" x14ac:dyDescent="0.35">
      <c r="B13" s="61" t="s">
        <v>87</v>
      </c>
    </row>
    <row r="14" spans="2:2" ht="15" thickBot="1" x14ac:dyDescent="0.4">
      <c r="B14" s="6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8F04-B44D-4EC5-9817-BB8722934DEB}">
  <dimension ref="A1:J28"/>
  <sheetViews>
    <sheetView zoomScale="55" zoomScaleNormal="55" workbookViewId="0">
      <selection activeCell="F29" sqref="F29"/>
    </sheetView>
  </sheetViews>
  <sheetFormatPr baseColWidth="10" defaultRowHeight="14.5" x14ac:dyDescent="0.35"/>
  <cols>
    <col min="1" max="1" width="10.90625" style="1"/>
    <col min="2" max="2" width="11.453125" style="1" customWidth="1"/>
    <col min="3" max="3" width="21.26953125" style="1" customWidth="1"/>
    <col min="4" max="4" width="15.26953125" style="1" customWidth="1"/>
    <col min="5" max="5" width="10.90625" style="1" customWidth="1"/>
    <col min="6" max="6" width="14.453125" style="1" customWidth="1"/>
    <col min="7" max="7" width="13.81640625" style="1" customWidth="1"/>
    <col min="8" max="8" width="13.08984375" style="1" customWidth="1"/>
    <col min="9" max="9" width="12.54296875" style="1" customWidth="1"/>
    <col min="10" max="10" width="14" style="1" customWidth="1"/>
    <col min="11" max="16384" width="10.90625" style="1"/>
  </cols>
  <sheetData>
    <row r="1" spans="1:10" ht="15.5" x14ac:dyDescent="0.35">
      <c r="A1" s="128" t="s">
        <v>126</v>
      </c>
    </row>
    <row r="2" spans="1:10" x14ac:dyDescent="0.35">
      <c r="A2" s="1" t="s">
        <v>125</v>
      </c>
    </row>
    <row r="3" spans="1:10" ht="15" thickBot="1" x14ac:dyDescent="0.4"/>
    <row r="4" spans="1:10" ht="24.5" customHeight="1" thickBot="1" x14ac:dyDescent="0.4">
      <c r="A4" s="126"/>
      <c r="B4" s="143" t="s">
        <v>100</v>
      </c>
      <c r="C4" s="145"/>
    </row>
    <row r="5" spans="1:10" ht="19.5" customHeight="1" thickBot="1" x14ac:dyDescent="0.4">
      <c r="A5" s="127"/>
      <c r="B5" s="68" t="s">
        <v>101</v>
      </c>
      <c r="C5" s="69" t="s">
        <v>102</v>
      </c>
      <c r="E5" s="125"/>
      <c r="F5" s="125"/>
      <c r="G5" s="125"/>
      <c r="H5" s="125"/>
      <c r="I5" s="125"/>
      <c r="J5" s="125"/>
    </row>
    <row r="6" spans="1:10" x14ac:dyDescent="0.35">
      <c r="B6" s="70" t="s">
        <v>98</v>
      </c>
      <c r="C6" s="70">
        <v>22600</v>
      </c>
      <c r="E6" s="125"/>
      <c r="F6" s="125"/>
      <c r="G6" s="125"/>
      <c r="H6" s="125"/>
      <c r="I6" s="125"/>
      <c r="J6" s="125"/>
    </row>
    <row r="7" spans="1:10" ht="15" thickBot="1" x14ac:dyDescent="0.4">
      <c r="B7" s="62" t="s">
        <v>99</v>
      </c>
      <c r="C7" s="133">
        <f>22600/12</f>
        <v>1883.3333333333333</v>
      </c>
      <c r="E7" s="125"/>
      <c r="F7" s="125"/>
      <c r="G7" s="125"/>
      <c r="H7" s="125"/>
      <c r="I7" s="125"/>
      <c r="J7" s="125"/>
    </row>
    <row r="8" spans="1:10" x14ac:dyDescent="0.35">
      <c r="E8" s="125"/>
      <c r="F8" s="125"/>
      <c r="G8" s="125"/>
      <c r="H8" s="125"/>
      <c r="I8" s="125"/>
      <c r="J8" s="125"/>
    </row>
    <row r="9" spans="1:10" x14ac:dyDescent="0.35">
      <c r="E9" s="125"/>
      <c r="F9" s="125"/>
      <c r="G9" s="125"/>
      <c r="H9" s="125"/>
      <c r="I9" s="125"/>
      <c r="J9" s="125"/>
    </row>
    <row r="11" spans="1:10" x14ac:dyDescent="0.35">
      <c r="A11" s="1" t="s">
        <v>127</v>
      </c>
    </row>
    <row r="12" spans="1:10" x14ac:dyDescent="0.35">
      <c r="A12" s="1" t="s">
        <v>128</v>
      </c>
    </row>
    <row r="13" spans="1:10" ht="15" thickBot="1" x14ac:dyDescent="0.4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0" ht="44" thickBot="1" x14ac:dyDescent="0.4">
      <c r="A14" s="65"/>
      <c r="B14" s="57" t="s">
        <v>103</v>
      </c>
      <c r="C14" s="83" t="s">
        <v>104</v>
      </c>
      <c r="D14" s="84" t="s">
        <v>104</v>
      </c>
      <c r="E14" s="84" t="s">
        <v>105</v>
      </c>
      <c r="F14" s="84" t="s">
        <v>107</v>
      </c>
      <c r="G14" s="85" t="s">
        <v>106</v>
      </c>
      <c r="H14" s="65"/>
      <c r="I14" s="65"/>
      <c r="J14" s="65"/>
    </row>
    <row r="15" spans="1:10" x14ac:dyDescent="0.35">
      <c r="A15" s="65"/>
      <c r="B15" s="78">
        <v>1</v>
      </c>
      <c r="C15" s="76">
        <v>0</v>
      </c>
      <c r="D15" s="72">
        <v>10</v>
      </c>
      <c r="E15" s="72">
        <f>+(D15+C15)/2</f>
        <v>5</v>
      </c>
      <c r="F15" s="72">
        <f>+$C$7</f>
        <v>1883.3333333333333</v>
      </c>
      <c r="G15" s="73">
        <f>+F15*E15/100</f>
        <v>94.166666666666657</v>
      </c>
    </row>
    <row r="16" spans="1:10" x14ac:dyDescent="0.35">
      <c r="B16" s="79">
        <v>2</v>
      </c>
      <c r="C16" s="77">
        <v>10</v>
      </c>
      <c r="D16" s="71">
        <v>20</v>
      </c>
      <c r="E16" s="72">
        <f>+(D16+C16)/2</f>
        <v>15</v>
      </c>
      <c r="F16" s="72">
        <f t="shared" ref="F16:F17" si="0">+$C$7</f>
        <v>1883.3333333333333</v>
      </c>
      <c r="G16" s="73">
        <f t="shared" ref="G16:G17" si="1">+F16*E16/100</f>
        <v>282.5</v>
      </c>
    </row>
    <row r="17" spans="1:8" ht="15" thickBot="1" x14ac:dyDescent="0.4">
      <c r="B17" s="80">
        <v>3</v>
      </c>
      <c r="C17" s="81">
        <v>20</v>
      </c>
      <c r="D17" s="82">
        <v>100</v>
      </c>
      <c r="E17" s="72">
        <f>+(D17+C17)/2</f>
        <v>60</v>
      </c>
      <c r="F17" s="72">
        <f t="shared" si="0"/>
        <v>1883.3333333333333</v>
      </c>
      <c r="G17" s="73">
        <f t="shared" si="1"/>
        <v>1130</v>
      </c>
    </row>
    <row r="18" spans="1:8" ht="15" thickBot="1" x14ac:dyDescent="0.4">
      <c r="B18" s="57"/>
      <c r="C18" s="75"/>
      <c r="D18" s="74"/>
      <c r="E18" s="74"/>
      <c r="F18" s="74" t="s">
        <v>0</v>
      </c>
      <c r="G18" s="132">
        <f>+SUM(G15:G17)</f>
        <v>1506.6666666666665</v>
      </c>
    </row>
    <row r="21" spans="1:8" x14ac:dyDescent="0.35">
      <c r="A21" s="1" t="s">
        <v>129</v>
      </c>
    </row>
    <row r="22" spans="1:8" x14ac:dyDescent="0.35">
      <c r="A22" s="1" t="s">
        <v>130</v>
      </c>
      <c r="D22" s="131">
        <f>1833.33*9</f>
        <v>16499.97</v>
      </c>
      <c r="E22" s="1" t="s">
        <v>131</v>
      </c>
    </row>
    <row r="24" spans="1:8" x14ac:dyDescent="0.35">
      <c r="A24" s="1" t="s">
        <v>132</v>
      </c>
      <c r="E24" s="131">
        <f>1506.67+16500</f>
        <v>18006.669999999998</v>
      </c>
    </row>
    <row r="25" spans="1:8" x14ac:dyDescent="0.35">
      <c r="A25" s="1" t="s">
        <v>171</v>
      </c>
      <c r="H25" s="131">
        <f>+G18</f>
        <v>1506.6666666666665</v>
      </c>
    </row>
    <row r="26" spans="1:8" x14ac:dyDescent="0.35">
      <c r="A26" s="1" t="s">
        <v>172</v>
      </c>
      <c r="E26" s="131">
        <f>14100+'7'!D10-'6'!H25</f>
        <v>12810.638333333334</v>
      </c>
    </row>
    <row r="28" spans="1:8" x14ac:dyDescent="0.35">
      <c r="A28" s="1" t="s">
        <v>173</v>
      </c>
      <c r="D28" s="131">
        <v>22600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FD85-D014-4852-A28F-1B81089FD3C3}">
  <dimension ref="A1:I12"/>
  <sheetViews>
    <sheetView zoomScale="85" zoomScaleNormal="85" workbookViewId="0">
      <selection activeCell="C6" sqref="C6"/>
    </sheetView>
  </sheetViews>
  <sheetFormatPr baseColWidth="10" defaultRowHeight="14.5" x14ac:dyDescent="0.35"/>
  <cols>
    <col min="1" max="2" width="10.90625" style="1"/>
    <col min="3" max="4" width="12.1796875" style="1" customWidth="1"/>
    <col min="5" max="5" width="13.54296875" style="1" customWidth="1"/>
    <col min="6" max="16384" width="10.90625" style="1"/>
  </cols>
  <sheetData>
    <row r="1" spans="1:9" ht="17" customHeight="1" x14ac:dyDescent="0.35">
      <c r="A1" s="128" t="s">
        <v>134</v>
      </c>
    </row>
    <row r="2" spans="1:9" x14ac:dyDescent="0.35">
      <c r="A2" s="1" t="s">
        <v>133</v>
      </c>
    </row>
    <row r="3" spans="1:9" ht="15" thickBot="1" x14ac:dyDescent="0.4"/>
    <row r="4" spans="1:9" ht="15" thickBot="1" x14ac:dyDescent="0.4">
      <c r="B4" s="143" t="s">
        <v>108</v>
      </c>
      <c r="C4" s="145"/>
    </row>
    <row r="5" spans="1:9" ht="15" thickBot="1" x14ac:dyDescent="0.4">
      <c r="B5" s="68" t="s">
        <v>111</v>
      </c>
      <c r="C5" s="69" t="s">
        <v>112</v>
      </c>
      <c r="F5" s="123"/>
    </row>
    <row r="6" spans="1:9" x14ac:dyDescent="0.35">
      <c r="B6" s="70" t="s">
        <v>110</v>
      </c>
      <c r="C6" s="70">
        <v>22600</v>
      </c>
      <c r="F6" s="86"/>
    </row>
    <row r="7" spans="1:9" ht="15" thickBot="1" x14ac:dyDescent="0.4">
      <c r="B7" s="62" t="s">
        <v>109</v>
      </c>
      <c r="C7" s="62">
        <f>22600/52</f>
        <v>434.61538461538464</v>
      </c>
      <c r="F7" s="124"/>
    </row>
    <row r="9" spans="1:9" x14ac:dyDescent="0.35">
      <c r="A9" s="1" t="s">
        <v>135</v>
      </c>
      <c r="F9" s="86"/>
      <c r="H9" s="86"/>
    </row>
    <row r="10" spans="1:9" x14ac:dyDescent="0.35">
      <c r="A10" s="1" t="s">
        <v>136</v>
      </c>
      <c r="B10" s="65"/>
      <c r="C10" s="65"/>
      <c r="D10" s="130">
        <f>434.61/2</f>
        <v>217.30500000000001</v>
      </c>
      <c r="E10" s="65"/>
      <c r="F10" s="65"/>
      <c r="G10" s="65"/>
      <c r="H10" s="65"/>
      <c r="I10" s="65"/>
    </row>
    <row r="11" spans="1:9" x14ac:dyDescent="0.35">
      <c r="B11" s="65"/>
      <c r="C11" s="65"/>
      <c r="D11" s="65"/>
      <c r="E11" s="65"/>
      <c r="F11" s="65"/>
      <c r="G11" s="65"/>
      <c r="H11" s="65"/>
      <c r="I11" s="65"/>
    </row>
    <row r="12" spans="1:9" x14ac:dyDescent="0.35">
      <c r="A12" s="1" t="s">
        <v>137</v>
      </c>
      <c r="D12" s="129">
        <f>+'6'!E24</f>
        <v>18006.669999999998</v>
      </c>
      <c r="E12" s="1" t="s">
        <v>138</v>
      </c>
      <c r="F12" s="131">
        <f>+D10+14100</f>
        <v>14317.305</v>
      </c>
      <c r="G12" s="1" t="s">
        <v>139</v>
      </c>
    </row>
  </sheetData>
  <mergeCells count="1"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B729-ADB3-4E83-9BA1-5CF04044CE46}">
  <dimension ref="A1:A3"/>
  <sheetViews>
    <sheetView zoomScale="70" zoomScaleNormal="70" workbookViewId="0">
      <selection activeCell="G26" sqref="G26"/>
    </sheetView>
  </sheetViews>
  <sheetFormatPr baseColWidth="10" defaultRowHeight="14.5" x14ac:dyDescent="0.35"/>
  <cols>
    <col min="1" max="16384" width="10.90625" style="1"/>
  </cols>
  <sheetData>
    <row r="1" spans="1:1" ht="15.5" x14ac:dyDescent="0.35">
      <c r="A1" s="128" t="s">
        <v>142</v>
      </c>
    </row>
    <row r="2" spans="1:1" x14ac:dyDescent="0.35">
      <c r="A2" s="1" t="s">
        <v>140</v>
      </c>
    </row>
    <row r="3" spans="1:1" x14ac:dyDescent="0.35">
      <c r="A3" s="1" t="s">
        <v>141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0978-DA89-47A7-88AC-9B6E4D6CEB90}">
  <dimension ref="A1:H36"/>
  <sheetViews>
    <sheetView topLeftCell="A4" zoomScale="85" zoomScaleNormal="85" workbookViewId="0">
      <selection activeCell="E25" sqref="E25"/>
    </sheetView>
  </sheetViews>
  <sheetFormatPr baseColWidth="10" defaultRowHeight="14.5" x14ac:dyDescent="0.35"/>
  <cols>
    <col min="1" max="1" width="10.90625" style="1"/>
    <col min="2" max="2" width="16.08984375" style="1" customWidth="1"/>
    <col min="3" max="3" width="12.453125" style="1" customWidth="1"/>
    <col min="4" max="4" width="12.7265625" style="1" customWidth="1"/>
    <col min="5" max="5" width="10.90625" style="1"/>
    <col min="6" max="6" width="21.36328125" style="1" customWidth="1"/>
    <col min="7" max="16384" width="10.90625" style="1"/>
  </cols>
  <sheetData>
    <row r="1" spans="1:8" ht="15.5" x14ac:dyDescent="0.35">
      <c r="A1" s="128" t="s">
        <v>144</v>
      </c>
    </row>
    <row r="2" spans="1:8" x14ac:dyDescent="0.35">
      <c r="A2" s="1" t="s">
        <v>143</v>
      </c>
    </row>
    <row r="4" spans="1:8" ht="15.5" x14ac:dyDescent="0.35">
      <c r="A4" s="128" t="s">
        <v>150</v>
      </c>
    </row>
    <row r="5" spans="1:8" x14ac:dyDescent="0.35">
      <c r="A5" s="1" t="s">
        <v>145</v>
      </c>
    </row>
    <row r="6" spans="1:8" x14ac:dyDescent="0.35">
      <c r="A6" s="1" t="s">
        <v>151</v>
      </c>
      <c r="E6" s="131">
        <f>+'6'!G18*1.1</f>
        <v>1657.3333333333333</v>
      </c>
    </row>
    <row r="8" spans="1:8" x14ac:dyDescent="0.35">
      <c r="A8" s="1" t="s">
        <v>152</v>
      </c>
      <c r="E8" s="131">
        <f>+('7'!F12-'6'!G18)*1.05</f>
        <v>13451.170250000001</v>
      </c>
    </row>
    <row r="10" spans="1:8" x14ac:dyDescent="0.35">
      <c r="A10" s="1" t="s">
        <v>153</v>
      </c>
      <c r="G10" s="131">
        <f>+E6+E8</f>
        <v>15108.503583333335</v>
      </c>
    </row>
    <row r="11" spans="1:8" x14ac:dyDescent="0.35">
      <c r="A11" s="1" t="s">
        <v>154</v>
      </c>
      <c r="E11" s="131">
        <f>+'7'!F12</f>
        <v>14317.305</v>
      </c>
    </row>
    <row r="12" spans="1:8" x14ac:dyDescent="0.35">
      <c r="A12" s="1" t="s">
        <v>155</v>
      </c>
      <c r="C12" s="131">
        <f>+G10-E11</f>
        <v>791.19858333333468</v>
      </c>
    </row>
    <row r="14" spans="1:8" x14ac:dyDescent="0.35">
      <c r="A14" s="128" t="s">
        <v>146</v>
      </c>
    </row>
    <row r="15" spans="1:8" x14ac:dyDescent="0.35">
      <c r="A15" s="1" t="s">
        <v>148</v>
      </c>
    </row>
    <row r="16" spans="1:8" x14ac:dyDescent="0.35">
      <c r="A16" s="1" t="s">
        <v>156</v>
      </c>
      <c r="G16" s="129">
        <f>+'7'!C7</f>
        <v>434.61538461538464</v>
      </c>
      <c r="H16" s="1" t="s">
        <v>157</v>
      </c>
    </row>
    <row r="17" spans="1:6" x14ac:dyDescent="0.35">
      <c r="A17" s="1" t="s">
        <v>158</v>
      </c>
      <c r="E17" s="129">
        <f>48/G16</f>
        <v>0.11044247787610618</v>
      </c>
      <c r="F17" s="1" t="s">
        <v>159</v>
      </c>
    </row>
    <row r="18" spans="1:6" x14ac:dyDescent="0.35">
      <c r="E18" s="23"/>
    </row>
    <row r="19" spans="1:6" x14ac:dyDescent="0.35">
      <c r="A19" s="1" t="s">
        <v>160</v>
      </c>
      <c r="E19" s="131">
        <f>+'6'!C6*'9'!E17/(285*8)</f>
        <v>1.0947368421052632</v>
      </c>
      <c r="F19" s="1" t="s">
        <v>161</v>
      </c>
    </row>
    <row r="21" spans="1:6" x14ac:dyDescent="0.35">
      <c r="A21" s="128" t="s">
        <v>149</v>
      </c>
    </row>
    <row r="22" spans="1:6" x14ac:dyDescent="0.35">
      <c r="A22" s="1" t="s">
        <v>162</v>
      </c>
      <c r="C22" s="131">
        <f>+G10</f>
        <v>15108.503583333335</v>
      </c>
    </row>
    <row r="23" spans="1:6" x14ac:dyDescent="0.35">
      <c r="A23" s="1" t="s">
        <v>163</v>
      </c>
      <c r="D23" s="131">
        <f>+E19</f>
        <v>1.0947368421052632</v>
      </c>
    </row>
    <row r="25" spans="1:6" x14ac:dyDescent="0.35">
      <c r="A25" s="1" t="s">
        <v>164</v>
      </c>
      <c r="D25" s="131">
        <f>+C22+D23</f>
        <v>15109.598320175441</v>
      </c>
    </row>
    <row r="36" spans="1:1" x14ac:dyDescent="0.35">
      <c r="A36" s="1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EBD-3F18-4A83-B0B3-5975F08662C7}">
  <dimension ref="A1:I13"/>
  <sheetViews>
    <sheetView tabSelected="1" zoomScale="70" zoomScaleNormal="70" workbookViewId="0">
      <selection activeCell="F2" sqref="F2"/>
    </sheetView>
  </sheetViews>
  <sheetFormatPr baseColWidth="10" defaultRowHeight="14.5" x14ac:dyDescent="0.35"/>
  <cols>
    <col min="1" max="16384" width="10.90625" style="1"/>
  </cols>
  <sheetData>
    <row r="1" spans="1:9" x14ac:dyDescent="0.35">
      <c r="A1" s="128" t="s">
        <v>165</v>
      </c>
    </row>
    <row r="2" spans="1:9" x14ac:dyDescent="0.35">
      <c r="A2" s="1" t="s">
        <v>167</v>
      </c>
      <c r="F2" s="131">
        <f>+'7'!C7/2</f>
        <v>217.30769230769232</v>
      </c>
    </row>
    <row r="3" spans="1:9" x14ac:dyDescent="0.35">
      <c r="A3" s="1" t="s">
        <v>166</v>
      </c>
    </row>
    <row r="4" spans="1:9" ht="15" thickBot="1" x14ac:dyDescent="0.4"/>
    <row r="5" spans="1:9" ht="29.5" thickBot="1" x14ac:dyDescent="0.4">
      <c r="B5" s="96" t="s">
        <v>1</v>
      </c>
      <c r="C5" s="97" t="s">
        <v>2</v>
      </c>
      <c r="D5" s="98" t="s">
        <v>3</v>
      </c>
      <c r="E5" s="99" t="s">
        <v>1</v>
      </c>
      <c r="F5" s="97" t="s">
        <v>2</v>
      </c>
      <c r="G5" s="98" t="s">
        <v>3</v>
      </c>
      <c r="H5" s="65"/>
      <c r="I5" s="65"/>
    </row>
    <row r="6" spans="1:9" x14ac:dyDescent="0.35">
      <c r="A6" s="65"/>
      <c r="B6" s="93" t="s">
        <v>4</v>
      </c>
      <c r="C6" s="94">
        <v>217.3</v>
      </c>
      <c r="D6" s="95">
        <v>1883.33</v>
      </c>
      <c r="E6" s="100" t="s">
        <v>10</v>
      </c>
      <c r="F6" s="94">
        <v>217.3</v>
      </c>
      <c r="G6" s="95">
        <v>1883.33</v>
      </c>
      <c r="H6" s="65"/>
      <c r="I6" s="65"/>
    </row>
    <row r="7" spans="1:9" x14ac:dyDescent="0.35">
      <c r="A7" s="65"/>
      <c r="B7" s="88" t="s">
        <v>5</v>
      </c>
      <c r="C7" s="87">
        <v>217.3</v>
      </c>
      <c r="D7" s="89">
        <v>1883.33</v>
      </c>
      <c r="E7" s="101" t="s">
        <v>11</v>
      </c>
      <c r="F7" s="87">
        <v>217.3</v>
      </c>
      <c r="G7" s="89">
        <v>1883.33</v>
      </c>
      <c r="H7" s="65"/>
      <c r="I7" s="65"/>
    </row>
    <row r="8" spans="1:9" x14ac:dyDescent="0.35">
      <c r="A8" s="65"/>
      <c r="B8" s="88" t="s">
        <v>6</v>
      </c>
      <c r="C8" s="87">
        <v>217.3</v>
      </c>
      <c r="D8" s="89">
        <v>1883.33</v>
      </c>
      <c r="E8" s="101" t="s">
        <v>12</v>
      </c>
      <c r="F8" s="87">
        <v>217.3</v>
      </c>
      <c r="G8" s="89">
        <v>1883.33</v>
      </c>
      <c r="H8" s="65"/>
      <c r="I8" s="65"/>
    </row>
    <row r="9" spans="1:9" x14ac:dyDescent="0.35">
      <c r="A9" s="65"/>
      <c r="B9" s="88" t="s">
        <v>7</v>
      </c>
      <c r="C9" s="87">
        <v>217.3</v>
      </c>
      <c r="D9" s="89">
        <v>1883.33</v>
      </c>
      <c r="E9" s="101" t="s">
        <v>13</v>
      </c>
      <c r="F9" s="87">
        <v>217.3</v>
      </c>
      <c r="G9" s="89">
        <v>1883.33</v>
      </c>
      <c r="H9" s="65"/>
      <c r="I9" s="65"/>
    </row>
    <row r="10" spans="1:9" x14ac:dyDescent="0.35">
      <c r="A10" s="65"/>
      <c r="B10" s="88" t="s">
        <v>8</v>
      </c>
      <c r="C10" s="87">
        <v>217.3</v>
      </c>
      <c r="D10" s="89">
        <v>1883.33</v>
      </c>
      <c r="E10" s="101" t="s">
        <v>14</v>
      </c>
      <c r="F10" s="87">
        <v>217.3</v>
      </c>
      <c r="G10" s="89">
        <v>1883.33</v>
      </c>
      <c r="H10" s="65"/>
      <c r="I10" s="65"/>
    </row>
    <row r="11" spans="1:9" ht="15" thickBot="1" x14ac:dyDescent="0.4">
      <c r="A11" s="65"/>
      <c r="B11" s="90" t="s">
        <v>9</v>
      </c>
      <c r="C11" s="91">
        <v>217.3</v>
      </c>
      <c r="D11" s="92">
        <v>1883.33</v>
      </c>
      <c r="E11" s="102" t="s">
        <v>15</v>
      </c>
      <c r="F11" s="91">
        <v>217.3</v>
      </c>
      <c r="G11" s="92">
        <v>1883.33</v>
      </c>
      <c r="H11" s="65"/>
      <c r="I11" s="65"/>
    </row>
    <row r="12" spans="1:9" x14ac:dyDescent="0.35">
      <c r="A12" s="65"/>
      <c r="B12" s="65"/>
      <c r="C12" s="65"/>
      <c r="D12" s="65"/>
      <c r="E12" s="65"/>
      <c r="F12" s="65"/>
      <c r="G12" s="65"/>
      <c r="H12" s="65"/>
      <c r="I12" s="65"/>
    </row>
    <row r="13" spans="1:9" x14ac:dyDescent="0.35">
      <c r="A13" s="1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B0305-7D89-4D23-8C73-58E86A4BC06D}">
  <dimension ref="A2:F14"/>
  <sheetViews>
    <sheetView zoomScale="70" zoomScaleNormal="70" workbookViewId="0">
      <selection activeCell="F23" sqref="F23"/>
    </sheetView>
  </sheetViews>
  <sheetFormatPr baseColWidth="10" defaultRowHeight="14.5" x14ac:dyDescent="0.35"/>
  <cols>
    <col min="1" max="1" width="10.90625" style="1"/>
    <col min="2" max="2" width="31.36328125" style="1" customWidth="1"/>
    <col min="3" max="3" width="13.81640625" style="1" customWidth="1"/>
    <col min="4" max="5" width="10.90625" style="1"/>
    <col min="6" max="6" width="11.26953125" style="1" bestFit="1" customWidth="1"/>
    <col min="7" max="16384" width="10.90625" style="1"/>
  </cols>
  <sheetData>
    <row r="2" spans="1:6" ht="15" thickBot="1" x14ac:dyDescent="0.4"/>
    <row r="3" spans="1:6" ht="29.5" thickBot="1" x14ac:dyDescent="0.4">
      <c r="B3" s="103"/>
      <c r="C3" s="120" t="s">
        <v>16</v>
      </c>
      <c r="D3" s="121" t="s">
        <v>17</v>
      </c>
      <c r="E3" s="121" t="s">
        <v>18</v>
      </c>
      <c r="F3" s="122" t="s">
        <v>19</v>
      </c>
    </row>
    <row r="4" spans="1:6" x14ac:dyDescent="0.35">
      <c r="B4" s="103" t="s">
        <v>117</v>
      </c>
      <c r="C4" s="116" t="s">
        <v>20</v>
      </c>
      <c r="D4" s="117"/>
      <c r="E4" s="118">
        <v>14100</v>
      </c>
      <c r="F4" s="119">
        <v>22600</v>
      </c>
    </row>
    <row r="5" spans="1:6" x14ac:dyDescent="0.35">
      <c r="B5" s="103" t="s">
        <v>118</v>
      </c>
      <c r="C5" s="104" t="s">
        <v>20</v>
      </c>
      <c r="D5" s="105"/>
      <c r="E5" s="106">
        <v>217.3</v>
      </c>
      <c r="F5" s="108">
        <v>217.3</v>
      </c>
    </row>
    <row r="6" spans="1:6" x14ac:dyDescent="0.35">
      <c r="B6" s="103" t="s">
        <v>119</v>
      </c>
      <c r="C6" s="104" t="s">
        <v>20</v>
      </c>
      <c r="D6" s="105"/>
      <c r="E6" s="106">
        <f>+'7'!F12</f>
        <v>14317.305</v>
      </c>
      <c r="F6" s="107">
        <v>22600</v>
      </c>
    </row>
    <row r="7" spans="1:6" x14ac:dyDescent="0.35">
      <c r="B7" s="103" t="s">
        <v>120</v>
      </c>
      <c r="C7" s="104" t="s">
        <v>20</v>
      </c>
      <c r="D7" s="105"/>
      <c r="E7" s="109">
        <f>+'9'!C12</f>
        <v>791.19858333333468</v>
      </c>
      <c r="F7" s="107">
        <v>0</v>
      </c>
    </row>
    <row r="8" spans="1:6" x14ac:dyDescent="0.35">
      <c r="B8" s="103" t="s">
        <v>121</v>
      </c>
      <c r="C8" s="104" t="s">
        <v>20</v>
      </c>
      <c r="D8" s="105"/>
      <c r="E8" s="109">
        <f>+'9'!E19</f>
        <v>1.0947368421052632</v>
      </c>
      <c r="F8" s="110">
        <f>+'9'!E19</f>
        <v>1.0947368421052632</v>
      </c>
    </row>
    <row r="9" spans="1:6" x14ac:dyDescent="0.35">
      <c r="B9" s="103" t="s">
        <v>122</v>
      </c>
      <c r="C9" s="104" t="s">
        <v>20</v>
      </c>
      <c r="D9" s="105"/>
      <c r="E9" s="106">
        <f>+'9'!D25</f>
        <v>15109.598320175441</v>
      </c>
      <c r="F9" s="107">
        <v>22600</v>
      </c>
    </row>
    <row r="10" spans="1:6" x14ac:dyDescent="0.35">
      <c r="B10" s="103" t="s">
        <v>123</v>
      </c>
      <c r="C10" s="104" t="s">
        <v>20</v>
      </c>
      <c r="D10" s="111">
        <f>+'9'!E6</f>
        <v>1657.3333333333333</v>
      </c>
      <c r="E10" s="109">
        <f>+'10'!F2</f>
        <v>217.30769230769232</v>
      </c>
      <c r="F10" s="108">
        <f>+'10'!F2</f>
        <v>217.30769230769232</v>
      </c>
    </row>
    <row r="11" spans="1:6" ht="15" thickBot="1" x14ac:dyDescent="0.4">
      <c r="B11" s="103" t="s">
        <v>124</v>
      </c>
      <c r="C11" s="112" t="s">
        <v>20</v>
      </c>
      <c r="D11" s="113">
        <f>+'9'!E6</f>
        <v>1657.3333333333333</v>
      </c>
      <c r="E11" s="114">
        <f>+'9'!D25-'9'!E6+'10'!F2</f>
        <v>13669.572679149798</v>
      </c>
      <c r="F11" s="115">
        <v>22600</v>
      </c>
    </row>
    <row r="12" spans="1:6" x14ac:dyDescent="0.35">
      <c r="D12" s="123"/>
      <c r="E12" s="86"/>
    </row>
    <row r="13" spans="1:6" x14ac:dyDescent="0.35">
      <c r="A13" s="1" t="s">
        <v>169</v>
      </c>
    </row>
    <row r="14" spans="1:6" x14ac:dyDescent="0.35">
      <c r="A14" s="1" t="s">
        <v>170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RENDIMIENTO</vt:lpstr>
      <vt:lpstr>LISTADO MP</vt:lpstr>
      <vt:lpstr>2</vt:lpstr>
      <vt:lpstr>6</vt:lpstr>
      <vt:lpstr>7</vt:lpstr>
      <vt:lpstr>8</vt:lpstr>
      <vt:lpstr>9</vt:lpstr>
      <vt:lpstr>10</vt:lpstr>
      <vt:lpstr>11. CUADRO EVOLUCION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Erdfarb</dc:creator>
  <cp:lastModifiedBy>Alex Erdfarb</cp:lastModifiedBy>
  <dcterms:created xsi:type="dcterms:W3CDTF">2018-07-16T02:55:35Z</dcterms:created>
  <dcterms:modified xsi:type="dcterms:W3CDTF">2018-09-24T20:22:57Z</dcterms:modified>
</cp:coreProperties>
</file>