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nfoInicial" sheetId="1" r:id="rId3"/>
    <sheet state="visible" name="E-Inv AF y Am" sheetId="2" r:id="rId4"/>
    <sheet state="visible" name="E-Costos" sheetId="3" r:id="rId5"/>
    <sheet state="visible" name="E-InvAT" sheetId="4" r:id="rId6"/>
    <sheet state="visible" name="E-Cal Inv." sheetId="5" r:id="rId7"/>
    <sheet state="visible" name="E-IVA " sheetId="6" r:id="rId8"/>
    <sheet state="visible" name="E-Form" sheetId="7" r:id="rId9"/>
    <sheet state="visible" name="F-Cred" sheetId="8" r:id="rId10"/>
    <sheet state="visible" name="F-CRes" sheetId="9" r:id="rId11"/>
    <sheet state="visible" name="F-2 Estructura" sheetId="10" r:id="rId12"/>
    <sheet state="visible" name="F-IVA" sheetId="11" r:id="rId13"/>
    <sheet state="visible" name="F- CFyU" sheetId="12" r:id="rId14"/>
    <sheet state="visible" name="F-Balance" sheetId="13" r:id="rId15"/>
    <sheet state="visible" name="F- Form" sheetId="14" r:id="rId16"/>
  </sheets>
  <definedNames/>
  <calcPr/>
</workbook>
</file>

<file path=xl/sharedStrings.xml><?xml version="1.0" encoding="utf-8"?>
<sst xmlns="http://schemas.openxmlformats.org/spreadsheetml/2006/main" count="737" uniqueCount="468">
  <si>
    <t>ESTA PLANILLA PUEDE SER UTILIZADA SOLAMENTE PARA EL TRABAJO PRACTICO:</t>
  </si>
  <si>
    <t>ESTA PLANILLA PUEDE SER UTILIZADA SOLAMENTE PARA EL TRABAJO PRACTICO</t>
  </si>
  <si>
    <t>Tasa porcentual de IVA</t>
  </si>
  <si>
    <t>Tasa porcentual de Impuesto a las Ganancias</t>
  </si>
  <si>
    <t>Honorarios al Directorio</t>
  </si>
  <si>
    <t>Variable sobre Utilidad económica antes de HD e IG</t>
  </si>
  <si>
    <t>Tiempo de Amortización Activos Fijos:</t>
  </si>
  <si>
    <t>Se considera una depreciación lineal y un valor residual nulo</t>
  </si>
  <si>
    <t xml:space="preserve">    edificios y obras complementarias</t>
  </si>
  <si>
    <t>COSTO TOTAL DE PRODUCCION</t>
  </si>
  <si>
    <t>Inversión Inicial en Activo Fijo</t>
  </si>
  <si>
    <t>años</t>
  </si>
  <si>
    <t xml:space="preserve">    instalaciones industriales</t>
  </si>
  <si>
    <t xml:space="preserve">    máquinas, equipos y accesorios</t>
  </si>
  <si>
    <t xml:space="preserve">    rodados y equipos auxiliares</t>
  </si>
  <si>
    <t xml:space="preserve">    muebles y útiles</t>
  </si>
  <si>
    <t xml:space="preserve">    repuestos iniciales</t>
  </si>
  <si>
    <t>Otros Activos y Cargos Diferidos</t>
  </si>
  <si>
    <t>Imprevistos</t>
  </si>
  <si>
    <t>Nombre del Producto</t>
  </si>
  <si>
    <t>Guitarras ORFEO</t>
  </si>
  <si>
    <t>Ventas Anuales Promedio</t>
  </si>
  <si>
    <t>Gasto interno (en $)</t>
  </si>
  <si>
    <t>Gastos en el Area de Producción</t>
  </si>
  <si>
    <t>en Unidades</t>
  </si>
  <si>
    <t>Precio Promedio</t>
  </si>
  <si>
    <t>en $</t>
  </si>
  <si>
    <t xml:space="preserve">Cantidad de personal total </t>
  </si>
  <si>
    <t>en Producción</t>
  </si>
  <si>
    <t>personas</t>
  </si>
  <si>
    <t>Rubros</t>
  </si>
  <si>
    <t>Año 1</t>
  </si>
  <si>
    <t>Año 2</t>
  </si>
  <si>
    <t>Año 3</t>
  </si>
  <si>
    <t>Año 4</t>
  </si>
  <si>
    <t>Año 5</t>
  </si>
  <si>
    <t>Materia prima</t>
  </si>
  <si>
    <t>en Comercialización</t>
  </si>
  <si>
    <t>Gasto Externo (en $)</t>
  </si>
  <si>
    <t>Prov: http://www.madereragascon.com.ar/maderera/la_empresa/contactenos.htm</t>
  </si>
  <si>
    <t>400 $/placa y 65 $/lston y 15$/cuerda</t>
  </si>
  <si>
    <t>Mano de obra directa</t>
  </si>
  <si>
    <t>Ailen dice LO QUE ESTA EN AMARILLO FALTA</t>
  </si>
  <si>
    <t>en Administración</t>
  </si>
  <si>
    <t>Tamaño de la planta en metros cuadrados</t>
  </si>
  <si>
    <t>m2</t>
  </si>
  <si>
    <t>Periodo de Instalación</t>
  </si>
  <si>
    <t>en meses</t>
  </si>
  <si>
    <t>Período de Puesta en Marcha</t>
  </si>
  <si>
    <t>Tasa de Cambio</t>
  </si>
  <si>
    <t>$ por cada</t>
  </si>
  <si>
    <t>U$S</t>
  </si>
  <si>
    <t>Año 0</t>
  </si>
  <si>
    <t>tomo gasto interno/externo como importado nacional, si es otra cosa avisen</t>
  </si>
  <si>
    <t>Tasa de Credito Bancario</t>
  </si>
  <si>
    <t>Gerente/Supervisor: $25000; Operario: $12000</t>
  </si>
  <si>
    <t>Mano de obra directa del año 1 se estima segun tecnologo del 95% año 2</t>
  </si>
  <si>
    <t>a) Bienes de Uso</t>
  </si>
  <si>
    <t>Gastos de fabricación:</t>
  </si>
  <si>
    <t>anual</t>
  </si>
  <si>
    <t>Año 6</t>
  </si>
  <si>
    <t>Rubro a financiar</t>
  </si>
  <si>
    <t>Terreno y sus mejoras</t>
  </si>
  <si>
    <t>% sobre el total del Rubro</t>
  </si>
  <si>
    <t>Dias de Financiación de Proveedores</t>
  </si>
  <si>
    <t>http://terreno.mercadolibre.com.ar/MLA-634724639-venta-terreno-distrito-tecnologico-parquepatricios-_JM</t>
  </si>
  <si>
    <t>Años 4/5</t>
  </si>
  <si>
    <t>Edificio y obras complementarias</t>
  </si>
  <si>
    <t xml:space="preserve">Alicuota anual: </t>
  </si>
  <si>
    <t>http://www.region.com.ar/productos/semanario/archivo/costos.htm</t>
  </si>
  <si>
    <t>Instalaciones industriales</t>
  </si>
  <si>
    <t>Máquinas operativas</t>
  </si>
  <si>
    <t xml:space="preserve">    importadas, valor FOB, con repuestos</t>
  </si>
  <si>
    <t xml:space="preserve">    nacionales, precio en fábrica del proveedor</t>
  </si>
  <si>
    <t>% sobre Compras</t>
  </si>
  <si>
    <t>Tasa de financiación</t>
  </si>
  <si>
    <t>150000 de cnc + 200000 laser + 150000 DE LAS DEMAS + 20000 DE REPUESTOS</t>
  </si>
  <si>
    <t>Gastos conexos a la importación de maquinaria</t>
  </si>
  <si>
    <t>Imputacion especifica:</t>
  </si>
  <si>
    <t>Amortizaciones</t>
  </si>
  <si>
    <t>Transporte y montaje de la maquinaria</t>
  </si>
  <si>
    <t>teniendo en cuenta que el area de produccion le corresponde el 90% de todos los rubros a excepcion de "repuestos importados" que le corresponden un 100%</t>
  </si>
  <si>
    <t>Rodados y equipos auxiliares</t>
  </si>
  <si>
    <t>Años 1/3</t>
  </si>
  <si>
    <t>Una fiat ducato o similar}</t>
  </si>
  <si>
    <t>Muebles y útiles</t>
  </si>
  <si>
    <t>Infraestructura en predio propio</t>
  </si>
  <si>
    <t>Año 2 y 3:</t>
  </si>
  <si>
    <t>Cabina de pintura</t>
  </si>
  <si>
    <t>Personal indirecto</t>
  </si>
  <si>
    <t>Total Bienes de uso</t>
  </si>
  <si>
    <t>Debido al ritmo de contratacion y de aucuerdo a las estimaciones del tecnologo el gasto en el año 1 se ha considerado en el 90% del año 2</t>
  </si>
  <si>
    <t>Alicuota de repuestos:</t>
  </si>
  <si>
    <t>b) Gastos asimilables o cargos diferidos</t>
  </si>
  <si>
    <t>Investigaciones y estudios</t>
  </si>
  <si>
    <t>Constitución y organización de la empresa</t>
  </si>
  <si>
    <t>Año 1:</t>
  </si>
  <si>
    <t>Materiales</t>
  </si>
  <si>
    <t>Total alicuota anual:</t>
  </si>
  <si>
    <t>VER CUANTO PONER</t>
  </si>
  <si>
    <t>Energía eléctrica</t>
  </si>
  <si>
    <t>Gastos de Admin. e Ing. En en período de Instalación</t>
  </si>
  <si>
    <t>UN INGENIERO 2 MESES</t>
  </si>
  <si>
    <t>Zeppelin</t>
  </si>
  <si>
    <t>Gastos de puesta en marcha (AL AÑO 1)</t>
  </si>
  <si>
    <t>Patentes y Licencias</t>
  </si>
  <si>
    <t>Infraestructura en predio ajeno</t>
  </si>
  <si>
    <t>Estimamos una potencia instalda de 1500 KW</t>
  </si>
  <si>
    <t>Combustibles</t>
  </si>
  <si>
    <t>VER</t>
  </si>
  <si>
    <t>Total gastos asimilables o cargos diferidos</t>
  </si>
  <si>
    <t>Gas: 10000 m3 a 0,176858 $/m3 y nafta super: 18 $/l --&gt; 800$ por mes. el consmo del año 1: 95% año 2</t>
  </si>
  <si>
    <t>Amortizacion imputada en la mercaderia en curso y semielborada:</t>
  </si>
  <si>
    <t>c) Total Inversiones iniciales Activo Fijo, sin IVA</t>
  </si>
  <si>
    <t xml:space="preserve">d) IVA </t>
  </si>
  <si>
    <r>
      <t>Consideramos 2% aprox sobre los gastos anuales de produccion acumulados durante la vida util del pryecto (</t>
    </r>
    <r>
      <rPr>
        <b/>
      </rPr>
      <t>falta sumar consumo de enrgia)</t>
    </r>
  </si>
  <si>
    <t>e) TOTAL INVERSIONES INICIALES ACTIVO FIJO</t>
  </si>
  <si>
    <t>Gastos Total de Producción</t>
  </si>
  <si>
    <t>Rubro</t>
  </si>
  <si>
    <t>Año 4 y 5:</t>
  </si>
  <si>
    <t>% Gasto Constante</t>
  </si>
  <si>
    <t>Inversión</t>
  </si>
  <si>
    <t>Coeficiente</t>
  </si>
  <si>
    <t>Alícuotas de amortización</t>
  </si>
  <si>
    <t>Valor residual</t>
  </si>
  <si>
    <t>% Gasto Variable</t>
  </si>
  <si>
    <t>original</t>
  </si>
  <si>
    <t>Bienes de Uso</t>
  </si>
  <si>
    <t>Años 1/5</t>
  </si>
  <si>
    <t>Mantenimiento:</t>
  </si>
  <si>
    <t>INVERSIONES EN ACTIVO DE TRABAJO</t>
  </si>
  <si>
    <t>1. Activo de Trabajo: (valor contable)</t>
  </si>
  <si>
    <t xml:space="preserve">   a) Disponibilidad Mínima en Caja y Bancos:</t>
  </si>
  <si>
    <t xml:space="preserve">   b) Crédito por Ventas</t>
  </si>
  <si>
    <t xml:space="preserve">   c) Bienes de cambio:</t>
  </si>
  <si>
    <t xml:space="preserve">    Stock de materias prima:</t>
  </si>
  <si>
    <t xml:space="preserve">   Stock de materiales:</t>
  </si>
  <si>
    <t xml:space="preserve">   Mercadería en curso y semielaborada</t>
  </si>
  <si>
    <t xml:space="preserve">   Stock de elaborados</t>
  </si>
  <si>
    <t xml:space="preserve">   d) Total Activo de Trabajo, sin IVA:</t>
  </si>
  <si>
    <t>2. Menos:</t>
  </si>
  <si>
    <t xml:space="preserve">    Amortizaciones en Mercadería en proceso</t>
  </si>
  <si>
    <t xml:space="preserve">    Amortizaciones en Stock de elaborado</t>
  </si>
  <si>
    <t xml:space="preserve">    Utilidades en Crédito por ventas</t>
  </si>
  <si>
    <t>Gastos a activar</t>
  </si>
  <si>
    <t xml:space="preserve">    Amortizaciones en Crédito por ventas</t>
  </si>
  <si>
    <t>3. Inversiones en Activo de Trabajo, sin IVA</t>
  </si>
  <si>
    <t>4. Incrementos de Activo de Trabajo</t>
  </si>
  <si>
    <t xml:space="preserve">    Incrementos de Inversión en Activo de Trabajo</t>
  </si>
  <si>
    <t>5. Incrementos IVA sobre Inversiones</t>
  </si>
  <si>
    <t xml:space="preserve">    Crédito por Ventas                             </t>
  </si>
  <si>
    <t xml:space="preserve">    Bienes de cambio:</t>
  </si>
  <si>
    <t xml:space="preserve">               Stock de materia prima</t>
  </si>
  <si>
    <t>Repuestos:</t>
  </si>
  <si>
    <t xml:space="preserve">               Stock de materiales</t>
  </si>
  <si>
    <t xml:space="preserve">               Mercadería en proceso</t>
  </si>
  <si>
    <t xml:space="preserve">               Stock de elaborados</t>
  </si>
  <si>
    <t xml:space="preserve">   Total incrementos IVA sobre inversiones</t>
  </si>
  <si>
    <t>P. AMORTIZACION</t>
  </si>
  <si>
    <t>6. Incrementos Inversiones en Activo de Trabajo</t>
  </si>
  <si>
    <t>Mercadería en Curso y Semielaborada</t>
  </si>
  <si>
    <t>Puesta en marcha</t>
  </si>
  <si>
    <t>Produccion</t>
  </si>
  <si>
    <t xml:space="preserve">Produccion: </t>
  </si>
  <si>
    <t>aÑOS</t>
  </si>
  <si>
    <t>Personal</t>
  </si>
  <si>
    <t>Personal:</t>
  </si>
  <si>
    <t>Repuestos</t>
  </si>
  <si>
    <t>Tota:</t>
  </si>
  <si>
    <t>Subtotal</t>
  </si>
  <si>
    <t>-</t>
  </si>
  <si>
    <t xml:space="preserve">Cargos Diferidos </t>
  </si>
  <si>
    <t>.</t>
  </si>
  <si>
    <t xml:space="preserve">  Energía eléctrica</t>
  </si>
  <si>
    <t>Totales, s/IVA</t>
  </si>
  <si>
    <t xml:space="preserve">  Combustibles</t>
  </si>
  <si>
    <t xml:space="preserve">  Tasas e impuestos</t>
  </si>
  <si>
    <t>Tomamos los mismos datos que el ejercicio 22 de la guia</t>
  </si>
  <si>
    <t>Año 2/5</t>
  </si>
  <si>
    <t>Tasa municipal</t>
  </si>
  <si>
    <t xml:space="preserve">  Imprevistos</t>
  </si>
  <si>
    <t>Inmobiliario</t>
  </si>
  <si>
    <t>Total gastos a activar</t>
  </si>
  <si>
    <t>Vehiculos</t>
  </si>
  <si>
    <t>Total</t>
  </si>
  <si>
    <t>Costo en el Area de Producción</t>
  </si>
  <si>
    <t>gasto espercifico</t>
  </si>
  <si>
    <t>Gasto de la mercaderia en proce</t>
  </si>
  <si>
    <t>Gasto especifico</t>
  </si>
  <si>
    <t>Menos:</t>
  </si>
  <si>
    <t>Gasto en mercaderia en proceso</t>
  </si>
  <si>
    <t>Gasto de puesta en marcha</t>
  </si>
  <si>
    <t>Variación Mercadería en proceso</t>
  </si>
  <si>
    <t>Costo de producción anual</t>
  </si>
  <si>
    <t>Costo de prod. Unitario Promedio</t>
  </si>
  <si>
    <t>Gastos en el Area de Administración</t>
  </si>
  <si>
    <t>El gasto del año 1 es el 90% del año 2</t>
  </si>
  <si>
    <t>Amortizaciones de A. Fijo</t>
  </si>
  <si>
    <t>corresponde el 5% de la alicuota</t>
  </si>
  <si>
    <t>Tomamos los mismos datos que el ejercicio 27 de la guia</t>
  </si>
  <si>
    <t>Materia G.Adm</t>
  </si>
  <si>
    <t>Mantenimiento</t>
  </si>
  <si>
    <t>Electricidad</t>
  </si>
  <si>
    <t>Cosumo total de energia elextrica es de $15000</t>
  </si>
  <si>
    <t>Papeleria</t>
  </si>
  <si>
    <t>Combustible</t>
  </si>
  <si>
    <t>Nafta $800 por mes y 5000m3 de gas. el consumo del año 1 es del 95% año 2</t>
  </si>
  <si>
    <t>limpieza</t>
  </si>
  <si>
    <t>Varios</t>
  </si>
  <si>
    <t>honorarios:$20000; gastos de repre: $3500*12; viajes: $6000; oficina: $25000</t>
  </si>
  <si>
    <t>Tasas e impuestos</t>
  </si>
  <si>
    <t>Tomamos los mismos datos que el ejercicio 32 de la guia</t>
  </si>
  <si>
    <t>2% sobre los gastos otales acumilados en el area</t>
  </si>
  <si>
    <t>Tasa municipañ</t>
  </si>
  <si>
    <t>Impuesto inmobiliario</t>
  </si>
  <si>
    <t>Costo total de Admistración</t>
  </si>
  <si>
    <t>Automotor</t>
  </si>
  <si>
    <t>a los sellos</t>
  </si>
  <si>
    <t>a los debitos y creditos bancarios</t>
  </si>
  <si>
    <t>total</t>
  </si>
  <si>
    <t>Gastos en el Area de Comercialización</t>
  </si>
  <si>
    <t>Año 1: 90% año 2</t>
  </si>
  <si>
    <t>Datos ejercicio 38 guia</t>
  </si>
  <si>
    <t>Energía Eléctrica</t>
  </si>
  <si>
    <t>Limpieza</t>
  </si>
  <si>
    <t>Empaque</t>
  </si>
  <si>
    <t>Datos ejercicio 40</t>
  </si>
  <si>
    <t>2% del gasto acumulado</t>
  </si>
  <si>
    <t>Años 2/5</t>
  </si>
  <si>
    <t>Gasto anual</t>
  </si>
  <si>
    <t>Costo total de Comercialización</t>
  </si>
  <si>
    <t>IIBB</t>
  </si>
  <si>
    <t>COSTO TOTAL Y RESULTADO A NIVEL ECONOMICO</t>
  </si>
  <si>
    <t>Venta anual, en Unidades Producto 1</t>
  </si>
  <si>
    <t>3009</t>
  </si>
  <si>
    <t>4500</t>
  </si>
  <si>
    <t>Precio de venta Producto 1</t>
  </si>
  <si>
    <t>VENTAS ANUALES</t>
  </si>
  <si>
    <t xml:space="preserve">Consumo de materia prima </t>
  </si>
  <si>
    <t>Gastos de fabricación</t>
  </si>
  <si>
    <t>Gastos de Producción</t>
  </si>
  <si>
    <t>COSTO DE PRODUCCION ANUAL</t>
  </si>
  <si>
    <t>Producción anual en Unidades</t>
  </si>
  <si>
    <t>3363</t>
  </si>
  <si>
    <t>Costo de producción unitario Promedio</t>
  </si>
  <si>
    <t>Variación de Stock de Elaborado</t>
  </si>
  <si>
    <t>COSTO DE PRODUCCION DE LO VENDIDO</t>
  </si>
  <si>
    <t>GASTO DE ADMINISTRACION</t>
  </si>
  <si>
    <t xml:space="preserve">GASTO DE COMERCIALIZACION </t>
  </si>
  <si>
    <t>COSTO ANUAL DE LO VENDIDO</t>
  </si>
  <si>
    <t>Costo total unitario promedio</t>
  </si>
  <si>
    <t>UTILIDAD ECONOMICA (a/H. D. e Impuesto)</t>
  </si>
  <si>
    <t xml:space="preserve">Impuesto a la ganancia </t>
  </si>
  <si>
    <t>UTILIDAD ECONOMICA (d/H.D. e Impuesto)</t>
  </si>
  <si>
    <t>% sobre VENTAS</t>
  </si>
  <si>
    <t>FONDOS AUTOGENERADOS</t>
  </si>
  <si>
    <t>Utilidad Económica (d/H.D. e Impuesto)</t>
  </si>
  <si>
    <t>Amortización anual</t>
  </si>
  <si>
    <t>Costo Constante Sector de Producción</t>
  </si>
  <si>
    <t>Costo Variable Sector de Producción</t>
  </si>
  <si>
    <t>Costo Constante Sector de Administración</t>
  </si>
  <si>
    <t>Costo Variable Sector de Administración</t>
  </si>
  <si>
    <t>Costo Constante Sector de Comercialización</t>
  </si>
  <si>
    <t>Costo Variable Sector de Comercialización</t>
  </si>
  <si>
    <t>UTILIDAD MARGINAL</t>
  </si>
  <si>
    <t>PUNTO DE EQUILIBRIO</t>
  </si>
  <si>
    <t>HACER DIAGRAMA DE PUNTO DE EQUILIBRIO PARA EL AÑO 1 Y PARA EL AÑO 5</t>
  </si>
  <si>
    <t>AÑO 1</t>
  </si>
  <si>
    <t>unid</t>
  </si>
  <si>
    <t>cv</t>
  </si>
  <si>
    <t>cf</t>
  </si>
  <si>
    <t>ct</t>
  </si>
  <si>
    <t>IxV</t>
  </si>
  <si>
    <t>AÑO 2/5</t>
  </si>
  <si>
    <t>Calendario de Inversiones</t>
  </si>
  <si>
    <t>Año 0: Preinversion</t>
  </si>
  <si>
    <t>Año 0: Instalación</t>
  </si>
  <si>
    <t>Totales</t>
  </si>
  <si>
    <t>Inversiones en Activo Fijo</t>
  </si>
  <si>
    <t xml:space="preserve">    Bienes de uso</t>
  </si>
  <si>
    <t xml:space="preserve">    Asimilables</t>
  </si>
  <si>
    <t xml:space="preserve">    Subtotal Activo Fijo</t>
  </si>
  <si>
    <t>Inversiones en A. de Trabajo</t>
  </si>
  <si>
    <t xml:space="preserve">   Disp. mínimas C y B</t>
  </si>
  <si>
    <t xml:space="preserve">   Crédito por ventas</t>
  </si>
  <si>
    <t xml:space="preserve">   Bienes de cambio:</t>
  </si>
  <si>
    <t xml:space="preserve">     Stock de Materia Prima</t>
  </si>
  <si>
    <t xml:space="preserve">     Stock de Materiales</t>
  </si>
  <si>
    <t xml:space="preserve">     Mercadería en proceso</t>
  </si>
  <si>
    <t xml:space="preserve">     Stock de Elaborados</t>
  </si>
  <si>
    <t xml:space="preserve">    Subtotal Activo Trabajo</t>
  </si>
  <si>
    <t>IVA:</t>
  </si>
  <si>
    <t xml:space="preserve">    por inversión A. Fijo</t>
  </si>
  <si>
    <t xml:space="preserve">    por inversión A. T.</t>
  </si>
  <si>
    <t xml:space="preserve">   Subtotal IVA Inversión</t>
  </si>
  <si>
    <t>Inversiones Totales</t>
  </si>
  <si>
    <t>IVA plan de Explotación, Cancelación del Credito Fiscal y pago al Fisco por IVA</t>
  </si>
  <si>
    <t>TOTALES PARA LAS TRES AREAS</t>
  </si>
  <si>
    <t>Rubros que abonan IVA</t>
  </si>
  <si>
    <t>Materia Prima</t>
  </si>
  <si>
    <t>Seguros</t>
  </si>
  <si>
    <t>Menos: Puesta en marcha</t>
  </si>
  <si>
    <t xml:space="preserve">   (s/mano de obra directa)</t>
  </si>
  <si>
    <t>Merc. en proceso</t>
  </si>
  <si>
    <t>Stock elaborados</t>
  </si>
  <si>
    <t>Total Area Producción</t>
  </si>
  <si>
    <t>Total Area Administración</t>
  </si>
  <si>
    <t>Total Area Comercialización</t>
  </si>
  <si>
    <t>IVA total abonado por insumos</t>
  </si>
  <si>
    <t>IVA total cobrado por ventas</t>
  </si>
  <si>
    <t>a) IVA diferencia</t>
  </si>
  <si>
    <t>b) Crédito Fiscal Anterior</t>
  </si>
  <si>
    <t>c) Crédito Fiscal del Año</t>
  </si>
  <si>
    <t>d) Crédito Fiscal Final Año</t>
  </si>
  <si>
    <t>e) Recuepro de Credito Fiscal</t>
  </si>
  <si>
    <t xml:space="preserve">    Pago al Fisco por IVA</t>
  </si>
  <si>
    <t>Formulación del Proyecto a Nivel Económico</t>
  </si>
  <si>
    <t>Año</t>
  </si>
  <si>
    <t>Inversión en Activo Fijo</t>
  </si>
  <si>
    <t>Inversión en Activo de Trabajo</t>
  </si>
  <si>
    <t>Credito Fiscal</t>
  </si>
  <si>
    <t>Impuesto a las Ganancias</t>
  </si>
  <si>
    <t>Total Egresos</t>
  </si>
  <si>
    <t>Utilidad Economica Antes  HD e IG</t>
  </si>
  <si>
    <t>Cobro Credito Fiscal</t>
  </si>
  <si>
    <t>Total Ingresos</t>
  </si>
  <si>
    <t>Saldo Anual</t>
  </si>
  <si>
    <t>Saldo Acumulado</t>
  </si>
  <si>
    <t>Suma.</t>
  </si>
  <si>
    <t>Beneficio Neto</t>
  </si>
  <si>
    <t>Periodo de Recupero de la Inversión</t>
  </si>
  <si>
    <t>en años</t>
  </si>
  <si>
    <t>TIR</t>
  </si>
  <si>
    <t>PRIMERA ESTRUCTURA FINANCIERA</t>
  </si>
  <si>
    <t>Total Inversión</t>
  </si>
  <si>
    <t>CréditoS</t>
  </si>
  <si>
    <t>Capital Propio</t>
  </si>
  <si>
    <t>monto</t>
  </si>
  <si>
    <t>%</t>
  </si>
  <si>
    <t xml:space="preserve">Activo Fijo </t>
  </si>
  <si>
    <t xml:space="preserve">Activo de Trabajo </t>
  </si>
  <si>
    <t xml:space="preserve">IVA </t>
  </si>
  <si>
    <t>CUADRO RESUMEN DE CREDITOS</t>
  </si>
  <si>
    <t>día/mes/año</t>
  </si>
  <si>
    <t>deuda</t>
  </si>
  <si>
    <t>amortización</t>
  </si>
  <si>
    <t>interés</t>
  </si>
  <si>
    <t xml:space="preserve">deuda </t>
  </si>
  <si>
    <t>gasto</t>
  </si>
  <si>
    <t>semestral</t>
  </si>
  <si>
    <t>prom. anual</t>
  </si>
  <si>
    <t>kd</t>
  </si>
  <si>
    <t>bancario</t>
  </si>
  <si>
    <t>gastos preoperativos:</t>
  </si>
  <si>
    <t>Totales:</t>
  </si>
  <si>
    <t>CUADRO DE RESULTADOS PROFORMA</t>
  </si>
  <si>
    <t>Ventas netas</t>
  </si>
  <si>
    <t>(-) Costo de producción de lo Vendido</t>
  </si>
  <si>
    <t>Resultado operativo</t>
  </si>
  <si>
    <t>Gastos de Administración</t>
  </si>
  <si>
    <t>Gastos de Comercialización</t>
  </si>
  <si>
    <t>Gastos Financieros</t>
  </si>
  <si>
    <t>RESULTADO (a/Hon. e Imp.)</t>
  </si>
  <si>
    <t>Menos: Honorarios al Direct.</t>
  </si>
  <si>
    <t>Menos: Impuesto a la Ganancia</t>
  </si>
  <si>
    <t>RESULTADO (d/Hon. e Imp.)</t>
  </si>
  <si>
    <t>SEGUNDA ESTRUCTURA FINANCIERA</t>
  </si>
  <si>
    <t>a) Inversión y calendario de activo fijo: incrementos</t>
  </si>
  <si>
    <t>Bienes de uso</t>
  </si>
  <si>
    <t>Cargos diferidos:</t>
  </si>
  <si>
    <t>Totales de activo fijo, sin IVA</t>
  </si>
  <si>
    <t xml:space="preserve">IVA   </t>
  </si>
  <si>
    <t>Totales de activo fijo, con IVA</t>
  </si>
  <si>
    <t>b) Inversión y calendario de activo de trabajo: incrementos</t>
  </si>
  <si>
    <t>Disponibilidad mínima</t>
  </si>
  <si>
    <t>Crédito por ventas (valor contable)</t>
  </si>
  <si>
    <t>Bienes de cambio (valor contable)</t>
  </si>
  <si>
    <t>Totales activo de trabajo, sin IVA</t>
  </si>
  <si>
    <t>Amortizaciones en inventarios</t>
  </si>
  <si>
    <t>Amortizaciones en crédito</t>
  </si>
  <si>
    <t>Utilidades en crédito</t>
  </si>
  <si>
    <t>Inversión activo de trabajo, s/IVA</t>
  </si>
  <si>
    <t>IVA</t>
  </si>
  <si>
    <t>Totales activo de trabajo (v. contable), c/IVA</t>
  </si>
  <si>
    <t>Inversión activo de trabajo, con IVA</t>
  </si>
  <si>
    <t>c) Inversión y calendario totales: incrementos</t>
  </si>
  <si>
    <t>Activo fijo, con IVA</t>
  </si>
  <si>
    <t>Inversión activo de trabajo, c/IVA</t>
  </si>
  <si>
    <t>Inversiones Totales, con IVA</t>
  </si>
  <si>
    <t>d) Financiación global (segunda y definitiva):</t>
  </si>
  <si>
    <t>Porcentaje</t>
  </si>
  <si>
    <t>Crédito renovable</t>
  </si>
  <si>
    <t>Crédito no renovable</t>
  </si>
  <si>
    <t>Capital propio</t>
  </si>
  <si>
    <t>PUNTO DE EQUILIBRIO ECONOMICO FINANCIERO</t>
  </si>
  <si>
    <t>Gasto Financiero</t>
  </si>
  <si>
    <t>HACER DIAGRAMA DE PUNTO DE EQUILIBRIO PARA EL AÑO 1 Y PARA EL AÑO 10</t>
  </si>
  <si>
    <t>a) IVA pagado en el Costo Total de lo Vendido:</t>
  </si>
  <si>
    <t xml:space="preserve">   Total pagado en el Area de Producción</t>
  </si>
  <si>
    <t xml:space="preserve">  Total pagado en el Area Administrativa</t>
  </si>
  <si>
    <t xml:space="preserve">  Total pagado en el Area Comercial </t>
  </si>
  <si>
    <t xml:space="preserve">  Total pagado por Financiación</t>
  </si>
  <si>
    <t xml:space="preserve">  IVA abonado en Costo Total de lo Vendido:</t>
  </si>
  <si>
    <t>b) IVA diferencia</t>
  </si>
  <si>
    <t>c) Crédito Fiscal Anterior (incrementado)</t>
  </si>
  <si>
    <t>d) Crédito Fiscal del Año (incrementado)</t>
  </si>
  <si>
    <t>e) Crédito Fiscal Final Año</t>
  </si>
  <si>
    <t>f) Recupero Credito Fiscal</t>
  </si>
  <si>
    <t>CUADRO DE FUENTES Y USOS</t>
  </si>
  <si>
    <t>FUENTES: Totales</t>
  </si>
  <si>
    <t>Saldo ejercicio anterior</t>
  </si>
  <si>
    <t>Aporte de capital propio</t>
  </si>
  <si>
    <t xml:space="preserve">Créditos renovables </t>
  </si>
  <si>
    <t xml:space="preserve">Créditos no renovables </t>
  </si>
  <si>
    <t xml:space="preserve">Ventas del ejercicio </t>
  </si>
  <si>
    <t>Recupero Crédito Fiscal</t>
  </si>
  <si>
    <t>USOS: Totales</t>
  </si>
  <si>
    <t>Activo Fijo</t>
  </si>
  <si>
    <t>Costo de lo Vendido</t>
  </si>
  <si>
    <t>Impuesto a la Ganancia</t>
  </si>
  <si>
    <t>Cancelación de deudas</t>
  </si>
  <si>
    <t xml:space="preserve">Honorarios del Directorio </t>
  </si>
  <si>
    <t>Dividendos en efectivo</t>
  </si>
  <si>
    <t xml:space="preserve">IVA inversión </t>
  </si>
  <si>
    <t>Otros egresos</t>
  </si>
  <si>
    <t>FUENTES - USOS</t>
  </si>
  <si>
    <t xml:space="preserve">Más: Amortizaciones del ejercicio </t>
  </si>
  <si>
    <t>Saldo al ejercicio siguiente (acumulado)</t>
  </si>
  <si>
    <t>Saldo Propio del Ejercicio</t>
  </si>
  <si>
    <t>BALANCES PROFORMAS</t>
  </si>
  <si>
    <t>ACTIVO CORRIENTE: Total</t>
  </si>
  <si>
    <t xml:space="preserve">Caja y Bancos: </t>
  </si>
  <si>
    <t xml:space="preserve">   - mínimo </t>
  </si>
  <si>
    <t xml:space="preserve">   - saldo acumulado de Fuentes y Usos </t>
  </si>
  <si>
    <t>Crédito por ventas</t>
  </si>
  <si>
    <t>Bienes de cambio</t>
  </si>
  <si>
    <t>Crédito Fiscal</t>
  </si>
  <si>
    <t>ACTIVO NO CORRIENTE: Total</t>
  </si>
  <si>
    <t>Cargos Diferidos:</t>
  </si>
  <si>
    <t xml:space="preserve">   - valor inicial </t>
  </si>
  <si>
    <t xml:space="preserve">     más inversiones del ejercicio </t>
  </si>
  <si>
    <t xml:space="preserve">     menos amortizaciones del ejerc.</t>
  </si>
  <si>
    <t xml:space="preserve">   - valor final del ejercicio</t>
  </si>
  <si>
    <t xml:space="preserve">     más inversiones del ejercicio</t>
  </si>
  <si>
    <t xml:space="preserve">     menos amortizaciones del ejerc</t>
  </si>
  <si>
    <t xml:space="preserve">Crédito Fiscal </t>
  </si>
  <si>
    <t>ACTIVO TOTAL:</t>
  </si>
  <si>
    <t>PASIVO CORRIENTE: Total</t>
  </si>
  <si>
    <t>Deudas comerciales</t>
  </si>
  <si>
    <t>Deudas bancarias</t>
  </si>
  <si>
    <t>PASIVO NO CORRIENTE: Total</t>
  </si>
  <si>
    <t>PASIVO TOTAL:</t>
  </si>
  <si>
    <t>PATRIMONIO NETO:</t>
  </si>
  <si>
    <t>Capital societario</t>
  </si>
  <si>
    <t>Utilidad del ejercicio</t>
  </si>
  <si>
    <t>Utilidad acumulada</t>
  </si>
  <si>
    <t>PASIVO + PATRIMONIO NETO</t>
  </si>
  <si>
    <t>Formulación del Proyecto a Nivel Financiero</t>
  </si>
  <si>
    <t>Activo de Trabajo</t>
  </si>
  <si>
    <t>Utilidad  Antes  HD e IG</t>
  </si>
  <si>
    <t>Intereses Pagados</t>
  </si>
  <si>
    <t>TIR modificada</t>
  </si>
  <si>
    <t>Formulación para el Inversor</t>
  </si>
  <si>
    <t>Aporte de Capital</t>
  </si>
  <si>
    <t>Saldo propio de Fuentes y Usos</t>
  </si>
  <si>
    <t>para el inversor</t>
  </si>
  <si>
    <t>en años para el inversor</t>
  </si>
  <si>
    <t>TOR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</si>
</sst>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&quot;$&quot;#,##0.00"/>
    <numFmt numFmtId="165" formatCode="&quot;$&quot;#,##0"/>
    <numFmt numFmtId="166" formatCode="_(\$* #,##0.00_);_(\$* \(#,##0.00\);_(\$* \-??_);_(@_)"/>
    <numFmt numFmtId="167" formatCode="0.0"/>
    <numFmt numFmtId="168" formatCode="0.000"/>
    <numFmt numFmtId="169" formatCode="D&quot; de &quot;MMM&quot; de &quot;YY"/>
    <numFmt numFmtId="170" formatCode="_(* #,##0.00_);_(* \(#,##0.00\);_(* \-??_);_(@_)"/>
  </numFmts>
  <fonts count="11">
    <font>
      <sz val="10.0"/>
      <color rgb="FF000000"/>
      <name val="Arial"/>
    </font>
    <font>
      <sz val="10.0"/>
      <name val="Arial"/>
    </font>
    <font>
      <b/>
      <i/>
      <sz val="10.0"/>
      <name val="Arial"/>
    </font>
    <font>
      <b/>
      <sz val="10.0"/>
      <name val="Arial"/>
    </font>
    <font>
      <sz val="10.0"/>
      <color rgb="FFFFFFFF"/>
      <name val="Arial"/>
    </font>
    <font>
      <b/>
      <sz val="12.0"/>
      <name val="Arial"/>
    </font>
    <font/>
    <font>
      <u/>
      <sz val="10.0"/>
      <color rgb="FF0000FF"/>
      <name val="Arial"/>
    </font>
    <font>
      <color rgb="FF000000"/>
      <name val="Arial"/>
    </font>
    <font>
      <sz val="11.0"/>
      <color rgb="FF000000"/>
      <name val="Sans-serif"/>
    </font>
    <font>
      <sz val="12.0"/>
      <name val="Noto Sans Symbols"/>
    </font>
  </fonts>
  <fills count="8">
    <fill>
      <patternFill patternType="none"/>
    </fill>
    <fill>
      <patternFill patternType="lightGray"/>
    </fill>
    <fill>
      <patternFill patternType="solid">
        <fgColor rgb="FFCCFFCC"/>
        <bgColor rgb="FFCCFFCC"/>
      </patternFill>
    </fill>
    <fill>
      <patternFill patternType="solid">
        <fgColor rgb="FFC0C0C0"/>
        <bgColor rgb="FFC0C0C0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  <fill>
      <patternFill patternType="solid">
        <fgColor rgb="FF00FF00"/>
        <bgColor rgb="FF00FF00"/>
      </patternFill>
    </fill>
  </fills>
  <borders count="56">
    <border>
      <left/>
      <right/>
      <top/>
      <bottom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</border>
    <border>
      <left style="double">
        <color rgb="FF3C3C3C"/>
      </left>
      <right/>
      <top style="double">
        <color rgb="FF3C3C3C"/>
      </top>
      <bottom style="hair">
        <color rgb="FF3C3C3C"/>
      </bottom>
    </border>
    <border>
      <left/>
      <right/>
      <top style="double">
        <color rgb="FF3C3C3C"/>
      </top>
      <bottom style="hair">
        <color rgb="FF3C3C3C"/>
      </bottom>
    </border>
    <border>
      <left style="thin">
        <color rgb="FF3C3C3C"/>
      </left>
      <right/>
      <top style="thin">
        <color rgb="FF3C3C3C"/>
      </top>
      <bottom style="thin">
        <color rgb="FF3C3C3C"/>
      </bottom>
    </border>
    <border>
      <left/>
      <right/>
      <top style="thin">
        <color rgb="FF3C3C3C"/>
      </top>
      <bottom style="thin">
        <color rgb="FF3C3C3C"/>
      </bottom>
    </border>
    <border>
      <left/>
      <right style="thin">
        <color rgb="FF3C3C3C"/>
      </right>
      <top style="thin">
        <color rgb="FF3C3C3C"/>
      </top>
      <bottom style="thin">
        <color rgb="FF3C3C3C"/>
      </bottom>
    </border>
    <border>
      <left/>
      <right style="double">
        <color rgb="FF3C3C3C"/>
      </right>
      <top style="double">
        <color rgb="FF3C3C3C"/>
      </top>
      <bottom style="hair">
        <color rgb="FF3C3C3C"/>
      </bottom>
    </border>
    <border>
      <left style="double">
        <color rgb="FF3C3C3C"/>
      </left>
      <right style="thin">
        <color rgb="FF3C3C3C"/>
      </right>
      <top style="double">
        <color rgb="FF3C3C3C"/>
      </top>
      <bottom style="hair">
        <color rgb="FF3C3C3C"/>
      </bottom>
    </border>
    <border>
      <left style="double">
        <color rgb="FF3C3C3C"/>
      </left>
      <right style="thin">
        <color rgb="FF3C3C3C"/>
      </right>
      <top style="hair">
        <color rgb="FF3C3C3C"/>
      </top>
      <bottom style="hair">
        <color rgb="FF3C3C3C"/>
      </bottom>
    </border>
    <border>
      <left style="thin">
        <color rgb="FF3C3C3C"/>
      </left>
      <right style="thin">
        <color rgb="FF3C3C3C"/>
      </right>
      <top style="hair">
        <color rgb="FF3C3C3C"/>
      </top>
      <bottom style="hair">
        <color rgb="FF3C3C3C"/>
      </bottom>
    </border>
    <border>
      <left style="thin">
        <color rgb="FF3C3C3C"/>
      </left>
      <right style="double">
        <color rgb="FF3C3C3C"/>
      </right>
      <top style="hair">
        <color rgb="FF3C3C3C"/>
      </top>
      <bottom style="hair">
        <color rgb="FF3C3C3C"/>
      </bottom>
    </border>
    <border>
      <left style="thin">
        <color rgb="FF3C3C3C"/>
      </left>
      <right/>
      <top style="double">
        <color rgb="FF3C3C3C"/>
      </top>
      <bottom style="hair">
        <color rgb="FF3C3C3C"/>
      </bottom>
    </border>
    <border>
      <left style="thin">
        <color rgb="FF3C3C3C"/>
      </left>
      <right style="thin">
        <color rgb="FF3C3C3C"/>
      </right>
      <top style="hair">
        <color rgb="FF3C3C3C"/>
      </top>
      <bottom style="double">
        <color rgb="FF3C3C3C"/>
      </bottom>
    </border>
    <border>
      <left style="thin">
        <color rgb="FF3C3C3C"/>
      </left>
      <right style="double">
        <color rgb="FF3C3C3C"/>
      </right>
      <top style="hair">
        <color rgb="FF3C3C3C"/>
      </top>
      <bottom style="double">
        <color rgb="FF3C3C3C"/>
      </bottom>
    </border>
    <border>
      <left style="double">
        <color rgb="FF3C3C3C"/>
      </left>
      <right style="thin">
        <color rgb="FF3C3C3C"/>
      </right>
      <top/>
      <bottom style="hair">
        <color rgb="FF3C3C3C"/>
      </bottom>
    </border>
    <border>
      <left style="thin">
        <color rgb="FF3C3C3C"/>
      </left>
      <right style="thin">
        <color rgb="FF3C3C3C"/>
      </right>
      <top/>
      <bottom style="hair">
        <color rgb="FF3C3C3C"/>
      </bottom>
    </border>
    <border>
      <left/>
      <right style="thin">
        <color rgb="FF3C3C3C"/>
      </right>
      <top style="double">
        <color rgb="FF3C3C3C"/>
      </top>
      <bottom style="hair">
        <color rgb="FF3C3C3C"/>
      </bottom>
    </border>
    <border>
      <left style="double">
        <color rgb="FF3C3C3C"/>
      </left>
      <right style="thin">
        <color rgb="FF3C3C3C"/>
      </right>
      <top style="hair">
        <color rgb="FF3C3C3C"/>
      </top>
      <bottom style="double">
        <color rgb="FF3C3C3C"/>
      </bottom>
    </border>
    <border>
      <left style="thin">
        <color rgb="FF3C3C3C"/>
      </left>
      <right style="thin">
        <color rgb="FF3C3C3C"/>
      </right>
      <top style="thin">
        <color rgb="FF3C3C3C"/>
      </top>
      <bottom/>
    </border>
    <border>
      <left style="thin">
        <color rgb="FF3C3C3C"/>
      </left>
      <right style="thin">
        <color rgb="FF3C3C3C"/>
      </right>
      <top/>
      <bottom style="thin">
        <color rgb="FF3C3C3C"/>
      </bottom>
    </border>
    <border>
      <left style="double">
        <color rgb="FF3C3C3C"/>
      </left>
      <right style="thin">
        <color rgb="FF3C3C3C"/>
      </right>
      <top style="hair">
        <color rgb="FF3C3C3C"/>
      </top>
      <bottom/>
    </border>
    <border>
      <left style="thin">
        <color rgb="FF3C3C3C"/>
      </left>
      <right style="thin">
        <color rgb="FF3C3C3C"/>
      </right>
      <top style="hair">
        <color rgb="FF3C3C3C"/>
      </top>
      <bottom/>
    </border>
    <border>
      <left style="thin">
        <color rgb="FF3C3C3C"/>
      </left>
      <right style="double">
        <color rgb="FF3C3C3C"/>
      </right>
      <top style="hair">
        <color rgb="FF3C3C3C"/>
      </top>
      <bottom/>
    </border>
    <border>
      <left style="thin">
        <color rgb="FF3C3C3C"/>
      </left>
      <right style="thin">
        <color rgb="FF3C3C3C"/>
      </right>
      <top style="double">
        <color rgb="FF3C3C3C"/>
      </top>
      <bottom style="hair">
        <color rgb="FF3C3C3C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3C3C3C"/>
      </left>
      <right style="double">
        <color rgb="FF3C3C3C"/>
      </right>
      <top style="double">
        <color rgb="FF3C3C3C"/>
      </top>
      <bottom style="hair">
        <color rgb="FF3C3C3C"/>
      </bottom>
    </border>
    <border>
      <left/>
      <right/>
      <top style="hair">
        <color rgb="FF3C3C3C"/>
      </top>
      <bottom style="hair">
        <color rgb="FF3C3C3C"/>
      </bottom>
    </border>
    <border>
      <left style="thin">
        <color rgb="FF3C3C3C"/>
      </left>
      <right style="double">
        <color rgb="FF3C3C3C"/>
      </right>
      <top/>
      <bottom style="hair">
        <color rgb="FF3C3C3C"/>
      </bottom>
    </border>
    <border>
      <left/>
      <right/>
      <top style="hair">
        <color rgb="FF3C3C3C"/>
      </top>
      <bottom style="double">
        <color rgb="FF3C3C3C"/>
      </bottom>
    </border>
    <border>
      <left style="double">
        <color rgb="FF3C3C3C"/>
      </left>
      <right/>
      <top/>
      <bottom style="hair">
        <color rgb="FF3C3C3C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3C3C3C"/>
      </left>
      <right/>
      <top style="hair">
        <color rgb="FF3C3C3C"/>
      </top>
      <bottom style="hair">
        <color rgb="FF3C3C3C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3C3C3C"/>
      </left>
      <right/>
      <top style="hair">
        <color rgb="FF3C3C3C"/>
      </top>
      <bottom style="double">
        <color rgb="FF3C3C3C"/>
      </bottom>
    </border>
    <border>
      <left style="thin">
        <color rgb="FF3C3C3C"/>
      </left>
      <right/>
      <top/>
      <bottom style="hair">
        <color rgb="FF3C3C3C"/>
      </bottom>
    </border>
    <border>
      <left style="thin">
        <color rgb="FF3C3C3C"/>
      </left>
      <right/>
      <top style="hair">
        <color rgb="FF3C3C3C"/>
      </top>
      <bottom style="hair">
        <color rgb="FF3C3C3C"/>
      </bottom>
    </border>
    <border>
      <left/>
      <right style="double">
        <color rgb="FF3C3C3C"/>
      </right>
      <top style="hair">
        <color rgb="FF3C3C3C"/>
      </top>
      <bottom style="hair">
        <color rgb="FF3C3C3C"/>
      </bottom>
    </border>
    <border>
      <left style="double">
        <color rgb="FF3C3C3C"/>
      </left>
      <right style="double">
        <color rgb="FF3C3C3C"/>
      </right>
      <top style="double">
        <color rgb="FF3C3C3C"/>
      </top>
      <bottom style="hair">
        <color rgb="FF3C3C3C"/>
      </bottom>
    </border>
    <border>
      <left/>
      <right style="thin">
        <color rgb="FF3C3C3C"/>
      </right>
      <top/>
      <bottom style="hair">
        <color rgb="FF3C3C3C"/>
      </bottom>
    </border>
    <border>
      <left style="double">
        <color rgb="FF3C3C3C"/>
      </left>
      <right style="double">
        <color rgb="FF3C3C3C"/>
      </right>
      <top style="hair">
        <color rgb="FF3C3C3C"/>
      </top>
      <bottom style="hair">
        <color rgb="FF3C3C3C"/>
      </bottom>
    </border>
    <border>
      <left/>
      <right style="thin">
        <color rgb="FF3C3C3C"/>
      </right>
      <top style="hair">
        <color rgb="FF3C3C3C"/>
      </top>
      <bottom style="hair">
        <color rgb="FF3C3C3C"/>
      </bottom>
    </border>
    <border>
      <left style="double">
        <color rgb="FF3C3C3C"/>
      </left>
      <right style="double">
        <color rgb="FF3C3C3C"/>
      </right>
      <top style="hair">
        <color rgb="FF3C3C3C"/>
      </top>
      <bottom style="double">
        <color rgb="FF3C3C3C"/>
      </bottom>
    </border>
    <border>
      <left/>
      <right style="thin">
        <color rgb="FF3C3C3C"/>
      </right>
      <top style="hair">
        <color rgb="FF3C3C3C"/>
      </top>
      <bottom style="double">
        <color rgb="FF3C3C3C"/>
      </bottom>
    </border>
    <border>
      <left style="double">
        <color rgb="FF3C3C3C"/>
      </left>
      <right style="thin">
        <color rgb="FF3C3C3C"/>
      </right>
      <top style="double">
        <color rgb="FF3C3C3C"/>
      </top>
      <bottom style="thin">
        <color rgb="FF3C3C3C"/>
      </bottom>
    </border>
    <border>
      <left style="thin">
        <color rgb="FF3C3C3C"/>
      </left>
      <right style="thin">
        <color rgb="FF3C3C3C"/>
      </right>
      <top style="double">
        <color rgb="FF3C3C3C"/>
      </top>
      <bottom style="thin">
        <color rgb="FF3C3C3C"/>
      </bottom>
    </border>
    <border>
      <left style="thin">
        <color rgb="FF3C3C3C"/>
      </left>
      <right style="double">
        <color rgb="FF3C3C3C"/>
      </right>
      <top style="double">
        <color rgb="FF3C3C3C"/>
      </top>
      <bottom style="thin">
        <color rgb="FF3C3C3C"/>
      </bottom>
    </border>
    <border>
      <left style="double">
        <color rgb="FF3C3C3C"/>
      </left>
      <right style="thin">
        <color rgb="FF3C3C3C"/>
      </right>
      <top/>
      <bottom/>
    </border>
    <border>
      <left style="thin">
        <color rgb="FF3C3C3C"/>
      </left>
      <right style="thin">
        <color rgb="FF3C3C3C"/>
      </right>
      <top/>
      <bottom/>
    </border>
    <border>
      <left style="thin">
        <color rgb="FF3C3C3C"/>
      </left>
      <right style="double">
        <color rgb="FF3C3C3C"/>
      </right>
      <top/>
      <bottom/>
    </border>
    <border>
      <left style="double">
        <color rgb="FF3C3C3C"/>
      </left>
      <right style="thin">
        <color rgb="FF3C3C3C"/>
      </right>
      <top/>
      <bottom style="double">
        <color rgb="FF3C3C3C"/>
      </bottom>
    </border>
    <border>
      <left style="thin">
        <color rgb="FF3C3C3C"/>
      </left>
      <right style="thin">
        <color rgb="FF3C3C3C"/>
      </right>
      <top/>
      <bottom style="double">
        <color rgb="FF3C3C3C"/>
      </bottom>
    </border>
    <border>
      <left style="thin">
        <color rgb="FF3C3C3C"/>
      </left>
      <right style="double">
        <color rgb="FF3C3C3C"/>
      </right>
      <top/>
      <bottom style="double">
        <color rgb="FF3C3C3C"/>
      </bottom>
    </border>
    <border>
      <left style="double">
        <color rgb="FF3C3C3C"/>
      </left>
      <right/>
      <top/>
      <bottom style="double">
        <color rgb="FF3C3C3C"/>
      </bottom>
    </border>
  </borders>
  <cellStyleXfs count="1">
    <xf borderId="0" fillId="0" fontId="0" numFmtId="0" applyAlignment="1" applyFont="1"/>
  </cellStyleXfs>
  <cellXfs count="252">
    <xf borderId="0" fillId="0" fontId="0" numFmtId="0" xfId="0" applyAlignment="1" applyFont="1">
      <alignment/>
    </xf>
    <xf borderId="0" fillId="0" fontId="1" numFmtId="0" xfId="0" applyFont="1"/>
    <xf borderId="0" fillId="0" fontId="2" numFmtId="0" xfId="0" applyFont="1"/>
    <xf borderId="0" fillId="0" fontId="1" numFmtId="0" xfId="0" applyFont="1"/>
    <xf borderId="1" fillId="0" fontId="3" numFmtId="0" xfId="0" applyBorder="1" applyFont="1"/>
    <xf borderId="0" fillId="0" fontId="3" numFmtId="0" xfId="0" applyAlignment="1" applyFont="1">
      <alignment horizontal="right"/>
    </xf>
    <xf borderId="1" fillId="2" fontId="3" numFmtId="9" xfId="0" applyBorder="1" applyFill="1" applyFont="1" applyNumberFormat="1"/>
    <xf borderId="0" fillId="0" fontId="4" numFmtId="0" xfId="0" applyFont="1"/>
    <xf borderId="0" fillId="0" fontId="1" numFmtId="0" xfId="0" applyAlignment="1" applyFont="1">
      <alignment horizontal="right"/>
    </xf>
    <xf borderId="1" fillId="2" fontId="3" numFmtId="0" xfId="0" applyAlignment="1" applyBorder="1" applyFont="1">
      <alignment horizontal="center"/>
    </xf>
    <xf borderId="2" fillId="0" fontId="5" numFmtId="0" xfId="0" applyAlignment="1" applyBorder="1" applyFont="1">
      <alignment horizontal="center"/>
    </xf>
    <xf borderId="1" fillId="2" fontId="3" numFmtId="10" xfId="0" applyAlignment="1" applyBorder="1" applyFont="1" applyNumberFormat="1">
      <alignment horizontal="center"/>
    </xf>
    <xf borderId="3" fillId="0" fontId="5" numFmtId="0" xfId="0" applyAlignment="1" applyBorder="1" applyFont="1">
      <alignment horizontal="center"/>
    </xf>
    <xf borderId="4" fillId="3" fontId="1" numFmtId="0" xfId="0" applyAlignment="1" applyBorder="1" applyFill="1" applyFont="1">
      <alignment/>
    </xf>
    <xf borderId="5" fillId="3" fontId="1" numFmtId="0" xfId="0" applyBorder="1" applyFont="1"/>
    <xf borderId="6" fillId="3" fontId="1" numFmtId="0" xfId="0" applyBorder="1" applyFont="1"/>
    <xf borderId="7" fillId="0" fontId="5" numFmtId="0" xfId="0" applyAlignment="1" applyBorder="1" applyFont="1">
      <alignment horizontal="center"/>
    </xf>
    <xf borderId="8" fillId="0" fontId="5" numFmtId="0" xfId="0" applyBorder="1" applyFont="1"/>
    <xf borderId="9" fillId="0" fontId="3" numFmtId="0" xfId="0" applyAlignment="1" applyBorder="1" applyFont="1">
      <alignment horizontal="center"/>
    </xf>
    <xf borderId="1" fillId="3" fontId="1" numFmtId="0" xfId="0" applyAlignment="1" applyBorder="1" applyFont="1">
      <alignment/>
    </xf>
    <xf borderId="10" fillId="0" fontId="3" numFmtId="0" xfId="0" applyAlignment="1" applyBorder="1" applyFont="1">
      <alignment horizontal="center"/>
    </xf>
    <xf borderId="0" fillId="0" fontId="1" numFmtId="164" xfId="0" applyFont="1" applyNumberFormat="1"/>
    <xf borderId="11" fillId="0" fontId="3" numFmtId="0" xfId="0" applyAlignment="1" applyBorder="1" applyFont="1">
      <alignment horizontal="center"/>
    </xf>
    <xf borderId="12" fillId="0" fontId="3" numFmtId="0" xfId="0" applyAlignment="1" applyBorder="1" applyFont="1">
      <alignment horizontal="center"/>
    </xf>
    <xf borderId="13" fillId="0" fontId="3" numFmtId="0" xfId="0" applyAlignment="1" applyBorder="1" applyFont="1">
      <alignment horizontal="center"/>
    </xf>
    <xf borderId="0" fillId="0" fontId="1" numFmtId="165" xfId="0" applyAlignment="1" applyFont="1" applyNumberFormat="1">
      <alignment/>
    </xf>
    <xf borderId="14" fillId="0" fontId="3" numFmtId="0" xfId="0" applyAlignment="1" applyBorder="1" applyFont="1">
      <alignment horizontal="center"/>
    </xf>
    <xf borderId="0" fillId="0" fontId="6" numFmtId="164" xfId="0" applyFont="1" applyNumberFormat="1"/>
    <xf borderId="15" fillId="0" fontId="3" numFmtId="0" xfId="0" applyBorder="1" applyFont="1"/>
    <xf borderId="16" fillId="0" fontId="1" numFmtId="166" xfId="0" applyAlignment="1" applyBorder="1" applyFont="1" applyNumberFormat="1">
      <alignment horizontal="center"/>
    </xf>
    <xf borderId="17" fillId="0" fontId="6" numFmtId="0" xfId="0" applyBorder="1" applyFont="1"/>
    <xf borderId="0" fillId="0" fontId="1" numFmtId="0" xfId="0" applyAlignment="1" applyFont="1">
      <alignment/>
    </xf>
    <xf borderId="7" fillId="0" fontId="6" numFmtId="0" xfId="0" applyBorder="1" applyFont="1"/>
    <xf borderId="9" fillId="0" fontId="3" numFmtId="0" xfId="0" applyBorder="1" applyFont="1"/>
    <xf borderId="0" fillId="0" fontId="1" numFmtId="164" xfId="0" applyAlignment="1" applyFont="1" applyNumberFormat="1">
      <alignment/>
    </xf>
    <xf borderId="18" fillId="0" fontId="5" numFmtId="0" xfId="0" applyBorder="1" applyFont="1"/>
    <xf borderId="0" fillId="0" fontId="3" numFmtId="0" xfId="0" applyFont="1"/>
    <xf borderId="10" fillId="0" fontId="1" numFmtId="166" xfId="0" applyAlignment="1" applyBorder="1" applyFont="1" applyNumberFormat="1">
      <alignment horizontal="center"/>
    </xf>
    <xf borderId="15" fillId="0" fontId="1" numFmtId="0" xfId="0" applyBorder="1" applyFont="1"/>
    <xf borderId="16" fillId="0" fontId="1" numFmtId="0" xfId="0" applyBorder="1" applyFont="1"/>
    <xf borderId="19" fillId="3" fontId="1" numFmtId="0" xfId="0" applyAlignment="1" applyBorder="1" applyFont="1">
      <alignment/>
    </xf>
    <xf borderId="10" fillId="4" fontId="1" numFmtId="166" xfId="0" applyAlignment="1" applyBorder="1" applyFill="1" applyFont="1" applyNumberFormat="1">
      <alignment horizontal="center"/>
    </xf>
    <xf borderId="4" fillId="3" fontId="1" numFmtId="0" xfId="0" applyAlignment="1" applyBorder="1" applyFont="1">
      <alignment horizontal="center"/>
    </xf>
    <xf borderId="5" fillId="0" fontId="6" numFmtId="0" xfId="0" applyBorder="1" applyFont="1"/>
    <xf borderId="10" fillId="0" fontId="1" numFmtId="0" xfId="0" applyBorder="1" applyFont="1"/>
    <xf borderId="6" fillId="0" fontId="6" numFmtId="0" xfId="0" applyBorder="1" applyFont="1"/>
    <xf borderId="9" fillId="0" fontId="1" numFmtId="0" xfId="0" applyBorder="1" applyFont="1"/>
    <xf borderId="20" fillId="3" fontId="1" numFmtId="0" xfId="0" applyBorder="1" applyFont="1"/>
    <xf borderId="10" fillId="0" fontId="1" numFmtId="166" xfId="0" applyBorder="1" applyFont="1" applyNumberFormat="1"/>
    <xf borderId="10" fillId="0" fontId="1" numFmtId="166" xfId="0" applyAlignment="1" applyBorder="1" applyFont="1" applyNumberFormat="1">
      <alignment/>
    </xf>
    <xf borderId="11" fillId="4" fontId="1" numFmtId="166" xfId="0" applyBorder="1" applyFont="1" applyNumberFormat="1"/>
    <xf borderId="0" fillId="0" fontId="7" numFmtId="0" xfId="0" applyAlignment="1" applyFont="1">
      <alignment/>
    </xf>
    <xf borderId="0" fillId="0" fontId="1" numFmtId="0" xfId="0" applyAlignment="1" applyFont="1">
      <alignment horizontal="center"/>
    </xf>
    <xf borderId="0" fillId="0" fontId="3" numFmtId="0" xfId="0" applyAlignment="1" applyFont="1">
      <alignment/>
    </xf>
    <xf borderId="1" fillId="3" fontId="1" numFmtId="0" xfId="0" applyBorder="1" applyFont="1"/>
    <xf borderId="0" fillId="0" fontId="3" numFmtId="164" xfId="0" applyFont="1" applyNumberFormat="1"/>
    <xf borderId="9" fillId="0" fontId="1" numFmtId="0" xfId="0" applyAlignment="1" applyBorder="1" applyFont="1">
      <alignment horizontal="left"/>
    </xf>
    <xf borderId="0" fillId="0" fontId="1" numFmtId="164" xfId="0" applyFont="1" applyNumberFormat="1"/>
    <xf borderId="11" fillId="0" fontId="1" numFmtId="166" xfId="0" applyAlignment="1" applyBorder="1" applyFont="1" applyNumberFormat="1">
      <alignment horizontal="center"/>
    </xf>
    <xf borderId="10" fillId="0" fontId="1" numFmtId="164" xfId="0" applyBorder="1" applyFont="1" applyNumberFormat="1"/>
    <xf borderId="10" fillId="5" fontId="1" numFmtId="166" xfId="0" applyBorder="1" applyFill="1" applyFont="1" applyNumberFormat="1"/>
    <xf borderId="10" fillId="0" fontId="1" numFmtId="166" xfId="0" applyAlignment="1" applyBorder="1" applyFont="1" applyNumberFormat="1">
      <alignment horizontal="center"/>
    </xf>
    <xf borderId="18" fillId="0" fontId="3" numFmtId="0" xfId="0" applyAlignment="1" applyBorder="1" applyFont="1">
      <alignment horizontal="left"/>
    </xf>
    <xf borderId="10" fillId="0" fontId="1" numFmtId="164" xfId="0" applyAlignment="1" applyBorder="1" applyFont="1" applyNumberFormat="1">
      <alignment horizontal="center"/>
    </xf>
    <xf borderId="13" fillId="0" fontId="1" numFmtId="166" xfId="0" applyBorder="1" applyFont="1" applyNumberFormat="1"/>
    <xf borderId="21" fillId="0" fontId="1" numFmtId="0" xfId="0" applyBorder="1" applyFont="1"/>
    <xf borderId="22" fillId="6" fontId="1" numFmtId="167" xfId="0" applyAlignment="1" applyBorder="1" applyFill="1" applyFont="1" applyNumberFormat="1">
      <alignment horizontal="center"/>
    </xf>
    <xf borderId="23" fillId="6" fontId="1" numFmtId="167" xfId="0" applyBorder="1" applyFont="1" applyNumberFormat="1"/>
    <xf borderId="8" fillId="0" fontId="3" numFmtId="0" xfId="0" applyAlignment="1" applyBorder="1" applyFont="1">
      <alignment horizontal="center"/>
    </xf>
    <xf borderId="21" fillId="0" fontId="3" numFmtId="0" xfId="0" applyBorder="1" applyFont="1"/>
    <xf borderId="24" fillId="0" fontId="3" numFmtId="0" xfId="0" applyAlignment="1" applyBorder="1" applyFont="1">
      <alignment horizontal="center"/>
    </xf>
    <xf borderId="25" fillId="0" fontId="8" numFmtId="10" xfId="0" applyAlignment="1" applyBorder="1" applyFont="1" applyNumberFormat="1">
      <alignment horizontal="center"/>
    </xf>
    <xf borderId="3" fillId="0" fontId="6" numFmtId="0" xfId="0" applyBorder="1" applyFont="1"/>
    <xf borderId="26" fillId="0" fontId="3" numFmtId="0" xfId="0" applyBorder="1" applyFont="1"/>
    <xf borderId="18" fillId="0" fontId="3" numFmtId="0" xfId="0" applyBorder="1" applyFont="1"/>
    <xf borderId="14" fillId="0" fontId="3" numFmtId="0" xfId="0" applyBorder="1" applyFont="1"/>
    <xf borderId="13" fillId="0" fontId="1" numFmtId="10" xfId="0" applyAlignment="1" applyBorder="1" applyFont="1" applyNumberFormat="1">
      <alignment horizontal="center"/>
    </xf>
    <xf borderId="8" fillId="0" fontId="3" numFmtId="0" xfId="0" applyBorder="1" applyFont="1"/>
    <xf borderId="24" fillId="0" fontId="1" numFmtId="166" xfId="0" applyBorder="1" applyFont="1" applyNumberFormat="1"/>
    <xf borderId="24" fillId="0" fontId="1" numFmtId="0" xfId="0" applyAlignment="1" applyBorder="1" applyFont="1">
      <alignment horizontal="center"/>
    </xf>
    <xf borderId="27" fillId="0" fontId="3" numFmtId="0" xfId="0" applyBorder="1" applyFont="1"/>
    <xf borderId="16" fillId="0" fontId="1" numFmtId="166" xfId="0" applyAlignment="1" applyBorder="1" applyFont="1" applyNumberFormat="1">
      <alignment horizontal="center"/>
    </xf>
    <xf borderId="28" fillId="0" fontId="1" numFmtId="166" xfId="0" applyAlignment="1" applyBorder="1" applyFont="1" applyNumberFormat="1">
      <alignment horizontal="center"/>
    </xf>
    <xf borderId="0" fillId="0" fontId="1" numFmtId="9" xfId="0" applyAlignment="1" applyFont="1" applyNumberFormat="1">
      <alignment/>
    </xf>
    <xf borderId="27" fillId="0" fontId="1" numFmtId="0" xfId="0" applyBorder="1" applyFont="1"/>
    <xf borderId="26" fillId="0" fontId="1" numFmtId="0" xfId="0" applyBorder="1" applyFont="1"/>
    <xf borderId="8" fillId="0" fontId="1" numFmtId="0" xfId="0" applyBorder="1" applyFont="1"/>
    <xf borderId="16" fillId="0" fontId="1" numFmtId="166" xfId="0" applyBorder="1" applyFont="1" applyNumberFormat="1"/>
    <xf borderId="26" fillId="0" fontId="3" numFmtId="0" xfId="0" applyAlignment="1" applyBorder="1" applyFont="1">
      <alignment horizontal="center"/>
    </xf>
    <xf borderId="16" fillId="0" fontId="1" numFmtId="0" xfId="0" applyAlignment="1" applyBorder="1" applyFont="1">
      <alignment horizontal="center"/>
    </xf>
    <xf borderId="28" fillId="0" fontId="1" numFmtId="0" xfId="0" applyBorder="1" applyFont="1"/>
    <xf borderId="10" fillId="0" fontId="1" numFmtId="167" xfId="0" applyAlignment="1" applyBorder="1" applyFont="1" applyNumberFormat="1">
      <alignment horizontal="center"/>
    </xf>
    <xf borderId="10" fillId="0" fontId="1" numFmtId="0" xfId="0" applyAlignment="1" applyBorder="1" applyFont="1">
      <alignment/>
    </xf>
    <xf borderId="11" fillId="0" fontId="1" numFmtId="167" xfId="0" applyBorder="1" applyFont="1" applyNumberFormat="1"/>
    <xf borderId="0" fillId="0" fontId="1" numFmtId="10" xfId="0" applyAlignment="1" applyFont="1" applyNumberFormat="1">
      <alignment/>
    </xf>
    <xf borderId="22" fillId="0" fontId="1" numFmtId="167" xfId="0" applyAlignment="1" applyBorder="1" applyFont="1" applyNumberFormat="1">
      <alignment horizontal="center"/>
    </xf>
    <xf borderId="11" fillId="0" fontId="1" numFmtId="166" xfId="0" applyBorder="1" applyFont="1" applyNumberFormat="1"/>
    <xf borderId="23" fillId="0" fontId="1" numFmtId="167" xfId="0" applyBorder="1" applyFont="1" applyNumberFormat="1"/>
    <xf borderId="10" fillId="0" fontId="1" numFmtId="168" xfId="0" applyAlignment="1" applyBorder="1" applyFont="1" applyNumberFormat="1">
      <alignment/>
    </xf>
    <xf borderId="0" fillId="0" fontId="1" numFmtId="164" xfId="0" applyAlignment="1" applyFont="1" applyNumberFormat="1">
      <alignment/>
    </xf>
    <xf borderId="29" fillId="0" fontId="3" numFmtId="0" xfId="0" applyBorder="1" applyFont="1"/>
    <xf borderId="0" fillId="0" fontId="1" numFmtId="1" xfId="0" applyFont="1" applyNumberFormat="1"/>
    <xf borderId="13" fillId="0" fontId="1" numFmtId="0" xfId="0" applyAlignment="1" applyBorder="1" applyFont="1">
      <alignment horizontal="center"/>
    </xf>
    <xf borderId="0" fillId="0" fontId="1" numFmtId="1" xfId="0" applyAlignment="1" applyFont="1" applyNumberFormat="1">
      <alignment/>
    </xf>
    <xf borderId="13" fillId="0" fontId="1" numFmtId="166" xfId="0" applyAlignment="1" applyBorder="1" applyFont="1" applyNumberFormat="1">
      <alignment horizontal="center"/>
    </xf>
    <xf borderId="14" fillId="0" fontId="1" numFmtId="0" xfId="0" applyAlignment="1" applyBorder="1" applyFont="1">
      <alignment horizontal="center"/>
    </xf>
    <xf borderId="14" fillId="0" fontId="1" numFmtId="166" xfId="0" applyAlignment="1" applyBorder="1" applyFont="1" applyNumberFormat="1">
      <alignment horizontal="center"/>
    </xf>
    <xf borderId="0" fillId="0" fontId="6" numFmtId="0" xfId="0" applyAlignment="1" applyFont="1">
      <alignment/>
    </xf>
    <xf borderId="10" fillId="0" fontId="1" numFmtId="2" xfId="0" applyAlignment="1" applyBorder="1" applyFont="1" applyNumberFormat="1">
      <alignment/>
    </xf>
    <xf borderId="0" fillId="0" fontId="9" numFmtId="166" xfId="0" applyAlignment="1" applyFont="1" applyNumberFormat="1">
      <alignment/>
    </xf>
    <xf borderId="11" fillId="0" fontId="1" numFmtId="166" xfId="0" applyAlignment="1" applyBorder="1" applyFont="1" applyNumberFormat="1">
      <alignment horizontal="center"/>
    </xf>
    <xf borderId="9" fillId="0" fontId="3" numFmtId="0" xfId="0" applyAlignment="1" applyBorder="1" applyFont="1">
      <alignment horizontal="left"/>
    </xf>
    <xf borderId="10" fillId="6" fontId="1" numFmtId="166" xfId="0" applyBorder="1" applyFont="1" applyNumberFormat="1"/>
    <xf borderId="11" fillId="6" fontId="1" numFmtId="166" xfId="0" applyBorder="1" applyFont="1" applyNumberFormat="1"/>
    <xf borderId="10" fillId="0" fontId="1" numFmtId="0" xfId="0" applyAlignment="1" applyBorder="1" applyFont="1">
      <alignment horizontal="center"/>
    </xf>
    <xf borderId="10" fillId="0" fontId="1" numFmtId="167" xfId="0" applyBorder="1" applyFont="1" applyNumberFormat="1"/>
    <xf borderId="10" fillId="0" fontId="1" numFmtId="0" xfId="0" applyBorder="1" applyFont="1"/>
    <xf borderId="0" fillId="0" fontId="1" numFmtId="166" xfId="0" applyFont="1" applyNumberFormat="1"/>
    <xf borderId="10" fillId="0" fontId="3" numFmtId="167" xfId="0" applyAlignment="1" applyBorder="1" applyFont="1" applyNumberFormat="1">
      <alignment horizontal="center"/>
    </xf>
    <xf borderId="10" fillId="0" fontId="1" numFmtId="2" xfId="0" applyAlignment="1" applyBorder="1" applyFont="1" applyNumberFormat="1">
      <alignment horizontal="center"/>
    </xf>
    <xf borderId="11" fillId="0" fontId="1" numFmtId="2" xfId="0" applyAlignment="1" applyBorder="1" applyFont="1" applyNumberFormat="1">
      <alignment horizontal="center"/>
    </xf>
    <xf borderId="11" fillId="0" fontId="1" numFmtId="164" xfId="0" applyAlignment="1" applyBorder="1" applyFont="1" applyNumberFormat="1">
      <alignment horizontal="center"/>
    </xf>
    <xf borderId="0" fillId="0" fontId="1" numFmtId="168" xfId="0" applyAlignment="1" applyFont="1" applyNumberFormat="1">
      <alignment horizontal="center"/>
    </xf>
    <xf borderId="24" fillId="0" fontId="3" numFmtId="168" xfId="0" applyAlignment="1" applyBorder="1" applyFont="1" applyNumberFormat="1">
      <alignment horizontal="center"/>
    </xf>
    <xf borderId="26" fillId="0" fontId="3" numFmtId="168" xfId="0" applyAlignment="1" applyBorder="1" applyFont="1" applyNumberFormat="1">
      <alignment horizontal="center"/>
    </xf>
    <xf borderId="10" fillId="6" fontId="1" numFmtId="166" xfId="0" applyAlignment="1" applyBorder="1" applyFont="1" applyNumberFormat="1">
      <alignment horizontal="center"/>
    </xf>
    <xf borderId="22" fillId="0" fontId="1" numFmtId="166" xfId="0" applyAlignment="1" applyBorder="1" applyFont="1" applyNumberFormat="1">
      <alignment horizontal="center"/>
    </xf>
    <xf borderId="23" fillId="0" fontId="1" numFmtId="166" xfId="0" applyAlignment="1" applyBorder="1" applyFont="1" applyNumberFormat="1">
      <alignment horizontal="center"/>
    </xf>
    <xf borderId="22" fillId="7" fontId="1" numFmtId="9" xfId="0" applyAlignment="1" applyBorder="1" applyFill="1" applyFont="1" applyNumberFormat="1">
      <alignment horizontal="center"/>
    </xf>
    <xf borderId="13" fillId="0" fontId="1" numFmtId="9" xfId="0" applyAlignment="1" applyBorder="1" applyFont="1" applyNumberFormat="1">
      <alignment horizontal="center"/>
    </xf>
    <xf borderId="18" fillId="0" fontId="3" numFmtId="0" xfId="0" applyAlignment="1" applyBorder="1" applyFont="1">
      <alignment horizontal="center"/>
    </xf>
    <xf borderId="0" fillId="0" fontId="3" numFmtId="164" xfId="0" applyAlignment="1" applyFont="1" applyNumberFormat="1">
      <alignment/>
    </xf>
    <xf borderId="10" fillId="6" fontId="1" numFmtId="167" xfId="0" applyAlignment="1" applyBorder="1" applyFont="1" applyNumberFormat="1">
      <alignment horizontal="center"/>
    </xf>
    <xf borderId="11" fillId="6" fontId="1" numFmtId="167" xfId="0" applyBorder="1" applyFont="1" applyNumberFormat="1"/>
    <xf borderId="11" fillId="6" fontId="1" numFmtId="166" xfId="0" applyAlignment="1" applyBorder="1" applyFont="1" applyNumberFormat="1">
      <alignment horizontal="center"/>
    </xf>
    <xf borderId="10" fillId="0" fontId="1" numFmtId="9" xfId="0" applyAlignment="1" applyBorder="1" applyFont="1" applyNumberFormat="1">
      <alignment horizontal="center"/>
    </xf>
    <xf borderId="13" fillId="0" fontId="1" numFmtId="9" xfId="0" applyAlignment="1" applyBorder="1" applyFont="1" applyNumberFormat="1">
      <alignment horizontal="center"/>
    </xf>
    <xf borderId="22" fillId="0" fontId="3" numFmtId="0" xfId="0" applyAlignment="1" applyBorder="1" applyFont="1">
      <alignment horizontal="center"/>
    </xf>
    <xf borderId="23" fillId="0" fontId="3" numFmtId="0" xfId="0" applyAlignment="1" applyBorder="1" applyFont="1">
      <alignment horizontal="center"/>
    </xf>
    <xf borderId="30" fillId="0" fontId="1" numFmtId="0" xfId="0" applyBorder="1" applyFont="1"/>
    <xf borderId="31" fillId="0" fontId="6" numFmtId="164" xfId="0" applyBorder="1" applyFont="1" applyNumberFormat="1"/>
    <xf borderId="32" fillId="0" fontId="1" numFmtId="0" xfId="0" applyBorder="1" applyFont="1"/>
    <xf borderId="31" fillId="0" fontId="6" numFmtId="0" xfId="0" applyBorder="1" applyFont="1"/>
    <xf borderId="28" fillId="0" fontId="1" numFmtId="166" xfId="0" applyAlignment="1" applyBorder="1" applyFont="1" applyNumberFormat="1">
      <alignment horizontal="center"/>
    </xf>
    <xf borderId="10" fillId="0" fontId="3" numFmtId="166" xfId="0" applyAlignment="1" applyBorder="1" applyFont="1" applyNumberFormat="1">
      <alignment horizontal="center"/>
    </xf>
    <xf borderId="10" fillId="0" fontId="1" numFmtId="9" xfId="0" applyAlignment="1" applyBorder="1" applyFont="1" applyNumberFormat="1">
      <alignment horizontal="center"/>
    </xf>
    <xf borderId="8" fillId="0" fontId="5" numFmtId="0" xfId="0" applyAlignment="1" applyBorder="1" applyFont="1">
      <alignment horizontal="center"/>
    </xf>
    <xf borderId="24" fillId="0" fontId="5" numFmtId="0" xfId="0" applyAlignment="1" applyBorder="1" applyFont="1">
      <alignment horizontal="center"/>
    </xf>
    <xf borderId="26" fillId="0" fontId="5" numFmtId="0" xfId="0" applyAlignment="1" applyBorder="1" applyFont="1">
      <alignment horizontal="center"/>
    </xf>
    <xf borderId="10" fillId="0" fontId="1" numFmtId="0" xfId="0" applyAlignment="1" applyBorder="1" applyFont="1">
      <alignment horizontal="center"/>
    </xf>
    <xf borderId="9" fillId="6" fontId="1" numFmtId="0" xfId="0" applyBorder="1" applyFont="1"/>
    <xf borderId="10" fillId="6" fontId="3" numFmtId="166" xfId="0" applyAlignment="1" applyBorder="1" applyFont="1" applyNumberFormat="1">
      <alignment horizontal="center"/>
    </xf>
    <xf borderId="11" fillId="6" fontId="3" numFmtId="166" xfId="0" applyAlignment="1" applyBorder="1" applyFont="1" applyNumberFormat="1">
      <alignment horizontal="center"/>
    </xf>
    <xf borderId="11" fillId="0" fontId="3" numFmtId="166" xfId="0" applyAlignment="1" applyBorder="1" applyFont="1" applyNumberFormat="1">
      <alignment horizontal="center"/>
    </xf>
    <xf borderId="10" fillId="0" fontId="3" numFmtId="164" xfId="0" applyAlignment="1" applyBorder="1" applyFont="1" applyNumberFormat="1">
      <alignment horizontal="center"/>
    </xf>
    <xf borderId="9" fillId="6" fontId="3" numFmtId="0" xfId="0" applyBorder="1" applyFont="1"/>
    <xf borderId="10" fillId="0" fontId="3" numFmtId="9" xfId="0" applyBorder="1" applyFont="1" applyNumberFormat="1"/>
    <xf borderId="10" fillId="6" fontId="1" numFmtId="9" xfId="0" applyBorder="1" applyFont="1" applyNumberFormat="1"/>
    <xf borderId="11" fillId="6" fontId="1" numFmtId="9" xfId="0" applyBorder="1" applyFont="1" applyNumberFormat="1"/>
    <xf borderId="11" fillId="0" fontId="1" numFmtId="164" xfId="0" applyBorder="1" applyFont="1" applyNumberFormat="1"/>
    <xf borderId="10" fillId="0" fontId="3" numFmtId="164" xfId="0" applyBorder="1" applyFont="1" applyNumberFormat="1"/>
    <xf borderId="10" fillId="0" fontId="8" numFmtId="166" xfId="0" applyAlignment="1" applyBorder="1" applyFont="1" applyNumberFormat="1">
      <alignment/>
    </xf>
    <xf borderId="13" fillId="0" fontId="1" numFmtId="10" xfId="0" applyBorder="1" applyFont="1" applyNumberFormat="1"/>
    <xf borderId="0" fillId="0" fontId="5" numFmtId="0" xfId="0" applyFont="1"/>
    <xf borderId="33" fillId="0" fontId="8" numFmtId="0" xfId="0" applyAlignment="1" applyBorder="1" applyFont="1">
      <alignment/>
    </xf>
    <xf borderId="34" fillId="0" fontId="6" numFmtId="0" xfId="0" applyBorder="1" applyFont="1"/>
    <xf borderId="35" fillId="0" fontId="6" numFmtId="0" xfId="0" applyBorder="1" applyFont="1"/>
    <xf borderId="0" fillId="0" fontId="8" numFmtId="0" xfId="0" applyAlignment="1" applyFont="1">
      <alignment/>
    </xf>
    <xf borderId="13" fillId="0" fontId="3" numFmtId="0" xfId="0" applyAlignment="1" applyBorder="1" applyFont="1">
      <alignment horizontal="center" wrapText="1"/>
    </xf>
    <xf borderId="36" fillId="0" fontId="3" numFmtId="0" xfId="0" applyAlignment="1" applyBorder="1" applyFont="1">
      <alignment horizontal="center"/>
    </xf>
    <xf borderId="37" fillId="0" fontId="1" numFmtId="166" xfId="0" applyAlignment="1" applyBorder="1" applyFont="1" applyNumberFormat="1">
      <alignment horizontal="center"/>
    </xf>
    <xf borderId="38" fillId="0" fontId="1" numFmtId="166" xfId="0" applyAlignment="1" applyBorder="1" applyFont="1" applyNumberFormat="1">
      <alignment horizontal="center"/>
    </xf>
    <xf borderId="36" fillId="0" fontId="1" numFmtId="166" xfId="0" applyAlignment="1" applyBorder="1" applyFont="1" applyNumberFormat="1">
      <alignment horizontal="center"/>
    </xf>
    <xf borderId="2" fillId="0" fontId="5" numFmtId="0" xfId="0" applyAlignment="1" applyBorder="1" applyFont="1">
      <alignment horizontal="left"/>
    </xf>
    <xf borderId="30" fillId="0" fontId="5" numFmtId="0" xfId="0" applyAlignment="1" applyBorder="1" applyFont="1">
      <alignment horizontal="left"/>
    </xf>
    <xf borderId="27" fillId="0" fontId="5" numFmtId="0" xfId="0" applyAlignment="1" applyBorder="1" applyFont="1">
      <alignment horizontal="center"/>
    </xf>
    <xf borderId="39" fillId="0" fontId="5" numFmtId="0" xfId="0" applyAlignment="1" applyBorder="1" applyFont="1">
      <alignment horizontal="center"/>
    </xf>
    <xf borderId="21" fillId="0" fontId="3" numFmtId="0" xfId="0" applyAlignment="1" applyBorder="1" applyFont="1">
      <alignment horizontal="center"/>
    </xf>
    <xf borderId="40" fillId="0" fontId="3" numFmtId="0" xfId="0" applyBorder="1" applyFont="1"/>
    <xf borderId="41" fillId="0" fontId="1" numFmtId="166" xfId="0" applyAlignment="1" applyBorder="1" applyFont="1" applyNumberFormat="1">
      <alignment horizontal="center"/>
    </xf>
    <xf borderId="42" fillId="0" fontId="1" numFmtId="0" xfId="0" applyBorder="1" applyFont="1"/>
    <xf borderId="43" fillId="0" fontId="1" numFmtId="166" xfId="0" applyAlignment="1" applyBorder="1" applyFont="1" applyNumberFormat="1">
      <alignment horizontal="center"/>
    </xf>
    <xf borderId="42" fillId="0" fontId="3" numFmtId="0" xfId="0" applyBorder="1" applyFont="1"/>
    <xf borderId="42" fillId="0" fontId="3" numFmtId="0" xfId="0" applyAlignment="1" applyBorder="1" applyFont="1">
      <alignment horizontal="left"/>
    </xf>
    <xf borderId="44" fillId="0" fontId="3" numFmtId="0" xfId="0" applyBorder="1" applyFont="1"/>
    <xf borderId="45" fillId="0" fontId="1" numFmtId="166" xfId="0" applyAlignment="1" applyBorder="1" applyFont="1" applyNumberFormat="1">
      <alignment horizontal="center"/>
    </xf>
    <xf borderId="36" fillId="0" fontId="3" numFmtId="0" xfId="0" applyAlignment="1" applyBorder="1" applyFont="1">
      <alignment horizontal="center" wrapText="1"/>
    </xf>
    <xf borderId="14" fillId="0" fontId="3" numFmtId="0" xfId="0" applyAlignment="1" applyBorder="1" applyFont="1">
      <alignment horizontal="center" wrapText="1"/>
    </xf>
    <xf borderId="40" fillId="0" fontId="3" numFmtId="0" xfId="0" applyAlignment="1" applyBorder="1" applyFont="1">
      <alignment horizontal="center"/>
    </xf>
    <xf borderId="42" fillId="0" fontId="3" numFmtId="0" xfId="0" applyAlignment="1" applyBorder="1" applyFont="1">
      <alignment horizontal="center"/>
    </xf>
    <xf borderId="44" fillId="0" fontId="3" numFmtId="0" xfId="0" applyAlignment="1" applyBorder="1" applyFont="1">
      <alignment horizontal="center"/>
    </xf>
    <xf borderId="1" fillId="0" fontId="1" numFmtId="166" xfId="0" applyBorder="1" applyFont="1" applyNumberFormat="1"/>
    <xf borderId="1" fillId="0" fontId="1" numFmtId="0" xfId="0" applyBorder="1" applyFont="1"/>
    <xf borderId="1" fillId="0" fontId="1" numFmtId="9" xfId="0" applyBorder="1" applyFont="1" applyNumberFormat="1"/>
    <xf borderId="8" fillId="0" fontId="5" numFmtId="0" xfId="0" applyAlignment="1" applyBorder="1" applyFont="1">
      <alignment horizontal="left"/>
    </xf>
    <xf borderId="38" fillId="0" fontId="3" numFmtId="0" xfId="0" applyAlignment="1" applyBorder="1" applyFont="1">
      <alignment horizontal="center"/>
    </xf>
    <xf borderId="43" fillId="0" fontId="6" numFmtId="0" xfId="0" applyBorder="1" applyFont="1"/>
    <xf borderId="39" fillId="0" fontId="6" numFmtId="0" xfId="0" applyBorder="1" applyFont="1"/>
    <xf borderId="11" fillId="0" fontId="1" numFmtId="9" xfId="0" applyAlignment="1" applyBorder="1" applyFont="1" applyNumberFormat="1">
      <alignment horizontal="center"/>
    </xf>
    <xf borderId="10" fillId="0" fontId="1" numFmtId="9" xfId="0" applyBorder="1" applyFont="1" applyNumberFormat="1"/>
    <xf borderId="13" fillId="0" fontId="3" numFmtId="166" xfId="0" applyAlignment="1" applyBorder="1" applyFont="1" applyNumberFormat="1">
      <alignment horizontal="center"/>
    </xf>
    <xf borderId="13" fillId="0" fontId="3" numFmtId="9" xfId="0" applyAlignment="1" applyBorder="1" applyFont="1" applyNumberFormat="1">
      <alignment horizontal="center"/>
    </xf>
    <xf borderId="14" fillId="0" fontId="3" numFmtId="9" xfId="0" applyAlignment="1" applyBorder="1" applyFont="1" applyNumberFormat="1">
      <alignment horizontal="center"/>
    </xf>
    <xf borderId="0" fillId="0" fontId="3" numFmtId="167" xfId="0" applyAlignment="1" applyFont="1" applyNumberFormat="1">
      <alignment horizontal="center"/>
    </xf>
    <xf borderId="0" fillId="0" fontId="3" numFmtId="1" xfId="0" applyAlignment="1" applyFont="1" applyNumberFormat="1">
      <alignment horizontal="center"/>
    </xf>
    <xf borderId="46" fillId="0" fontId="5" numFmtId="0" xfId="0" applyAlignment="1" applyBorder="1" applyFont="1">
      <alignment horizontal="left"/>
    </xf>
    <xf borderId="47" fillId="0" fontId="5" numFmtId="0" xfId="0" applyAlignment="1" applyBorder="1" applyFont="1">
      <alignment horizontal="left"/>
    </xf>
    <xf borderId="48" fillId="0" fontId="5" numFmtId="0" xfId="0" applyAlignment="1" applyBorder="1" applyFont="1">
      <alignment horizontal="left"/>
    </xf>
    <xf borderId="49" fillId="0" fontId="3" numFmtId="0" xfId="0" applyAlignment="1" applyBorder="1" applyFont="1">
      <alignment horizontal="center"/>
    </xf>
    <xf borderId="50" fillId="0" fontId="3" numFmtId="0" xfId="0" applyAlignment="1" applyBorder="1" applyFont="1">
      <alignment horizontal="center"/>
    </xf>
    <xf borderId="51" fillId="0" fontId="3" numFmtId="0" xfId="0" applyAlignment="1" applyBorder="1" applyFont="1">
      <alignment horizontal="center"/>
    </xf>
    <xf borderId="52" fillId="0" fontId="3" numFmtId="0" xfId="0" applyAlignment="1" applyBorder="1" applyFont="1">
      <alignment horizontal="center"/>
    </xf>
    <xf borderId="53" fillId="0" fontId="3" numFmtId="0" xfId="0" applyAlignment="1" applyBorder="1" applyFont="1">
      <alignment horizontal="center"/>
    </xf>
    <xf borderId="54" fillId="0" fontId="3" numFmtId="0" xfId="0" applyAlignment="1" applyBorder="1" applyFont="1">
      <alignment horizontal="center"/>
    </xf>
    <xf borderId="8" fillId="0" fontId="1" numFmtId="169" xfId="0" applyBorder="1" applyFont="1" applyNumberFormat="1"/>
    <xf borderId="24" fillId="0" fontId="1" numFmtId="166" xfId="0" applyAlignment="1" applyBorder="1" applyFont="1" applyNumberFormat="1">
      <alignment horizontal="center"/>
    </xf>
    <xf borderId="24" fillId="0" fontId="1" numFmtId="9" xfId="0" applyBorder="1" applyFont="1" applyNumberFormat="1"/>
    <xf borderId="26" fillId="0" fontId="1" numFmtId="166" xfId="0" applyAlignment="1" applyBorder="1" applyFont="1" applyNumberFormat="1">
      <alignment horizontal="center"/>
    </xf>
    <xf borderId="9" fillId="0" fontId="1" numFmtId="169" xfId="0" applyBorder="1" applyFont="1" applyNumberFormat="1"/>
    <xf borderId="18" fillId="0" fontId="1" numFmtId="169" xfId="0" applyBorder="1" applyFont="1" applyNumberFormat="1"/>
    <xf borderId="13" fillId="0" fontId="1" numFmtId="9" xfId="0" applyBorder="1" applyFont="1" applyNumberFormat="1"/>
    <xf borderId="0" fillId="0" fontId="3" numFmtId="166" xfId="0" applyAlignment="1" applyFont="1" applyNumberFormat="1">
      <alignment horizontal="center"/>
    </xf>
    <xf borderId="1" fillId="0" fontId="3" numFmtId="166" xfId="0" applyAlignment="1" applyBorder="1" applyFont="1" applyNumberFormat="1">
      <alignment horizontal="center"/>
    </xf>
    <xf borderId="0" fillId="0" fontId="3" numFmtId="166" xfId="0" applyFont="1" applyNumberFormat="1"/>
    <xf borderId="0" fillId="0" fontId="1" numFmtId="9" xfId="0" applyFont="1" applyNumberFormat="1"/>
    <xf borderId="9" fillId="0" fontId="1" numFmtId="169" xfId="0" applyAlignment="1" applyBorder="1" applyFont="1" applyNumberFormat="1">
      <alignment horizontal="left"/>
    </xf>
    <xf borderId="13" fillId="0" fontId="3" numFmtId="166" xfId="0" applyBorder="1" applyFont="1" applyNumberFormat="1"/>
    <xf borderId="13" fillId="0" fontId="3" numFmtId="9" xfId="0" applyBorder="1" applyFont="1" applyNumberFormat="1"/>
    <xf borderId="14" fillId="0" fontId="3" numFmtId="166" xfId="0" applyAlignment="1" applyBorder="1" applyFont="1" applyNumberFormat="1">
      <alignment horizontal="center"/>
    </xf>
    <xf borderId="0" fillId="0" fontId="1" numFmtId="0" xfId="0" applyAlignment="1" applyFont="1">
      <alignment horizontal="left"/>
    </xf>
    <xf borderId="0" fillId="0" fontId="3" numFmtId="0" xfId="0" applyAlignment="1" applyFont="1">
      <alignment horizontal="center"/>
    </xf>
    <xf borderId="55" fillId="0" fontId="1" numFmtId="0" xfId="0" applyBorder="1" applyFont="1"/>
    <xf borderId="28" fillId="0" fontId="3" numFmtId="166" xfId="0" applyAlignment="1" applyBorder="1" applyFont="1" applyNumberFormat="1">
      <alignment horizontal="center"/>
    </xf>
    <xf borderId="14" fillId="0" fontId="1" numFmtId="9" xfId="0" applyAlignment="1" applyBorder="1" applyFont="1" applyNumberFormat="1">
      <alignment horizontal="center"/>
    </xf>
    <xf borderId="42" fillId="0" fontId="1" numFmtId="0" xfId="0" applyAlignment="1" applyBorder="1" applyFont="1">
      <alignment horizontal="left"/>
    </xf>
    <xf borderId="12" fillId="0" fontId="5" numFmtId="0" xfId="0" applyAlignment="1" applyBorder="1" applyFont="1">
      <alignment horizontal="center"/>
    </xf>
    <xf borderId="10" fillId="0" fontId="1" numFmtId="170" xfId="0" applyAlignment="1" applyBorder="1" applyFont="1" applyNumberFormat="1">
      <alignment horizontal="center"/>
    </xf>
    <xf borderId="38" fillId="0" fontId="1" numFmtId="170" xfId="0" applyAlignment="1" applyBorder="1" applyFont="1" applyNumberFormat="1">
      <alignment horizontal="center"/>
    </xf>
    <xf borderId="11" fillId="0" fontId="1" numFmtId="170" xfId="0" applyAlignment="1" applyBorder="1" applyFont="1" applyNumberFormat="1">
      <alignment horizontal="center"/>
    </xf>
    <xf borderId="10" fillId="0" fontId="1" numFmtId="170" xfId="0" applyBorder="1" applyFont="1" applyNumberFormat="1"/>
    <xf borderId="38" fillId="0" fontId="1" numFmtId="170" xfId="0" applyBorder="1" applyFont="1" applyNumberFormat="1"/>
    <xf borderId="11" fillId="0" fontId="1" numFmtId="170" xfId="0" applyBorder="1" applyFont="1" applyNumberFormat="1"/>
    <xf borderId="38" fillId="0" fontId="3" numFmtId="166" xfId="0" applyAlignment="1" applyBorder="1" applyFont="1" applyNumberFormat="1">
      <alignment horizontal="center"/>
    </xf>
    <xf borderId="36" fillId="0" fontId="1" numFmtId="166" xfId="0" applyBorder="1" applyFont="1" applyNumberFormat="1"/>
    <xf borderId="14" fillId="0" fontId="1" numFmtId="166" xfId="0" applyBorder="1" applyFont="1" applyNumberFormat="1"/>
    <xf borderId="24" fillId="0" fontId="1" numFmtId="170" xfId="0" applyAlignment="1" applyBorder="1" applyFont="1" applyNumberFormat="1">
      <alignment horizontal="center"/>
    </xf>
    <xf borderId="26" fillId="0" fontId="1" numFmtId="170" xfId="0" applyAlignment="1" applyBorder="1" applyFont="1" applyNumberFormat="1">
      <alignment horizontal="center"/>
    </xf>
    <xf borderId="0" fillId="0" fontId="1" numFmtId="0" xfId="0" applyAlignment="1" applyFont="1">
      <alignment horizontal="center"/>
    </xf>
    <xf borderId="0" fillId="0" fontId="1" numFmtId="167" xfId="0" applyAlignment="1" applyFont="1" applyNumberFormat="1">
      <alignment horizontal="center"/>
    </xf>
    <xf borderId="0" fillId="0" fontId="10" numFmtId="0" xfId="0" applyFont="1"/>
    <xf borderId="0" fillId="0" fontId="1" numFmtId="1" xfId="0" applyAlignment="1" applyFont="1" applyNumberFormat="1">
      <alignment horizontal="center"/>
    </xf>
    <xf borderId="0" fillId="0" fontId="3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6" Type="http://schemas.openxmlformats.org/officeDocument/2006/relationships/worksheet" Target="worksheets/sheet14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00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152400</xdr:colOff>
      <xdr:row>149</xdr:row>
      <xdr:rowOff>152400</xdr:rowOff>
    </xdr:from>
    <xdr:to>
      <xdr:col>7</xdr:col>
      <xdr:colOff>28575</xdr:colOff>
      <xdr:row>166</xdr:row>
      <xdr:rowOff>142875</xdr:rowOff>
    </xdr:to>
    <xdr:pic>
      <xdr:nvPicPr>
        <xdr:cNvPr id="0" name="image00.png" title="Imagen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9029700" cy="2743200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terreno.mercadolibre.com.ar/MLA-634724639-venta-terreno-distrito-tecnologico-parquepatricios-_JM" TargetMode="External"/><Relationship Id="rId2" Type="http://schemas.openxmlformats.org/officeDocument/2006/relationships/hyperlink" Target="http://www.region.com.ar/productos/semanario/archivo/costos.htm" TargetMode="External"/><Relationship Id="rId3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42.29"/>
    <col customWidth="1" min="2" max="3" width="10.0"/>
    <col customWidth="1" min="4" max="4" width="17.43"/>
    <col customWidth="1" min="5" max="5" width="11.14"/>
    <col customWidth="1" min="6" max="26" width="10.0"/>
  </cols>
  <sheetData>
    <row r="1" ht="14.25" customHeight="1">
      <c r="A1" s="2" t="s">
        <v>0</v>
      </c>
      <c r="D1" s="3"/>
      <c r="E1" s="4"/>
    </row>
    <row r="2" ht="12.75" customHeight="1">
      <c r="A2" s="3"/>
      <c r="D2" s="3"/>
    </row>
    <row r="3" ht="14.25" customHeight="1">
      <c r="A3" s="5" t="s">
        <v>2</v>
      </c>
      <c r="B3" s="6">
        <v>0.21</v>
      </c>
      <c r="D3" s="3"/>
    </row>
    <row r="4" ht="14.25" customHeight="1">
      <c r="A4" s="5" t="s">
        <v>3</v>
      </c>
      <c r="B4" s="6">
        <v>0.35</v>
      </c>
      <c r="D4" s="3"/>
    </row>
    <row r="5" ht="14.25" customHeight="1">
      <c r="A5" s="5" t="s">
        <v>4</v>
      </c>
      <c r="B5" s="6">
        <v>0.04</v>
      </c>
      <c r="C5" s="3" t="s">
        <v>5</v>
      </c>
      <c r="D5" s="3"/>
      <c r="G5" s="7"/>
    </row>
    <row r="6" ht="14.25" customHeight="1">
      <c r="A6" s="3"/>
      <c r="D6" s="3"/>
    </row>
    <row r="7" ht="12.75" customHeight="1">
      <c r="A7" s="5" t="s">
        <v>6</v>
      </c>
      <c r="B7" s="3" t="s">
        <v>7</v>
      </c>
      <c r="D7" s="3"/>
    </row>
    <row r="8" ht="14.25" customHeight="1">
      <c r="A8" s="8" t="s">
        <v>8</v>
      </c>
      <c r="B8" s="9">
        <v>30.0</v>
      </c>
      <c r="C8" s="3" t="s">
        <v>11</v>
      </c>
      <c r="D8" s="3"/>
    </row>
    <row r="9" ht="12.75" customHeight="1">
      <c r="A9" s="8" t="s">
        <v>12</v>
      </c>
      <c r="B9" s="9">
        <v>10.0</v>
      </c>
      <c r="C9" s="3" t="s">
        <v>11</v>
      </c>
      <c r="D9" s="3"/>
    </row>
    <row r="10" ht="12.75" customHeight="1">
      <c r="A10" s="8" t="s">
        <v>13</v>
      </c>
      <c r="B10" s="9">
        <v>10.0</v>
      </c>
      <c r="C10" s="3" t="s">
        <v>11</v>
      </c>
      <c r="D10" s="3"/>
    </row>
    <row r="11" ht="12.75" customHeight="1">
      <c r="A11" s="8" t="s">
        <v>14</v>
      </c>
      <c r="B11" s="9">
        <v>5.0</v>
      </c>
      <c r="C11" s="3" t="s">
        <v>11</v>
      </c>
      <c r="D11" s="3"/>
    </row>
    <row r="12" ht="14.25" customHeight="1">
      <c r="A12" s="8" t="s">
        <v>15</v>
      </c>
      <c r="B12" s="9">
        <v>5.0</v>
      </c>
      <c r="C12" s="3" t="s">
        <v>11</v>
      </c>
      <c r="D12" s="3"/>
    </row>
    <row r="13" ht="12.75" customHeight="1">
      <c r="A13" s="8" t="s">
        <v>16</v>
      </c>
      <c r="B13" s="9">
        <v>3.0</v>
      </c>
      <c r="C13" s="3" t="s">
        <v>11</v>
      </c>
      <c r="D13" s="3"/>
    </row>
    <row r="14" ht="12.75" customHeight="1">
      <c r="A14" s="8" t="s">
        <v>17</v>
      </c>
      <c r="B14" s="9">
        <v>5.0</v>
      </c>
      <c r="C14" s="3" t="s">
        <v>11</v>
      </c>
      <c r="D14" s="3"/>
    </row>
    <row r="15" ht="14.25" customHeight="1">
      <c r="A15" s="8" t="s">
        <v>18</v>
      </c>
      <c r="B15" s="11">
        <v>0.06</v>
      </c>
      <c r="D15" s="3"/>
    </row>
    <row r="16" ht="12.75" customHeight="1">
      <c r="A16" s="3"/>
      <c r="D16" s="3"/>
    </row>
    <row r="17" ht="14.25" customHeight="1">
      <c r="A17" s="5" t="s">
        <v>19</v>
      </c>
      <c r="B17" s="13" t="s">
        <v>20</v>
      </c>
      <c r="C17" s="14"/>
      <c r="D17" s="14"/>
      <c r="E17" s="14"/>
      <c r="F17" s="14"/>
      <c r="G17" s="15"/>
    </row>
    <row r="18" ht="14.25" customHeight="1">
      <c r="A18" s="3"/>
      <c r="D18" s="3"/>
    </row>
    <row r="19" ht="12.75" customHeight="1">
      <c r="A19" s="5" t="s">
        <v>21</v>
      </c>
      <c r="B19" s="19">
        <v>4500.0</v>
      </c>
      <c r="C19" s="3" t="s">
        <v>24</v>
      </c>
      <c r="D19" s="3"/>
    </row>
    <row r="20" ht="14.25" customHeight="1">
      <c r="A20" s="5" t="s">
        <v>25</v>
      </c>
      <c r="B20" s="19">
        <v>3000.0</v>
      </c>
      <c r="C20" s="3" t="s">
        <v>26</v>
      </c>
      <c r="D20" s="21" t="str">
        <f>B19*B20</f>
        <v>$13,500,000.00</v>
      </c>
    </row>
    <row r="21" ht="12.75" customHeight="1">
      <c r="A21" s="3"/>
      <c r="D21" s="3"/>
    </row>
    <row r="22" ht="12.75" customHeight="1">
      <c r="A22" s="5" t="s">
        <v>27</v>
      </c>
      <c r="D22" s="3"/>
    </row>
    <row r="23" ht="12.75" customHeight="1">
      <c r="A23" s="5" t="s">
        <v>28</v>
      </c>
      <c r="B23" s="19">
        <v>9.0</v>
      </c>
      <c r="C23" s="3" t="s">
        <v>29</v>
      </c>
      <c r="D23" s="25">
        <v>12000.0</v>
      </c>
      <c r="E23" s="27" t="str">
        <f t="shared" ref="E23:E25" si="1">D23*B23</f>
        <v>$108,000.00</v>
      </c>
    </row>
    <row r="24" ht="12.75" customHeight="1">
      <c r="A24" s="5" t="s">
        <v>37</v>
      </c>
      <c r="B24" s="19">
        <v>7.0</v>
      </c>
      <c r="C24" s="3" t="s">
        <v>29</v>
      </c>
      <c r="D24" s="34">
        <v>10000.0</v>
      </c>
      <c r="E24" s="27" t="str">
        <f t="shared" si="1"/>
        <v>$70,000.00</v>
      </c>
    </row>
    <row r="25" ht="12.75" customHeight="1">
      <c r="A25" s="5" t="s">
        <v>43</v>
      </c>
      <c r="B25" s="19">
        <v>8.0</v>
      </c>
      <c r="C25" s="3" t="s">
        <v>29</v>
      </c>
      <c r="D25" s="34">
        <v>10000.0</v>
      </c>
      <c r="E25" s="27" t="str">
        <f t="shared" si="1"/>
        <v>$80,000.00</v>
      </c>
    </row>
    <row r="26" ht="12.75" customHeight="1">
      <c r="A26" s="3"/>
      <c r="D26" s="3"/>
    </row>
    <row r="27" ht="12.75" customHeight="1">
      <c r="A27" s="5" t="s">
        <v>44</v>
      </c>
      <c r="B27" s="19">
        <v>154.0</v>
      </c>
      <c r="C27" s="3" t="s">
        <v>45</v>
      </c>
      <c r="D27" s="3"/>
    </row>
    <row r="28" ht="14.25" customHeight="1">
      <c r="A28" s="5" t="s">
        <v>46</v>
      </c>
      <c r="B28" s="19">
        <v>12.0</v>
      </c>
      <c r="C28" s="3" t="s">
        <v>47</v>
      </c>
      <c r="D28" s="3"/>
    </row>
    <row r="29" ht="12.75" customHeight="1">
      <c r="A29" s="5" t="s">
        <v>48</v>
      </c>
      <c r="B29" s="19">
        <v>3.0</v>
      </c>
      <c r="C29" s="3" t="s">
        <v>47</v>
      </c>
      <c r="D29" s="3"/>
    </row>
    <row r="30" ht="12.75" customHeight="1">
      <c r="A30" s="3"/>
      <c r="D30" s="3"/>
    </row>
    <row r="31" ht="12.75" customHeight="1">
      <c r="A31" s="3"/>
      <c r="D31" s="3"/>
    </row>
    <row r="32" ht="12.75" customHeight="1">
      <c r="A32" s="5" t="s">
        <v>49</v>
      </c>
      <c r="B32" s="19">
        <v>15.0</v>
      </c>
      <c r="C32" s="3" t="s">
        <v>50</v>
      </c>
      <c r="D32" s="19">
        <v>1.0</v>
      </c>
      <c r="E32" s="3" t="s">
        <v>51</v>
      </c>
    </row>
    <row r="33" ht="12.75" customHeight="1">
      <c r="A33" s="36"/>
      <c r="D33" s="3"/>
    </row>
    <row r="34" ht="14.25" customHeight="1">
      <c r="A34" s="36"/>
      <c r="D34" s="3"/>
    </row>
    <row r="35" ht="12.75" customHeight="1">
      <c r="A35" s="5" t="s">
        <v>54</v>
      </c>
      <c r="B35" s="40">
        <v>0.21</v>
      </c>
      <c r="C35" s="3" t="s">
        <v>59</v>
      </c>
      <c r="D35" s="3"/>
      <c r="G35" s="7" t="s">
        <v>60</v>
      </c>
    </row>
    <row r="36" ht="12.75" customHeight="1">
      <c r="A36" s="5" t="s">
        <v>61</v>
      </c>
      <c r="B36" s="42"/>
      <c r="C36" s="43"/>
      <c r="D36" s="45"/>
    </row>
    <row r="37" ht="12.75" customHeight="1">
      <c r="A37" s="5" t="s">
        <v>63</v>
      </c>
      <c r="B37" s="47"/>
      <c r="D37" s="3"/>
    </row>
    <row r="38" ht="14.25" customHeight="1">
      <c r="A38" s="5"/>
      <c r="D38" s="3"/>
    </row>
    <row r="39" ht="12.75" customHeight="1">
      <c r="A39" s="5" t="s">
        <v>64</v>
      </c>
      <c r="B39" s="54"/>
      <c r="D39" s="3"/>
    </row>
    <row r="40" ht="12.75" customHeight="1">
      <c r="A40" s="5" t="s">
        <v>74</v>
      </c>
      <c r="B40" s="54"/>
      <c r="D40" s="3"/>
    </row>
    <row r="41" ht="12.75" customHeight="1">
      <c r="A41" s="5" t="s">
        <v>75</v>
      </c>
      <c r="B41" s="54"/>
      <c r="C41" s="3" t="s">
        <v>59</v>
      </c>
      <c r="D41" s="3"/>
      <c r="J41" t="str">
        <f>150*5000000/10000</f>
        <v>75000</v>
      </c>
    </row>
    <row r="42" ht="12.75" customHeight="1">
      <c r="A42" s="3"/>
      <c r="D42" s="3"/>
    </row>
    <row r="43" ht="12.75" customHeight="1">
      <c r="A43" s="3"/>
      <c r="D43" s="3"/>
    </row>
    <row r="44" ht="12.75" customHeight="1">
      <c r="A44" s="3"/>
      <c r="D44" s="3"/>
    </row>
    <row r="45" ht="12.75" customHeight="1">
      <c r="A45" s="3"/>
      <c r="D45" s="3"/>
    </row>
    <row r="46" ht="12.75" customHeight="1">
      <c r="A46" s="3"/>
      <c r="D46" s="3"/>
    </row>
    <row r="47" ht="12.75" customHeight="1">
      <c r="A47" s="3"/>
      <c r="D47" s="3"/>
    </row>
    <row r="48" ht="12.75" customHeight="1">
      <c r="A48" s="3"/>
      <c r="D48" s="3"/>
    </row>
    <row r="49" ht="12.75" customHeight="1">
      <c r="A49" s="3"/>
      <c r="D49" s="3"/>
    </row>
    <row r="50" ht="12.75" customHeight="1">
      <c r="A50" s="3"/>
      <c r="D50" s="3"/>
    </row>
    <row r="51" ht="12.75" customHeight="1">
      <c r="A51" s="3"/>
      <c r="D51" s="3"/>
    </row>
    <row r="52" ht="12.75" customHeight="1">
      <c r="A52" s="3"/>
      <c r="D52" s="3"/>
    </row>
    <row r="53" ht="12.75" customHeight="1">
      <c r="A53" s="3"/>
      <c r="D53" s="3"/>
    </row>
    <row r="54" ht="12.75" customHeight="1">
      <c r="A54" s="3"/>
      <c r="D54" s="3"/>
    </row>
    <row r="55" ht="12.75" customHeight="1">
      <c r="A55" s="3"/>
      <c r="D55" s="3"/>
    </row>
    <row r="56" ht="12.75" customHeight="1">
      <c r="A56" s="3"/>
      <c r="D56" s="3"/>
    </row>
    <row r="57" ht="12.75" customHeight="1">
      <c r="A57" s="3"/>
      <c r="D57" s="3"/>
    </row>
    <row r="58" ht="12.75" customHeight="1">
      <c r="A58" s="3"/>
      <c r="D58" s="3"/>
    </row>
    <row r="59" ht="12.75" customHeight="1">
      <c r="A59" s="3"/>
      <c r="D59" s="3"/>
    </row>
    <row r="60" ht="12.75" customHeight="1">
      <c r="A60" s="3"/>
      <c r="D60" s="3"/>
    </row>
    <row r="61" ht="12.75" customHeight="1">
      <c r="A61" s="3"/>
      <c r="D61" s="3"/>
    </row>
    <row r="62" ht="12.75" customHeight="1">
      <c r="A62" s="3"/>
      <c r="D62" s="3"/>
    </row>
    <row r="63" ht="12.75" customHeight="1">
      <c r="A63" s="3"/>
      <c r="D63" s="3"/>
    </row>
    <row r="64" ht="12.75" customHeight="1">
      <c r="A64" s="3"/>
      <c r="D64" s="3"/>
    </row>
    <row r="65" ht="12.75" customHeight="1">
      <c r="A65" s="3"/>
      <c r="D65" s="3"/>
    </row>
    <row r="66" ht="12.75" customHeight="1">
      <c r="A66" s="3"/>
      <c r="D66" s="3"/>
    </row>
    <row r="67" ht="12.75" customHeight="1">
      <c r="A67" s="3"/>
      <c r="D67" s="3"/>
    </row>
    <row r="68" ht="12.75" customHeight="1">
      <c r="A68" s="3"/>
      <c r="D68" s="3"/>
    </row>
    <row r="69" ht="12.75" customHeight="1">
      <c r="A69" s="3"/>
      <c r="D69" s="3"/>
    </row>
    <row r="70" ht="12.75" customHeight="1">
      <c r="A70" s="3"/>
      <c r="D70" s="3"/>
    </row>
    <row r="71" ht="12.75" customHeight="1">
      <c r="A71" s="3"/>
      <c r="D71" s="3"/>
    </row>
    <row r="72" ht="12.75" customHeight="1">
      <c r="A72" s="3"/>
      <c r="D72" s="3"/>
    </row>
    <row r="73" ht="12.75" customHeight="1">
      <c r="A73" s="3"/>
      <c r="D73" s="3"/>
    </row>
    <row r="74" ht="12.75" customHeight="1">
      <c r="A74" s="3"/>
      <c r="D74" s="3"/>
    </row>
    <row r="75" ht="12.75" customHeight="1">
      <c r="A75" s="3"/>
      <c r="D75" s="3"/>
    </row>
    <row r="76" ht="12.75" customHeight="1">
      <c r="A76" s="3"/>
      <c r="D76" s="3"/>
    </row>
    <row r="77" ht="12.75" customHeight="1">
      <c r="A77" s="3"/>
      <c r="D77" s="3"/>
    </row>
    <row r="78" ht="14.25" customHeight="1">
      <c r="A78" s="3"/>
      <c r="D78" s="3"/>
    </row>
    <row r="79" ht="12.75" customHeight="1">
      <c r="A79" s="3"/>
      <c r="D79" s="3"/>
    </row>
    <row r="80" ht="12.75" customHeight="1">
      <c r="A80" s="3"/>
      <c r="D80" s="3"/>
    </row>
    <row r="81" ht="12.75" customHeight="1">
      <c r="A81" s="3"/>
      <c r="D81" s="3"/>
    </row>
    <row r="82" ht="12.75" customHeight="1">
      <c r="A82" s="3"/>
      <c r="D82" s="3"/>
    </row>
    <row r="83" ht="12.75" customHeight="1">
      <c r="A83" s="3"/>
      <c r="D83" s="3"/>
    </row>
    <row r="84" ht="12.75" customHeight="1">
      <c r="A84" s="3"/>
      <c r="D84" s="3"/>
    </row>
    <row r="85" ht="12.75" customHeight="1">
      <c r="A85" s="3"/>
      <c r="D85" s="3"/>
    </row>
    <row r="86" ht="12.75" customHeight="1">
      <c r="A86" s="3"/>
      <c r="D86" s="3"/>
    </row>
    <row r="87" ht="12.75" customHeight="1">
      <c r="A87" s="3"/>
      <c r="D87" s="3"/>
    </row>
    <row r="88" ht="12.75" customHeight="1">
      <c r="A88" s="3"/>
      <c r="D88" s="3"/>
    </row>
    <row r="89" ht="12.75" customHeight="1">
      <c r="A89" s="3"/>
      <c r="D89" s="3"/>
    </row>
    <row r="90" ht="12.75" customHeight="1">
      <c r="A90" s="3"/>
      <c r="D90" s="3"/>
    </row>
    <row r="91" ht="12.75" customHeight="1">
      <c r="A91" s="3"/>
      <c r="D91" s="3"/>
    </row>
    <row r="92" ht="12.75" customHeight="1">
      <c r="A92" s="3"/>
      <c r="D92" s="3"/>
    </row>
    <row r="93" ht="12.75" customHeight="1">
      <c r="A93" s="3"/>
      <c r="D93" s="3"/>
    </row>
    <row r="94" ht="12.75" customHeight="1">
      <c r="A94" s="3"/>
      <c r="D94" s="3"/>
    </row>
    <row r="95" ht="12.75" customHeight="1">
      <c r="A95" s="3"/>
      <c r="D95" s="3"/>
    </row>
    <row r="96" ht="12.75" customHeight="1">
      <c r="A96" s="3"/>
      <c r="D96" s="3"/>
    </row>
    <row r="97" ht="12.75" customHeight="1">
      <c r="A97" s="3"/>
      <c r="D97" s="3"/>
    </row>
    <row r="98" ht="12.75" customHeight="1">
      <c r="A98" s="3"/>
      <c r="D98" s="3"/>
    </row>
    <row r="99" ht="12.75" customHeight="1">
      <c r="A99" s="3"/>
      <c r="D99" s="3"/>
    </row>
    <row r="100" ht="12.75" customHeight="1">
      <c r="A100" s="3"/>
      <c r="D100" s="3"/>
    </row>
    <row r="101" ht="12.75" customHeight="1">
      <c r="A101" s="3"/>
      <c r="D101" s="3"/>
    </row>
    <row r="102" ht="12.75" customHeight="1">
      <c r="A102" s="3"/>
      <c r="D102" s="3"/>
    </row>
    <row r="103" ht="12.75" customHeight="1">
      <c r="A103" s="3"/>
      <c r="D103" s="3"/>
    </row>
    <row r="104" ht="12.75" customHeight="1">
      <c r="A104" s="3"/>
      <c r="D104" s="3"/>
    </row>
    <row r="105" ht="12.75" customHeight="1">
      <c r="A105" s="3"/>
      <c r="D105" s="3"/>
    </row>
    <row r="106" ht="12.75" customHeight="1">
      <c r="A106" s="3"/>
      <c r="D106" s="3"/>
    </row>
    <row r="107" ht="12.75" customHeight="1">
      <c r="A107" s="3"/>
      <c r="D107" s="3"/>
    </row>
    <row r="108" ht="12.75" customHeight="1">
      <c r="A108" s="3"/>
      <c r="D108" s="3"/>
    </row>
    <row r="109" ht="12.75" customHeight="1">
      <c r="A109" s="3"/>
      <c r="D109" s="3"/>
    </row>
    <row r="110" ht="12.75" customHeight="1">
      <c r="A110" s="3"/>
      <c r="D110" s="3"/>
    </row>
    <row r="111" ht="12.75" customHeight="1">
      <c r="A111" s="3"/>
      <c r="D111" s="3"/>
    </row>
    <row r="112" ht="12.75" customHeight="1">
      <c r="A112" s="3"/>
      <c r="D112" s="3"/>
    </row>
    <row r="113" ht="12.75" customHeight="1">
      <c r="A113" s="3"/>
      <c r="D113" s="3"/>
    </row>
    <row r="114" ht="12.75" customHeight="1">
      <c r="A114" s="3"/>
      <c r="D114" s="3"/>
    </row>
    <row r="115" ht="12.75" customHeight="1">
      <c r="A115" s="3"/>
      <c r="D115" s="3"/>
    </row>
    <row r="116" ht="12.75" customHeight="1">
      <c r="A116" s="3"/>
      <c r="D116" s="3"/>
    </row>
    <row r="117" ht="12.75" customHeight="1">
      <c r="A117" s="3"/>
      <c r="D117" s="3"/>
    </row>
    <row r="118" ht="12.75" customHeight="1">
      <c r="A118" s="3"/>
      <c r="D118" s="3"/>
    </row>
    <row r="119" ht="12.75" customHeight="1">
      <c r="A119" s="3"/>
      <c r="D119" s="3"/>
    </row>
    <row r="120" ht="12.75" customHeight="1">
      <c r="A120" s="3"/>
      <c r="D120" s="3"/>
    </row>
    <row r="121" ht="12.75" customHeight="1">
      <c r="A121" s="3"/>
      <c r="D121" s="3"/>
    </row>
    <row r="122" ht="12.75" customHeight="1">
      <c r="A122" s="3"/>
      <c r="D122" s="3"/>
    </row>
    <row r="123" ht="12.75" customHeight="1">
      <c r="A123" s="3"/>
      <c r="D123" s="3"/>
    </row>
    <row r="124" ht="12.75" customHeight="1">
      <c r="A124" s="3"/>
      <c r="D124" s="3"/>
    </row>
    <row r="125" ht="12.75" customHeight="1">
      <c r="A125" s="3"/>
      <c r="D125" s="3"/>
    </row>
    <row r="126" ht="12.75" customHeight="1">
      <c r="A126" s="3"/>
      <c r="D126" s="3"/>
    </row>
    <row r="127" ht="12.75" customHeight="1">
      <c r="A127" s="3"/>
      <c r="D127" s="3"/>
    </row>
    <row r="128" ht="12.75" customHeight="1">
      <c r="A128" s="3"/>
      <c r="D128" s="3"/>
    </row>
    <row r="129" ht="12.75" customHeight="1">
      <c r="A129" s="3"/>
      <c r="D129" s="3"/>
    </row>
    <row r="130" ht="12.75" customHeight="1">
      <c r="A130" s="3"/>
      <c r="D130" s="3"/>
    </row>
    <row r="131" ht="12.75" customHeight="1">
      <c r="A131" s="3"/>
      <c r="D131" s="3"/>
    </row>
    <row r="132" ht="12.75" customHeight="1">
      <c r="A132" s="3"/>
      <c r="D132" s="3"/>
    </row>
    <row r="133" ht="12.75" customHeight="1">
      <c r="A133" s="3"/>
      <c r="D133" s="3"/>
    </row>
    <row r="134" ht="12.75" customHeight="1">
      <c r="A134" s="3"/>
      <c r="D134" s="3"/>
    </row>
    <row r="135" ht="12.75" customHeight="1">
      <c r="A135" s="3"/>
      <c r="D135" s="3"/>
    </row>
    <row r="136" ht="12.75" customHeight="1">
      <c r="A136" s="3"/>
      <c r="D136" s="3"/>
    </row>
    <row r="137" ht="12.75" customHeight="1">
      <c r="A137" s="3"/>
      <c r="D137" s="3"/>
    </row>
    <row r="138" ht="12.75" customHeight="1">
      <c r="A138" s="3"/>
      <c r="D138" s="3"/>
    </row>
    <row r="139" ht="12.75" customHeight="1">
      <c r="A139" s="3"/>
      <c r="D139" s="3"/>
    </row>
    <row r="140" ht="12.75" customHeight="1">
      <c r="A140" s="3"/>
      <c r="D140" s="3"/>
    </row>
    <row r="141" ht="12.75" customHeight="1">
      <c r="A141" s="3"/>
      <c r="D141" s="3"/>
    </row>
    <row r="142" ht="12.75" customHeight="1">
      <c r="A142" s="3"/>
      <c r="D142" s="3"/>
    </row>
    <row r="143" ht="12.75" customHeight="1">
      <c r="A143" s="3"/>
      <c r="D143" s="3"/>
    </row>
    <row r="144" ht="12.75" customHeight="1">
      <c r="A144" s="3"/>
      <c r="D144" s="3"/>
    </row>
    <row r="145" ht="12.75" customHeight="1">
      <c r="A145" s="3"/>
      <c r="D145" s="3"/>
    </row>
    <row r="146" ht="12.75" customHeight="1">
      <c r="A146" s="3"/>
      <c r="D146" s="3"/>
    </row>
    <row r="147" ht="12.75" customHeight="1">
      <c r="A147" s="3"/>
      <c r="D147" s="3"/>
    </row>
    <row r="148" ht="12.75" customHeight="1">
      <c r="A148" s="3"/>
      <c r="D148" s="3"/>
    </row>
    <row r="149" ht="12.75" customHeight="1">
      <c r="A149" s="3"/>
      <c r="D149" s="3"/>
    </row>
    <row r="150" ht="12.75" customHeight="1">
      <c r="A150" s="3"/>
      <c r="D150" s="3"/>
    </row>
    <row r="151" ht="12.75" customHeight="1">
      <c r="A151" s="3"/>
      <c r="D151" s="3"/>
    </row>
    <row r="152" ht="12.75" customHeight="1">
      <c r="A152" s="3"/>
      <c r="D152" s="3"/>
    </row>
    <row r="153" ht="12.75" customHeight="1">
      <c r="A153" s="3"/>
      <c r="D153" s="3"/>
    </row>
    <row r="154" ht="12.75" customHeight="1">
      <c r="A154" s="3"/>
      <c r="D154" s="3"/>
    </row>
    <row r="155" ht="12.75" customHeight="1">
      <c r="A155" s="3"/>
      <c r="D155" s="3"/>
    </row>
    <row r="156" ht="12.75" customHeight="1">
      <c r="A156" s="3"/>
      <c r="D156" s="3"/>
    </row>
    <row r="157" ht="12.75" customHeight="1">
      <c r="A157" s="3"/>
      <c r="D157" s="3"/>
    </row>
    <row r="158" ht="12.75" customHeight="1">
      <c r="A158" s="3"/>
      <c r="D158" s="3"/>
    </row>
    <row r="159" ht="12.75" customHeight="1">
      <c r="A159" s="3"/>
      <c r="D159" s="3"/>
    </row>
    <row r="160" ht="12.75" customHeight="1">
      <c r="A160" s="3"/>
      <c r="D160" s="3"/>
    </row>
    <row r="161" ht="12.75" customHeight="1">
      <c r="A161" s="3"/>
      <c r="D161" s="3"/>
    </row>
    <row r="162" ht="12.75" customHeight="1">
      <c r="A162" s="3"/>
      <c r="D162" s="3"/>
    </row>
    <row r="163" ht="12.75" customHeight="1">
      <c r="A163" s="3"/>
      <c r="D163" s="3"/>
    </row>
    <row r="164" ht="12.75" customHeight="1">
      <c r="A164" s="3"/>
      <c r="D164" s="3"/>
    </row>
    <row r="165" ht="12.75" customHeight="1">
      <c r="A165" s="3"/>
      <c r="D165" s="3"/>
    </row>
    <row r="166" ht="12.75" customHeight="1">
      <c r="A166" s="3"/>
      <c r="D166" s="3"/>
    </row>
    <row r="167" ht="12.75" customHeight="1">
      <c r="A167" s="3"/>
      <c r="D167" s="3"/>
    </row>
    <row r="168" ht="12.75" customHeight="1">
      <c r="A168" s="3"/>
      <c r="D168" s="3"/>
    </row>
    <row r="169" ht="12.75" customHeight="1">
      <c r="A169" s="3"/>
      <c r="D169" s="3"/>
    </row>
    <row r="170" ht="12.75" customHeight="1">
      <c r="A170" s="3"/>
      <c r="D170" s="3"/>
    </row>
    <row r="171" ht="12.75" customHeight="1">
      <c r="A171" s="3"/>
      <c r="D171" s="3"/>
    </row>
    <row r="172" ht="12.75" customHeight="1">
      <c r="A172" s="3"/>
      <c r="D172" s="3"/>
    </row>
    <row r="173" ht="12.75" customHeight="1">
      <c r="A173" s="3"/>
      <c r="D173" s="3"/>
    </row>
    <row r="174" ht="12.75" customHeight="1">
      <c r="A174" s="3"/>
      <c r="D174" s="3"/>
    </row>
    <row r="175" ht="12.75" customHeight="1">
      <c r="A175" s="3"/>
      <c r="D175" s="3"/>
    </row>
    <row r="176" ht="12.75" customHeight="1">
      <c r="A176" s="3"/>
      <c r="D176" s="3"/>
    </row>
    <row r="177" ht="12.75" customHeight="1">
      <c r="A177" s="3"/>
      <c r="D177" s="3"/>
    </row>
    <row r="178" ht="12.75" customHeight="1">
      <c r="A178" s="3"/>
      <c r="D178" s="3"/>
    </row>
    <row r="179" ht="12.75" customHeight="1">
      <c r="A179" s="3"/>
      <c r="D179" s="3"/>
    </row>
    <row r="180" ht="12.75" customHeight="1">
      <c r="A180" s="3"/>
      <c r="D180" s="3"/>
    </row>
    <row r="181" ht="12.75" customHeight="1">
      <c r="A181" s="3"/>
      <c r="D181" s="3"/>
    </row>
    <row r="182" ht="12.75" customHeight="1">
      <c r="A182" s="3"/>
      <c r="D182" s="3"/>
    </row>
    <row r="183" ht="12.75" customHeight="1">
      <c r="A183" s="3"/>
      <c r="D183" s="3"/>
    </row>
    <row r="184" ht="12.75" customHeight="1">
      <c r="A184" s="3"/>
      <c r="D184" s="3"/>
    </row>
    <row r="185" ht="12.75" customHeight="1">
      <c r="A185" s="3"/>
      <c r="D185" s="3"/>
    </row>
    <row r="186" ht="12.75" customHeight="1">
      <c r="A186" s="3"/>
      <c r="D186" s="3"/>
    </row>
    <row r="187" ht="12.75" customHeight="1">
      <c r="A187" s="3"/>
      <c r="D187" s="3"/>
    </row>
    <row r="188" ht="12.75" customHeight="1">
      <c r="A188" s="3"/>
      <c r="D188" s="3"/>
    </row>
    <row r="189" ht="12.75" customHeight="1">
      <c r="A189" s="3"/>
      <c r="D189" s="3"/>
    </row>
    <row r="190" ht="12.75" customHeight="1">
      <c r="A190" s="3"/>
      <c r="D190" s="3"/>
    </row>
    <row r="191" ht="12.75" customHeight="1">
      <c r="A191" s="3"/>
      <c r="D191" s="3"/>
    </row>
    <row r="192" ht="12.75" customHeight="1">
      <c r="A192" s="3"/>
      <c r="D192" s="3"/>
    </row>
    <row r="193" ht="12.75" customHeight="1">
      <c r="A193" s="3"/>
      <c r="D193" s="3"/>
    </row>
    <row r="194" ht="12.75" customHeight="1">
      <c r="A194" s="3"/>
      <c r="D194" s="3"/>
    </row>
    <row r="195" ht="12.75" customHeight="1">
      <c r="A195" s="3"/>
      <c r="D195" s="3"/>
    </row>
    <row r="196" ht="12.75" customHeight="1">
      <c r="A196" s="3"/>
      <c r="D196" s="3"/>
    </row>
    <row r="197" ht="12.75" customHeight="1">
      <c r="A197" s="3"/>
      <c r="D197" s="3"/>
    </row>
    <row r="198" ht="12.75" customHeight="1">
      <c r="A198" s="3"/>
      <c r="D198" s="3"/>
    </row>
    <row r="199" ht="12.75" customHeight="1">
      <c r="A199" s="3"/>
      <c r="D199" s="3"/>
    </row>
    <row r="200" ht="12.75" customHeight="1">
      <c r="A200" s="3"/>
      <c r="D200" s="3"/>
    </row>
    <row r="201" ht="12.75" customHeight="1">
      <c r="A201" s="3"/>
      <c r="D201" s="3"/>
    </row>
    <row r="202" ht="12.75" customHeight="1">
      <c r="A202" s="3"/>
      <c r="D202" s="3"/>
    </row>
    <row r="203" ht="12.75" customHeight="1">
      <c r="A203" s="3"/>
      <c r="D203" s="3"/>
    </row>
    <row r="204" ht="12.75" customHeight="1">
      <c r="A204" s="3"/>
      <c r="D204" s="3"/>
    </row>
    <row r="205" ht="12.75" customHeight="1">
      <c r="A205" s="3"/>
      <c r="D205" s="3"/>
    </row>
    <row r="206" ht="12.75" customHeight="1">
      <c r="A206" s="3"/>
      <c r="D206" s="3"/>
    </row>
    <row r="207" ht="12.75" customHeight="1">
      <c r="A207" s="3"/>
      <c r="D207" s="3"/>
    </row>
    <row r="208" ht="12.75" customHeight="1">
      <c r="A208" s="3"/>
      <c r="D208" s="3"/>
    </row>
    <row r="209" ht="12.75" customHeight="1">
      <c r="A209" s="3"/>
      <c r="D209" s="3"/>
    </row>
    <row r="210" ht="12.75" customHeight="1">
      <c r="A210" s="3"/>
      <c r="D210" s="3"/>
    </row>
    <row r="211" ht="12.75" customHeight="1">
      <c r="A211" s="3"/>
      <c r="D211" s="3"/>
    </row>
    <row r="212" ht="12.75" customHeight="1">
      <c r="A212" s="3"/>
      <c r="D212" s="3"/>
    </row>
    <row r="213" ht="12.75" customHeight="1">
      <c r="A213" s="3"/>
      <c r="D213" s="3"/>
    </row>
    <row r="214" ht="12.75" customHeight="1">
      <c r="A214" s="3"/>
      <c r="D214" s="3"/>
    </row>
    <row r="215" ht="12.75" customHeight="1">
      <c r="A215" s="3"/>
      <c r="D215" s="3"/>
    </row>
    <row r="216" ht="12.75" customHeight="1">
      <c r="A216" s="3"/>
      <c r="D216" s="3"/>
    </row>
    <row r="217" ht="12.75" customHeight="1">
      <c r="A217" s="3"/>
      <c r="D217" s="3"/>
    </row>
    <row r="218" ht="12.75" customHeight="1">
      <c r="A218" s="3"/>
      <c r="D218" s="3"/>
    </row>
    <row r="219" ht="12.75" customHeight="1">
      <c r="A219" s="3"/>
      <c r="D219" s="3"/>
    </row>
    <row r="220" ht="12.75" customHeight="1">
      <c r="A220" s="3"/>
      <c r="D220" s="3"/>
    </row>
    <row r="221" ht="12.75" customHeight="1">
      <c r="A221" s="3"/>
      <c r="D221" s="3"/>
    </row>
    <row r="222" ht="12.75" customHeight="1">
      <c r="A222" s="3"/>
      <c r="D222" s="3"/>
    </row>
    <row r="223" ht="12.75" customHeight="1">
      <c r="A223" s="3"/>
      <c r="D223" s="3"/>
    </row>
    <row r="224" ht="12.75" customHeight="1">
      <c r="A224" s="3"/>
      <c r="D224" s="3"/>
    </row>
    <row r="225" ht="12.75" customHeight="1">
      <c r="A225" s="3"/>
      <c r="D225" s="3"/>
    </row>
    <row r="226" ht="12.75" customHeight="1">
      <c r="A226" s="3"/>
      <c r="D226" s="3"/>
    </row>
    <row r="227" ht="12.75" customHeight="1">
      <c r="A227" s="3"/>
      <c r="D227" s="3"/>
    </row>
    <row r="228" ht="12.75" customHeight="1">
      <c r="A228" s="3"/>
      <c r="D228" s="3"/>
    </row>
    <row r="229" ht="12.75" customHeight="1">
      <c r="A229" s="3"/>
      <c r="D229" s="3"/>
    </row>
    <row r="230" ht="12.75" customHeight="1">
      <c r="A230" s="3"/>
      <c r="D230" s="3"/>
    </row>
    <row r="231" ht="12.75" customHeight="1">
      <c r="A231" s="3"/>
      <c r="D231" s="3"/>
    </row>
    <row r="232" ht="12.75" customHeight="1">
      <c r="A232" s="3"/>
      <c r="D232" s="3"/>
    </row>
    <row r="233" ht="12.75" customHeight="1">
      <c r="A233" s="3"/>
      <c r="D233" s="3"/>
    </row>
    <row r="234" ht="12.75" customHeight="1">
      <c r="A234" s="3"/>
      <c r="D234" s="3"/>
    </row>
    <row r="235" ht="12.75" customHeight="1">
      <c r="A235" s="3"/>
      <c r="D235" s="3"/>
    </row>
    <row r="236" ht="12.75" customHeight="1">
      <c r="A236" s="3"/>
      <c r="D236" s="3"/>
    </row>
    <row r="237" ht="12.75" customHeight="1">
      <c r="A237" s="3"/>
      <c r="D237" s="3"/>
    </row>
    <row r="238" ht="12.75" customHeight="1">
      <c r="A238" s="3"/>
      <c r="D238" s="3"/>
    </row>
    <row r="239" ht="12.75" customHeight="1">
      <c r="A239" s="3"/>
      <c r="D239" s="3"/>
    </row>
    <row r="240" ht="12.75" customHeight="1">
      <c r="A240" s="3"/>
      <c r="D240" s="3"/>
    </row>
    <row r="241" ht="12.75" customHeight="1">
      <c r="A241" s="3"/>
      <c r="D241" s="3"/>
    </row>
    <row r="242" ht="12.75" customHeight="1">
      <c r="A242" s="3"/>
      <c r="D242" s="3"/>
    </row>
    <row r="243" ht="12.75" customHeight="1">
      <c r="A243" s="3"/>
      <c r="D243" s="3"/>
    </row>
    <row r="244" ht="12.75" customHeight="1">
      <c r="A244" s="3"/>
      <c r="D244" s="3"/>
    </row>
    <row r="245" ht="12.75" customHeight="1">
      <c r="A245" s="3"/>
      <c r="D245" s="3"/>
    </row>
    <row r="246" ht="12.75" customHeight="1">
      <c r="A246" s="3"/>
      <c r="D246" s="3"/>
    </row>
    <row r="247" ht="12.75" customHeight="1">
      <c r="A247" s="3"/>
      <c r="D247" s="3"/>
    </row>
    <row r="248" ht="12.75" customHeight="1">
      <c r="A248" s="3"/>
      <c r="D248" s="3"/>
    </row>
    <row r="249" ht="12.75" customHeight="1">
      <c r="A249" s="3"/>
      <c r="D249" s="3"/>
    </row>
    <row r="250" ht="12.75" customHeight="1">
      <c r="A250" s="3"/>
      <c r="D250" s="3"/>
    </row>
    <row r="251" ht="12.75" customHeight="1">
      <c r="A251" s="3"/>
      <c r="D251" s="3"/>
    </row>
    <row r="252" ht="12.75" customHeight="1">
      <c r="A252" s="3"/>
      <c r="D252" s="3"/>
    </row>
    <row r="253" ht="12.75" customHeight="1">
      <c r="A253" s="3"/>
      <c r="D253" s="3"/>
    </row>
    <row r="254" ht="12.75" customHeight="1">
      <c r="A254" s="3"/>
      <c r="D254" s="3"/>
    </row>
    <row r="255" ht="12.75" customHeight="1">
      <c r="A255" s="3"/>
      <c r="D255" s="3"/>
    </row>
    <row r="256" ht="12.75" customHeight="1">
      <c r="A256" s="3"/>
      <c r="D256" s="3"/>
    </row>
    <row r="257" ht="12.75" customHeight="1">
      <c r="A257" s="3"/>
      <c r="D257" s="3"/>
    </row>
    <row r="258" ht="12.75" customHeight="1">
      <c r="A258" s="3"/>
      <c r="D258" s="3"/>
    </row>
    <row r="259" ht="12.75" customHeight="1">
      <c r="A259" s="3"/>
      <c r="D259" s="3"/>
    </row>
    <row r="260" ht="12.75" customHeight="1">
      <c r="A260" s="3"/>
      <c r="D260" s="3"/>
    </row>
    <row r="261" ht="12.75" customHeight="1">
      <c r="A261" s="3"/>
      <c r="D261" s="3"/>
    </row>
    <row r="262" ht="12.75" customHeight="1">
      <c r="A262" s="3"/>
      <c r="D262" s="3"/>
    </row>
    <row r="263" ht="12.75" customHeight="1">
      <c r="A263" s="3"/>
      <c r="D263" s="3"/>
    </row>
    <row r="264" ht="12.75" customHeight="1">
      <c r="A264" s="3"/>
      <c r="D264" s="3"/>
    </row>
    <row r="265" ht="12.75" customHeight="1">
      <c r="A265" s="3"/>
      <c r="D265" s="3"/>
    </row>
    <row r="266" ht="12.75" customHeight="1">
      <c r="A266" s="3"/>
      <c r="D266" s="3"/>
    </row>
    <row r="267" ht="12.75" customHeight="1">
      <c r="A267" s="3"/>
      <c r="D267" s="3"/>
    </row>
    <row r="268" ht="12.75" customHeight="1">
      <c r="A268" s="3"/>
      <c r="D268" s="3"/>
    </row>
    <row r="269" ht="12.75" customHeight="1">
      <c r="A269" s="3"/>
      <c r="D269" s="3"/>
    </row>
    <row r="270" ht="12.75" customHeight="1">
      <c r="A270" s="3"/>
      <c r="D270" s="3"/>
    </row>
    <row r="271" ht="12.75" customHeight="1">
      <c r="A271" s="3"/>
      <c r="D271" s="3"/>
    </row>
    <row r="272" ht="12.75" customHeight="1">
      <c r="A272" s="3"/>
      <c r="D272" s="3"/>
    </row>
    <row r="273" ht="12.75" customHeight="1">
      <c r="A273" s="3"/>
      <c r="D273" s="3"/>
    </row>
    <row r="274" ht="12.75" customHeight="1">
      <c r="A274" s="3"/>
      <c r="D274" s="3"/>
    </row>
    <row r="275" ht="12.75" customHeight="1">
      <c r="A275" s="3"/>
      <c r="D275" s="3"/>
    </row>
    <row r="276" ht="12.75" customHeight="1">
      <c r="A276" s="3"/>
      <c r="D276" s="3"/>
    </row>
    <row r="277" ht="12.75" customHeight="1">
      <c r="A277" s="3"/>
      <c r="D277" s="3"/>
    </row>
    <row r="278" ht="12.75" customHeight="1">
      <c r="A278" s="3"/>
      <c r="D278" s="3"/>
    </row>
    <row r="279" ht="12.75" customHeight="1">
      <c r="A279" s="3"/>
      <c r="D279" s="3"/>
    </row>
    <row r="280" ht="12.75" customHeight="1">
      <c r="A280" s="3"/>
      <c r="D280" s="3"/>
    </row>
    <row r="281" ht="12.75" customHeight="1">
      <c r="A281" s="3"/>
      <c r="D281" s="3"/>
    </row>
    <row r="282" ht="12.75" customHeight="1">
      <c r="A282" s="3"/>
      <c r="D282" s="3"/>
    </row>
    <row r="283" ht="12.75" customHeight="1">
      <c r="A283" s="3"/>
      <c r="D283" s="3"/>
    </row>
    <row r="284" ht="12.75" customHeight="1">
      <c r="A284" s="3"/>
      <c r="D284" s="3"/>
    </row>
    <row r="285" ht="12.75" customHeight="1">
      <c r="A285" s="3"/>
      <c r="D285" s="3"/>
    </row>
    <row r="286" ht="12.75" customHeight="1">
      <c r="A286" s="3"/>
      <c r="D286" s="3"/>
    </row>
    <row r="287" ht="12.75" customHeight="1">
      <c r="A287" s="3"/>
      <c r="D287" s="3"/>
    </row>
    <row r="288" ht="12.75" customHeight="1">
      <c r="A288" s="3"/>
      <c r="D288" s="3"/>
    </row>
    <row r="289" ht="12.75" customHeight="1">
      <c r="A289" s="3"/>
      <c r="D289" s="3"/>
    </row>
    <row r="290" ht="12.75" customHeight="1">
      <c r="A290" s="3"/>
      <c r="D290" s="3"/>
    </row>
    <row r="291" ht="12.75" customHeight="1">
      <c r="A291" s="3"/>
      <c r="D291" s="3"/>
    </row>
    <row r="292" ht="12.75" customHeight="1">
      <c r="A292" s="3"/>
      <c r="D292" s="3"/>
    </row>
    <row r="293" ht="12.75" customHeight="1">
      <c r="A293" s="3"/>
      <c r="D293" s="3"/>
    </row>
    <row r="294" ht="12.75" customHeight="1">
      <c r="A294" s="3"/>
      <c r="D294" s="3"/>
    </row>
    <row r="295" ht="12.75" customHeight="1">
      <c r="A295" s="3"/>
      <c r="D295" s="3"/>
    </row>
    <row r="296" ht="12.75" customHeight="1">
      <c r="A296" s="3"/>
      <c r="D296" s="3"/>
    </row>
    <row r="297" ht="12.75" customHeight="1">
      <c r="A297" s="3"/>
      <c r="D297" s="3"/>
    </row>
    <row r="298" ht="12.75" customHeight="1">
      <c r="A298" s="3"/>
      <c r="D298" s="3"/>
    </row>
    <row r="299" ht="12.75" customHeight="1">
      <c r="A299" s="3"/>
      <c r="D299" s="3"/>
    </row>
    <row r="300" ht="12.75" customHeight="1">
      <c r="A300" s="3"/>
      <c r="D300" s="3"/>
    </row>
    <row r="301" ht="12.75" customHeight="1">
      <c r="A301" s="3"/>
      <c r="D301" s="3"/>
    </row>
    <row r="302" ht="12.75" customHeight="1">
      <c r="A302" s="3"/>
      <c r="D302" s="3"/>
    </row>
    <row r="303" ht="12.75" customHeight="1">
      <c r="A303" s="3"/>
      <c r="D303" s="3"/>
    </row>
    <row r="304" ht="12.75" customHeight="1">
      <c r="A304" s="3"/>
      <c r="D304" s="3"/>
    </row>
    <row r="305" ht="12.75" customHeight="1">
      <c r="A305" s="3"/>
      <c r="D305" s="3"/>
    </row>
    <row r="306" ht="12.75" customHeight="1">
      <c r="A306" s="3"/>
      <c r="D306" s="3"/>
    </row>
    <row r="307" ht="12.75" customHeight="1">
      <c r="A307" s="3"/>
      <c r="D307" s="3"/>
    </row>
    <row r="308" ht="12.75" customHeight="1">
      <c r="A308" s="3"/>
      <c r="D308" s="3"/>
    </row>
    <row r="309" ht="12.75" customHeight="1">
      <c r="A309" s="3"/>
      <c r="D309" s="3"/>
    </row>
    <row r="310" ht="12.75" customHeight="1">
      <c r="A310" s="3"/>
      <c r="D310" s="3"/>
    </row>
    <row r="311" ht="12.75" customHeight="1">
      <c r="A311" s="3"/>
      <c r="D311" s="3"/>
    </row>
    <row r="312" ht="12.75" customHeight="1">
      <c r="A312" s="3"/>
      <c r="D312" s="3"/>
    </row>
    <row r="313" ht="12.75" customHeight="1">
      <c r="A313" s="3"/>
      <c r="D313" s="3"/>
    </row>
    <row r="314" ht="12.75" customHeight="1">
      <c r="A314" s="3"/>
      <c r="D314" s="3"/>
    </row>
    <row r="315" ht="12.75" customHeight="1">
      <c r="A315" s="3"/>
      <c r="D315" s="3"/>
    </row>
    <row r="316" ht="12.75" customHeight="1">
      <c r="A316" s="3"/>
      <c r="D316" s="3"/>
    </row>
    <row r="317" ht="12.75" customHeight="1">
      <c r="A317" s="3"/>
      <c r="D317" s="3"/>
    </row>
    <row r="318" ht="12.75" customHeight="1">
      <c r="A318" s="3"/>
      <c r="D318" s="3"/>
    </row>
    <row r="319" ht="12.75" customHeight="1">
      <c r="A319" s="3"/>
      <c r="D319" s="3"/>
    </row>
    <row r="320" ht="12.75" customHeight="1">
      <c r="A320" s="3"/>
      <c r="D320" s="3"/>
    </row>
    <row r="321" ht="12.75" customHeight="1">
      <c r="A321" s="3"/>
      <c r="D321" s="3"/>
    </row>
    <row r="322" ht="12.75" customHeight="1">
      <c r="A322" s="3"/>
      <c r="D322" s="3"/>
    </row>
    <row r="323" ht="12.75" customHeight="1">
      <c r="A323" s="3"/>
      <c r="D323" s="3"/>
    </row>
    <row r="324" ht="12.75" customHeight="1">
      <c r="A324" s="3"/>
      <c r="D324" s="3"/>
    </row>
    <row r="325" ht="12.75" customHeight="1">
      <c r="A325" s="3"/>
      <c r="D325" s="3"/>
    </row>
    <row r="326" ht="12.75" customHeight="1">
      <c r="A326" s="3"/>
      <c r="D326" s="3"/>
    </row>
    <row r="327" ht="12.75" customHeight="1">
      <c r="A327" s="3"/>
      <c r="D327" s="3"/>
    </row>
    <row r="328" ht="12.75" customHeight="1">
      <c r="A328" s="3"/>
      <c r="D328" s="3"/>
    </row>
    <row r="329" ht="12.75" customHeight="1">
      <c r="A329" s="3"/>
      <c r="D329" s="3"/>
    </row>
    <row r="330" ht="12.75" customHeight="1">
      <c r="A330" s="3"/>
      <c r="D330" s="3"/>
    </row>
    <row r="331" ht="12.75" customHeight="1">
      <c r="A331" s="3"/>
      <c r="D331" s="3"/>
    </row>
    <row r="332" ht="12.75" customHeight="1">
      <c r="A332" s="3"/>
      <c r="D332" s="3"/>
    </row>
    <row r="333" ht="12.75" customHeight="1">
      <c r="A333" s="3"/>
      <c r="D333" s="3"/>
    </row>
    <row r="334" ht="12.75" customHeight="1">
      <c r="A334" s="3"/>
      <c r="D334" s="3"/>
    </row>
    <row r="335" ht="12.75" customHeight="1">
      <c r="A335" s="3"/>
      <c r="D335" s="3"/>
    </row>
    <row r="336" ht="12.75" customHeight="1">
      <c r="A336" s="3"/>
      <c r="D336" s="3"/>
    </row>
    <row r="337" ht="12.75" customHeight="1">
      <c r="A337" s="3"/>
      <c r="D337" s="3"/>
    </row>
    <row r="338" ht="12.75" customHeight="1">
      <c r="A338" s="3"/>
      <c r="D338" s="3"/>
    </row>
    <row r="339" ht="12.75" customHeight="1">
      <c r="A339" s="3"/>
      <c r="D339" s="3"/>
    </row>
    <row r="340" ht="12.75" customHeight="1">
      <c r="A340" s="3"/>
      <c r="D340" s="3"/>
    </row>
    <row r="341" ht="12.75" customHeight="1">
      <c r="A341" s="3"/>
      <c r="D341" s="3"/>
    </row>
    <row r="342" ht="12.75" customHeight="1">
      <c r="A342" s="3"/>
      <c r="D342" s="3"/>
    </row>
    <row r="343" ht="12.75" customHeight="1">
      <c r="A343" s="3"/>
      <c r="D343" s="3"/>
    </row>
    <row r="344" ht="12.75" customHeight="1">
      <c r="A344" s="3"/>
      <c r="D344" s="3"/>
    </row>
    <row r="345" ht="12.75" customHeight="1">
      <c r="A345" s="3"/>
      <c r="D345" s="3"/>
    </row>
    <row r="346" ht="12.75" customHeight="1">
      <c r="A346" s="3"/>
      <c r="D346" s="3"/>
    </row>
    <row r="347" ht="12.75" customHeight="1">
      <c r="A347" s="3"/>
      <c r="D347" s="3"/>
    </row>
    <row r="348" ht="12.75" customHeight="1">
      <c r="A348" s="3"/>
      <c r="D348" s="3"/>
    </row>
    <row r="349" ht="12.75" customHeight="1">
      <c r="A349" s="3"/>
      <c r="D349" s="3"/>
    </row>
    <row r="350" ht="12.75" customHeight="1">
      <c r="A350" s="3"/>
      <c r="D350" s="3"/>
    </row>
    <row r="351" ht="12.75" customHeight="1">
      <c r="A351" s="3"/>
      <c r="D351" s="3"/>
    </row>
    <row r="352" ht="12.75" customHeight="1">
      <c r="A352" s="3"/>
      <c r="D352" s="3"/>
    </row>
    <row r="353" ht="12.75" customHeight="1">
      <c r="A353" s="3"/>
      <c r="D353" s="3"/>
    </row>
    <row r="354" ht="12.75" customHeight="1">
      <c r="A354" s="3"/>
      <c r="D354" s="3"/>
    </row>
    <row r="355" ht="12.75" customHeight="1">
      <c r="A355" s="3"/>
      <c r="D355" s="3"/>
    </row>
    <row r="356" ht="12.75" customHeight="1">
      <c r="A356" s="3"/>
      <c r="D356" s="3"/>
    </row>
    <row r="357" ht="12.75" customHeight="1">
      <c r="A357" s="3"/>
      <c r="D357" s="3"/>
    </row>
    <row r="358" ht="12.75" customHeight="1">
      <c r="A358" s="3"/>
      <c r="D358" s="3"/>
    </row>
    <row r="359" ht="12.75" customHeight="1">
      <c r="A359" s="3"/>
      <c r="D359" s="3"/>
    </row>
    <row r="360" ht="12.75" customHeight="1">
      <c r="A360" s="3"/>
      <c r="D360" s="3"/>
    </row>
    <row r="361" ht="12.75" customHeight="1">
      <c r="A361" s="3"/>
      <c r="D361" s="3"/>
    </row>
    <row r="362" ht="12.75" customHeight="1">
      <c r="A362" s="3"/>
      <c r="D362" s="3"/>
    </row>
    <row r="363" ht="12.75" customHeight="1">
      <c r="A363" s="3"/>
      <c r="D363" s="3"/>
    </row>
    <row r="364" ht="12.75" customHeight="1">
      <c r="A364" s="3"/>
      <c r="D364" s="3"/>
    </row>
    <row r="365" ht="12.75" customHeight="1">
      <c r="A365" s="3"/>
      <c r="D365" s="3"/>
    </row>
    <row r="366" ht="12.75" customHeight="1">
      <c r="A366" s="3"/>
      <c r="D366" s="3"/>
    </row>
    <row r="367" ht="12.75" customHeight="1">
      <c r="A367" s="3"/>
      <c r="D367" s="3"/>
    </row>
    <row r="368" ht="12.75" customHeight="1">
      <c r="A368" s="3"/>
      <c r="D368" s="3"/>
    </row>
    <row r="369" ht="12.75" customHeight="1">
      <c r="A369" s="3"/>
      <c r="D369" s="3"/>
    </row>
    <row r="370" ht="12.75" customHeight="1">
      <c r="A370" s="3"/>
      <c r="D370" s="3"/>
    </row>
    <row r="371" ht="12.75" customHeight="1">
      <c r="A371" s="3"/>
      <c r="D371" s="3"/>
    </row>
    <row r="372" ht="12.75" customHeight="1">
      <c r="A372" s="3"/>
      <c r="D372" s="3"/>
    </row>
    <row r="373" ht="12.75" customHeight="1">
      <c r="A373" s="3"/>
      <c r="D373" s="3"/>
    </row>
    <row r="374" ht="12.75" customHeight="1">
      <c r="A374" s="3"/>
      <c r="D374" s="3"/>
    </row>
    <row r="375" ht="12.75" customHeight="1">
      <c r="A375" s="3"/>
      <c r="D375" s="3"/>
    </row>
    <row r="376" ht="12.75" customHeight="1">
      <c r="A376" s="3"/>
      <c r="D376" s="3"/>
    </row>
    <row r="377" ht="12.75" customHeight="1">
      <c r="A377" s="3"/>
      <c r="D377" s="3"/>
    </row>
    <row r="378" ht="12.75" customHeight="1">
      <c r="A378" s="3"/>
      <c r="D378" s="3"/>
    </row>
    <row r="379" ht="12.75" customHeight="1">
      <c r="A379" s="3"/>
      <c r="D379" s="3"/>
    </row>
    <row r="380" ht="12.75" customHeight="1">
      <c r="A380" s="3"/>
      <c r="D380" s="3"/>
    </row>
    <row r="381" ht="12.75" customHeight="1">
      <c r="A381" s="3"/>
      <c r="D381" s="3"/>
    </row>
    <row r="382" ht="12.75" customHeight="1">
      <c r="A382" s="3"/>
      <c r="D382" s="3"/>
    </row>
    <row r="383" ht="14.25" customHeight="1">
      <c r="A383" s="3"/>
      <c r="D383" s="3"/>
      <c r="U383" s="7" t="s">
        <v>103</v>
      </c>
    </row>
    <row r="384" ht="12.75" customHeight="1">
      <c r="A384" s="3"/>
      <c r="D384" s="3"/>
    </row>
    <row r="385" ht="12.75" customHeight="1">
      <c r="A385" s="3"/>
      <c r="D385" s="3"/>
    </row>
    <row r="386" ht="12.75" customHeight="1">
      <c r="A386" s="3"/>
      <c r="D386" s="3"/>
    </row>
    <row r="387" ht="12.75" customHeight="1">
      <c r="A387" s="3"/>
      <c r="D387" s="3"/>
    </row>
    <row r="388" ht="12.75" customHeight="1">
      <c r="A388" s="3"/>
      <c r="D388" s="3"/>
    </row>
    <row r="389" ht="12.75" customHeight="1">
      <c r="A389" s="3"/>
      <c r="D389" s="3"/>
    </row>
    <row r="390" ht="12.75" customHeight="1">
      <c r="A390" s="3"/>
      <c r="D390" s="3"/>
    </row>
    <row r="391" ht="12.75" customHeight="1">
      <c r="A391" s="3"/>
      <c r="D391" s="3"/>
    </row>
    <row r="392" ht="12.75" customHeight="1">
      <c r="A392" s="3"/>
      <c r="D392" s="3"/>
    </row>
    <row r="393" ht="12.75" customHeight="1">
      <c r="A393" s="3"/>
      <c r="D393" s="3"/>
    </row>
    <row r="394" ht="12.75" customHeight="1">
      <c r="A394" s="3"/>
      <c r="D394" s="3"/>
    </row>
    <row r="395" ht="12.75" customHeight="1">
      <c r="A395" s="3"/>
      <c r="D395" s="3"/>
    </row>
    <row r="396" ht="12.75" customHeight="1">
      <c r="A396" s="3"/>
      <c r="D396" s="3"/>
    </row>
    <row r="397" ht="12.75" customHeight="1">
      <c r="A397" s="3"/>
      <c r="D397" s="3"/>
    </row>
    <row r="398" ht="12.75" customHeight="1">
      <c r="A398" s="3"/>
      <c r="D398" s="3"/>
    </row>
    <row r="399" ht="12.75" customHeight="1">
      <c r="A399" s="3"/>
      <c r="D399" s="3"/>
    </row>
    <row r="400" ht="12.75" customHeight="1">
      <c r="A400" s="3"/>
      <c r="D400" s="3"/>
    </row>
    <row r="401" ht="12.75" customHeight="1">
      <c r="A401" s="3"/>
      <c r="D401" s="3"/>
    </row>
    <row r="402" ht="12.75" customHeight="1">
      <c r="A402" s="3"/>
      <c r="D402" s="3"/>
    </row>
    <row r="403" ht="12.75" customHeight="1">
      <c r="A403" s="3"/>
      <c r="D403" s="3"/>
    </row>
    <row r="404" ht="12.75" customHeight="1">
      <c r="A404" s="3"/>
      <c r="D404" s="3"/>
    </row>
    <row r="405" ht="12.75" customHeight="1">
      <c r="A405" s="3"/>
      <c r="D405" s="3"/>
    </row>
    <row r="406" ht="12.75" customHeight="1">
      <c r="A406" s="3"/>
      <c r="D406" s="3"/>
    </row>
    <row r="407" ht="12.75" customHeight="1">
      <c r="A407" s="3"/>
      <c r="D407" s="3"/>
    </row>
    <row r="408" ht="12.75" customHeight="1">
      <c r="A408" s="3"/>
      <c r="D408" s="3"/>
    </row>
    <row r="409" ht="12.75" customHeight="1">
      <c r="A409" s="3"/>
      <c r="D409" s="3"/>
    </row>
    <row r="410" ht="12.75" customHeight="1">
      <c r="A410" s="3"/>
      <c r="D410" s="3"/>
    </row>
    <row r="411" ht="12.75" customHeight="1">
      <c r="A411" s="3"/>
      <c r="D411" s="3"/>
    </row>
    <row r="412" ht="12.75" customHeight="1">
      <c r="A412" s="3"/>
      <c r="D412" s="3"/>
    </row>
    <row r="413" ht="12.75" customHeight="1">
      <c r="A413" s="3"/>
      <c r="D413" s="3"/>
    </row>
    <row r="414" ht="12.75" customHeight="1">
      <c r="A414" s="3"/>
      <c r="D414" s="3"/>
    </row>
    <row r="415" ht="12.75" customHeight="1">
      <c r="A415" s="3"/>
      <c r="D415" s="3"/>
    </row>
    <row r="416" ht="12.75" customHeight="1">
      <c r="A416" s="3"/>
      <c r="D416" s="3"/>
    </row>
    <row r="417" ht="12.75" customHeight="1">
      <c r="A417" s="3"/>
      <c r="D417" s="3"/>
    </row>
    <row r="418" ht="12.75" customHeight="1">
      <c r="A418" s="3"/>
      <c r="D418" s="3"/>
    </row>
    <row r="419" ht="12.75" customHeight="1">
      <c r="A419" s="3"/>
      <c r="D419" s="3"/>
    </row>
    <row r="420" ht="12.75" customHeight="1">
      <c r="A420" s="3"/>
      <c r="D420" s="3"/>
    </row>
    <row r="421" ht="12.75" customHeight="1">
      <c r="A421" s="3"/>
      <c r="D421" s="3"/>
    </row>
    <row r="422" ht="12.75" customHeight="1">
      <c r="A422" s="3"/>
      <c r="D422" s="3"/>
    </row>
    <row r="423" ht="12.75" customHeight="1">
      <c r="A423" s="3"/>
      <c r="D423" s="3"/>
    </row>
    <row r="424" ht="12.75" customHeight="1">
      <c r="A424" s="3"/>
      <c r="D424" s="3"/>
    </row>
    <row r="425" ht="12.75" customHeight="1">
      <c r="A425" s="3"/>
      <c r="D425" s="3"/>
    </row>
    <row r="426" ht="12.75" customHeight="1">
      <c r="A426" s="3"/>
      <c r="D426" s="3"/>
    </row>
    <row r="427" ht="12.75" customHeight="1">
      <c r="A427" s="3"/>
      <c r="D427" s="3"/>
    </row>
    <row r="428" ht="12.75" customHeight="1">
      <c r="A428" s="3"/>
      <c r="D428" s="3"/>
    </row>
    <row r="429" ht="12.75" customHeight="1">
      <c r="A429" s="3"/>
      <c r="D429" s="3"/>
    </row>
    <row r="430" ht="12.75" customHeight="1">
      <c r="A430" s="3"/>
      <c r="D430" s="3"/>
    </row>
    <row r="431" ht="12.75" customHeight="1">
      <c r="A431" s="3"/>
      <c r="D431" s="3"/>
    </row>
    <row r="432" ht="12.75" customHeight="1">
      <c r="A432" s="3"/>
      <c r="D432" s="3"/>
    </row>
    <row r="433" ht="12.75" customHeight="1">
      <c r="A433" s="3"/>
      <c r="D433" s="3"/>
    </row>
    <row r="434" ht="12.75" customHeight="1">
      <c r="A434" s="3"/>
      <c r="D434" s="3"/>
    </row>
    <row r="435" ht="12.75" customHeight="1">
      <c r="A435" s="3"/>
      <c r="D435" s="3"/>
    </row>
    <row r="436" ht="12.75" customHeight="1">
      <c r="A436" s="3"/>
      <c r="D436" s="3"/>
    </row>
    <row r="437" ht="12.75" customHeight="1">
      <c r="A437" s="3"/>
      <c r="D437" s="3"/>
    </row>
    <row r="438" ht="12.75" customHeight="1">
      <c r="A438" s="3"/>
      <c r="D438" s="3"/>
    </row>
    <row r="439" ht="12.75" customHeight="1">
      <c r="A439" s="3"/>
      <c r="D439" s="3"/>
    </row>
    <row r="440" ht="12.75" customHeight="1">
      <c r="A440" s="3"/>
      <c r="D440" s="3"/>
    </row>
    <row r="441" ht="12.75" customHeight="1">
      <c r="A441" s="3"/>
      <c r="D441" s="3"/>
    </row>
    <row r="442" ht="12.75" customHeight="1">
      <c r="A442" s="3"/>
      <c r="D442" s="3"/>
    </row>
    <row r="443" ht="12.75" customHeight="1">
      <c r="A443" s="3"/>
      <c r="D443" s="3"/>
    </row>
    <row r="444" ht="12.75" customHeight="1">
      <c r="A444" s="3"/>
      <c r="D444" s="3"/>
    </row>
    <row r="445" ht="12.75" customHeight="1">
      <c r="A445" s="3"/>
      <c r="D445" s="3"/>
    </row>
    <row r="446" ht="12.75" customHeight="1">
      <c r="A446" s="3"/>
      <c r="D446" s="3"/>
    </row>
    <row r="447" ht="12.75" customHeight="1">
      <c r="A447" s="3"/>
      <c r="D447" s="3"/>
    </row>
    <row r="448" ht="12.75" customHeight="1">
      <c r="A448" s="3"/>
      <c r="D448" s="3"/>
    </row>
    <row r="449" ht="12.75" customHeight="1">
      <c r="A449" s="3"/>
      <c r="D449" s="3"/>
    </row>
    <row r="450" ht="12.75" customHeight="1">
      <c r="A450" s="3"/>
      <c r="D450" s="3"/>
    </row>
    <row r="451" ht="12.75" customHeight="1">
      <c r="A451" s="3"/>
      <c r="D451" s="3"/>
    </row>
    <row r="452" ht="12.75" customHeight="1">
      <c r="A452" s="3"/>
      <c r="D452" s="3"/>
    </row>
    <row r="453" ht="12.75" customHeight="1">
      <c r="A453" s="3"/>
      <c r="D453" s="3"/>
    </row>
    <row r="454" ht="12.75" customHeight="1">
      <c r="A454" s="3"/>
      <c r="D454" s="3"/>
    </row>
    <row r="455" ht="12.75" customHeight="1">
      <c r="A455" s="3"/>
      <c r="D455" s="3"/>
    </row>
    <row r="456" ht="12.75" customHeight="1">
      <c r="A456" s="3"/>
      <c r="D456" s="3"/>
    </row>
    <row r="457" ht="12.75" customHeight="1">
      <c r="A457" s="3"/>
      <c r="D457" s="3"/>
    </row>
    <row r="458" ht="12.75" customHeight="1">
      <c r="A458" s="3"/>
      <c r="D458" s="3"/>
    </row>
    <row r="459" ht="12.75" customHeight="1">
      <c r="A459" s="3"/>
      <c r="D459" s="3"/>
    </row>
    <row r="460" ht="12.75" customHeight="1">
      <c r="A460" s="3"/>
      <c r="D460" s="3"/>
    </row>
    <row r="461" ht="12.75" customHeight="1">
      <c r="A461" s="3"/>
      <c r="D461" s="3"/>
    </row>
    <row r="462" ht="12.75" customHeight="1">
      <c r="A462" s="3"/>
      <c r="D462" s="3"/>
    </row>
    <row r="463" ht="12.75" customHeight="1">
      <c r="A463" s="3"/>
      <c r="D463" s="3"/>
    </row>
    <row r="464" ht="12.75" customHeight="1">
      <c r="A464" s="3"/>
      <c r="D464" s="3"/>
    </row>
    <row r="465" ht="12.75" customHeight="1">
      <c r="A465" s="3"/>
      <c r="D465" s="3"/>
    </row>
    <row r="466" ht="12.75" customHeight="1">
      <c r="A466" s="3"/>
      <c r="D466" s="3"/>
    </row>
    <row r="467" ht="12.75" customHeight="1">
      <c r="A467" s="3"/>
      <c r="D467" s="3"/>
    </row>
    <row r="468" ht="12.75" customHeight="1">
      <c r="A468" s="3"/>
      <c r="D468" s="3"/>
    </row>
    <row r="469" ht="12.75" customHeight="1">
      <c r="A469" s="3"/>
      <c r="D469" s="3"/>
    </row>
    <row r="470" ht="12.75" customHeight="1">
      <c r="A470" s="3"/>
      <c r="D470" s="3"/>
    </row>
    <row r="471" ht="12.75" customHeight="1">
      <c r="A471" s="3"/>
      <c r="D471" s="3"/>
    </row>
    <row r="472" ht="12.75" customHeight="1">
      <c r="A472" s="3"/>
      <c r="D472" s="3"/>
    </row>
    <row r="473" ht="12.75" customHeight="1">
      <c r="A473" s="3"/>
      <c r="D473" s="3"/>
    </row>
    <row r="474" ht="12.75" customHeight="1">
      <c r="A474" s="3"/>
      <c r="D474" s="3"/>
    </row>
    <row r="475" ht="12.75" customHeight="1">
      <c r="A475" s="3"/>
      <c r="D475" s="3"/>
    </row>
    <row r="476" ht="12.75" customHeight="1">
      <c r="A476" s="3"/>
      <c r="D476" s="3"/>
    </row>
    <row r="477" ht="12.75" customHeight="1">
      <c r="A477" s="3"/>
      <c r="D477" s="3"/>
    </row>
    <row r="478" ht="12.75" customHeight="1">
      <c r="A478" s="3"/>
      <c r="D478" s="3"/>
    </row>
    <row r="479" ht="12.75" customHeight="1">
      <c r="A479" s="3"/>
      <c r="D479" s="3"/>
    </row>
    <row r="480" ht="12.75" customHeight="1">
      <c r="A480" s="3"/>
      <c r="D480" s="3"/>
    </row>
    <row r="481" ht="12.75" customHeight="1">
      <c r="A481" s="3"/>
      <c r="D481" s="3"/>
    </row>
    <row r="482" ht="12.75" customHeight="1">
      <c r="A482" s="3"/>
      <c r="D482" s="3"/>
    </row>
    <row r="483" ht="12.75" customHeight="1">
      <c r="A483" s="3"/>
      <c r="D483" s="3"/>
    </row>
    <row r="484" ht="12.75" customHeight="1">
      <c r="A484" s="3"/>
      <c r="D484" s="3"/>
    </row>
    <row r="485" ht="12.75" customHeight="1">
      <c r="A485" s="3"/>
      <c r="D485" s="3"/>
    </row>
    <row r="486" ht="12.75" customHeight="1">
      <c r="A486" s="3"/>
      <c r="D486" s="3"/>
    </row>
    <row r="487" ht="12.75" customHeight="1">
      <c r="A487" s="3"/>
      <c r="D487" s="3"/>
    </row>
    <row r="488" ht="12.75" customHeight="1">
      <c r="A488" s="3"/>
      <c r="D488" s="3"/>
    </row>
    <row r="489" ht="12.75" customHeight="1">
      <c r="A489" s="3"/>
      <c r="D489" s="3"/>
    </row>
    <row r="490" ht="12.75" customHeight="1">
      <c r="A490" s="3"/>
      <c r="D490" s="3"/>
    </row>
    <row r="491" ht="12.75" customHeight="1">
      <c r="A491" s="3"/>
      <c r="D491" s="3"/>
    </row>
    <row r="492" ht="12.75" customHeight="1">
      <c r="A492" s="3"/>
      <c r="D492" s="3"/>
    </row>
    <row r="493" ht="12.75" customHeight="1">
      <c r="A493" s="3"/>
      <c r="D493" s="3"/>
    </row>
    <row r="494" ht="12.75" customHeight="1">
      <c r="A494" s="3"/>
      <c r="D494" s="3"/>
    </row>
    <row r="495" ht="12.75" customHeight="1">
      <c r="A495" s="3"/>
      <c r="D495" s="3"/>
    </row>
    <row r="496" ht="12.75" customHeight="1">
      <c r="A496" s="3"/>
      <c r="D496" s="3"/>
    </row>
    <row r="497" ht="12.75" customHeight="1">
      <c r="A497" s="3"/>
      <c r="D497" s="3"/>
    </row>
    <row r="498" ht="12.75" customHeight="1">
      <c r="A498" s="3"/>
      <c r="D498" s="3"/>
    </row>
    <row r="499" ht="12.75" customHeight="1">
      <c r="A499" s="3"/>
      <c r="D499" s="3"/>
    </row>
    <row r="500" ht="12.75" customHeight="1">
      <c r="A500" s="3"/>
      <c r="D500" s="3"/>
    </row>
    <row r="501" ht="12.75" customHeight="1">
      <c r="A501" s="3"/>
      <c r="D501" s="3"/>
    </row>
    <row r="502" ht="12.75" customHeight="1">
      <c r="A502" s="3"/>
      <c r="D502" s="3"/>
    </row>
    <row r="503" ht="12.75" customHeight="1">
      <c r="A503" s="3"/>
      <c r="D503" s="3"/>
    </row>
    <row r="504" ht="12.75" customHeight="1">
      <c r="A504" s="3"/>
      <c r="D504" s="3"/>
    </row>
    <row r="505" ht="12.75" customHeight="1">
      <c r="A505" s="3"/>
      <c r="D505" s="3"/>
    </row>
    <row r="506" ht="12.75" customHeight="1">
      <c r="A506" s="3"/>
      <c r="D506" s="3"/>
    </row>
    <row r="507" ht="12.75" customHeight="1">
      <c r="A507" s="3"/>
      <c r="D507" s="3"/>
    </row>
    <row r="508" ht="12.75" customHeight="1">
      <c r="A508" s="3"/>
      <c r="D508" s="3"/>
    </row>
    <row r="509" ht="12.75" customHeight="1">
      <c r="A509" s="3"/>
      <c r="D509" s="3"/>
    </row>
    <row r="510" ht="12.75" customHeight="1">
      <c r="A510" s="3"/>
      <c r="D510" s="3"/>
    </row>
    <row r="511" ht="12.75" customHeight="1">
      <c r="A511" s="3"/>
      <c r="D511" s="3"/>
    </row>
    <row r="512" ht="12.75" customHeight="1">
      <c r="A512" s="3"/>
      <c r="D512" s="3"/>
    </row>
    <row r="513" ht="12.75" customHeight="1">
      <c r="A513" s="3"/>
      <c r="D513" s="3"/>
    </row>
    <row r="514" ht="12.75" customHeight="1">
      <c r="A514" s="3"/>
      <c r="D514" s="3"/>
    </row>
    <row r="515" ht="12.75" customHeight="1">
      <c r="A515" s="3"/>
      <c r="D515" s="3"/>
    </row>
    <row r="516" ht="12.75" customHeight="1">
      <c r="A516" s="3"/>
      <c r="D516" s="3"/>
    </row>
    <row r="517" ht="12.75" customHeight="1">
      <c r="A517" s="3"/>
      <c r="D517" s="3"/>
    </row>
    <row r="518" ht="12.75" customHeight="1">
      <c r="A518" s="3"/>
      <c r="D518" s="3"/>
    </row>
    <row r="519" ht="12.75" customHeight="1">
      <c r="A519" s="3"/>
      <c r="D519" s="3"/>
    </row>
    <row r="520" ht="12.75" customHeight="1">
      <c r="A520" s="3"/>
      <c r="D520" s="3"/>
    </row>
    <row r="521" ht="12.75" customHeight="1">
      <c r="A521" s="3"/>
      <c r="D521" s="3"/>
    </row>
    <row r="522" ht="12.75" customHeight="1">
      <c r="A522" s="3"/>
      <c r="D522" s="3"/>
    </row>
    <row r="523" ht="12.75" customHeight="1">
      <c r="A523" s="3"/>
      <c r="D523" s="3"/>
    </row>
    <row r="524" ht="12.75" customHeight="1">
      <c r="A524" s="3"/>
      <c r="D524" s="3"/>
    </row>
    <row r="525" ht="12.75" customHeight="1">
      <c r="A525" s="3"/>
      <c r="D525" s="3"/>
    </row>
    <row r="526" ht="12.75" customHeight="1">
      <c r="A526" s="3"/>
      <c r="D526" s="3"/>
    </row>
    <row r="527" ht="12.75" customHeight="1">
      <c r="A527" s="3"/>
      <c r="D527" s="3"/>
    </row>
    <row r="528" ht="12.75" customHeight="1">
      <c r="A528" s="3"/>
      <c r="D528" s="3"/>
    </row>
    <row r="529" ht="12.75" customHeight="1">
      <c r="A529" s="3"/>
      <c r="D529" s="3"/>
    </row>
    <row r="530" ht="12.75" customHeight="1">
      <c r="A530" s="3"/>
      <c r="D530" s="3"/>
    </row>
    <row r="531" ht="12.75" customHeight="1">
      <c r="A531" s="3"/>
      <c r="D531" s="3"/>
    </row>
    <row r="532" ht="12.75" customHeight="1">
      <c r="A532" s="3"/>
      <c r="D532" s="3"/>
    </row>
    <row r="533" ht="12.75" customHeight="1">
      <c r="A533" s="3"/>
      <c r="D533" s="3"/>
    </row>
    <row r="534" ht="12.75" customHeight="1">
      <c r="A534" s="3"/>
      <c r="D534" s="3"/>
    </row>
    <row r="535" ht="12.75" customHeight="1">
      <c r="A535" s="3"/>
      <c r="D535" s="3"/>
    </row>
    <row r="536" ht="12.75" customHeight="1">
      <c r="A536" s="3"/>
      <c r="D536" s="3"/>
    </row>
    <row r="537" ht="12.75" customHeight="1">
      <c r="A537" s="3"/>
      <c r="D537" s="3"/>
    </row>
    <row r="538" ht="12.75" customHeight="1">
      <c r="A538" s="3"/>
      <c r="D538" s="3"/>
    </row>
    <row r="539" ht="12.75" customHeight="1">
      <c r="A539" s="3"/>
      <c r="D539" s="3"/>
    </row>
    <row r="540" ht="12.75" customHeight="1">
      <c r="A540" s="3"/>
      <c r="D540" s="3"/>
    </row>
    <row r="541" ht="12.75" customHeight="1">
      <c r="A541" s="3"/>
      <c r="D541" s="3"/>
    </row>
    <row r="542" ht="12.75" customHeight="1">
      <c r="A542" s="3"/>
      <c r="D542" s="3"/>
    </row>
    <row r="543" ht="12.75" customHeight="1">
      <c r="A543" s="3"/>
      <c r="D543" s="3"/>
    </row>
    <row r="544" ht="12.75" customHeight="1">
      <c r="A544" s="3"/>
      <c r="D544" s="3"/>
    </row>
    <row r="545" ht="12.75" customHeight="1">
      <c r="A545" s="3"/>
      <c r="D545" s="3"/>
    </row>
    <row r="546" ht="12.75" customHeight="1">
      <c r="A546" s="3"/>
      <c r="D546" s="3"/>
    </row>
    <row r="547" ht="12.75" customHeight="1">
      <c r="A547" s="3"/>
      <c r="D547" s="3"/>
    </row>
    <row r="548" ht="12.75" customHeight="1">
      <c r="A548" s="3"/>
      <c r="D548" s="3"/>
    </row>
    <row r="549" ht="12.75" customHeight="1">
      <c r="A549" s="3"/>
      <c r="D549" s="3"/>
    </row>
    <row r="550" ht="12.75" customHeight="1">
      <c r="A550" s="3"/>
      <c r="D550" s="3"/>
    </row>
    <row r="551" ht="12.75" customHeight="1">
      <c r="A551" s="3"/>
      <c r="D551" s="3"/>
    </row>
    <row r="552" ht="12.75" customHeight="1">
      <c r="A552" s="3"/>
      <c r="D552" s="3"/>
    </row>
    <row r="553" ht="12.75" customHeight="1">
      <c r="A553" s="3"/>
      <c r="D553" s="3"/>
    </row>
    <row r="554" ht="12.75" customHeight="1">
      <c r="A554" s="3"/>
      <c r="D554" s="3"/>
    </row>
    <row r="555" ht="12.75" customHeight="1">
      <c r="A555" s="3"/>
      <c r="D555" s="3"/>
    </row>
    <row r="556" ht="12.75" customHeight="1">
      <c r="A556" s="3"/>
      <c r="D556" s="3"/>
    </row>
    <row r="557" ht="12.75" customHeight="1">
      <c r="A557" s="3"/>
      <c r="D557" s="3"/>
    </row>
    <row r="558" ht="12.75" customHeight="1">
      <c r="A558" s="3"/>
      <c r="D558" s="3"/>
    </row>
    <row r="559" ht="12.75" customHeight="1">
      <c r="A559" s="3"/>
      <c r="D559" s="3"/>
    </row>
    <row r="560" ht="12.75" customHeight="1">
      <c r="A560" s="3"/>
      <c r="D560" s="3"/>
    </row>
    <row r="561" ht="12.75" customHeight="1">
      <c r="A561" s="3"/>
      <c r="D561" s="3"/>
    </row>
    <row r="562" ht="12.75" customHeight="1">
      <c r="A562" s="3"/>
      <c r="D562" s="3"/>
    </row>
    <row r="563" ht="12.75" customHeight="1">
      <c r="A563" s="3"/>
      <c r="D563" s="3"/>
    </row>
    <row r="564" ht="12.75" customHeight="1">
      <c r="A564" s="3"/>
      <c r="D564" s="3"/>
    </row>
    <row r="565" ht="12.75" customHeight="1">
      <c r="A565" s="3"/>
      <c r="D565" s="3"/>
    </row>
    <row r="566" ht="12.75" customHeight="1">
      <c r="A566" s="3"/>
      <c r="D566" s="3"/>
    </row>
    <row r="567" ht="12.75" customHeight="1">
      <c r="A567" s="3"/>
      <c r="D567" s="3"/>
    </row>
    <row r="568" ht="12.75" customHeight="1">
      <c r="A568" s="3"/>
      <c r="D568" s="3"/>
    </row>
    <row r="569" ht="12.75" customHeight="1">
      <c r="A569" s="3"/>
      <c r="D569" s="3"/>
    </row>
    <row r="570" ht="12.75" customHeight="1">
      <c r="A570" s="3"/>
      <c r="D570" s="3"/>
    </row>
    <row r="571" ht="12.75" customHeight="1">
      <c r="A571" s="3"/>
      <c r="D571" s="3"/>
    </row>
    <row r="572" ht="12.75" customHeight="1">
      <c r="A572" s="3"/>
      <c r="D572" s="3"/>
    </row>
    <row r="573" ht="12.75" customHeight="1">
      <c r="A573" s="3"/>
      <c r="D573" s="3"/>
    </row>
    <row r="574" ht="12.75" customHeight="1">
      <c r="A574" s="3"/>
      <c r="D574" s="3"/>
    </row>
    <row r="575" ht="12.75" customHeight="1">
      <c r="A575" s="3"/>
      <c r="D575" s="3"/>
    </row>
    <row r="576" ht="12.75" customHeight="1">
      <c r="A576" s="3"/>
      <c r="D576" s="3"/>
    </row>
    <row r="577" ht="12.75" customHeight="1">
      <c r="A577" s="3"/>
      <c r="D577" s="3"/>
    </row>
    <row r="578" ht="12.75" customHeight="1">
      <c r="A578" s="3"/>
      <c r="D578" s="3"/>
    </row>
    <row r="579" ht="12.75" customHeight="1">
      <c r="A579" s="3"/>
      <c r="D579" s="3"/>
    </row>
    <row r="580" ht="12.75" customHeight="1">
      <c r="A580" s="3"/>
      <c r="D580" s="3"/>
    </row>
    <row r="581" ht="12.75" customHeight="1">
      <c r="A581" s="3"/>
      <c r="D581" s="3"/>
    </row>
    <row r="582" ht="12.75" customHeight="1">
      <c r="A582" s="3"/>
      <c r="D582" s="3"/>
    </row>
    <row r="583" ht="12.75" customHeight="1">
      <c r="A583" s="3"/>
      <c r="D583" s="3"/>
    </row>
    <row r="584" ht="12.75" customHeight="1">
      <c r="A584" s="3"/>
      <c r="D584" s="3"/>
    </row>
    <row r="585" ht="12.75" customHeight="1">
      <c r="A585" s="3"/>
      <c r="D585" s="3"/>
    </row>
    <row r="586" ht="12.75" customHeight="1">
      <c r="A586" s="3"/>
      <c r="D586" s="3"/>
    </row>
    <row r="587" ht="12.75" customHeight="1">
      <c r="A587" s="3"/>
      <c r="D587" s="3"/>
    </row>
    <row r="588" ht="12.75" customHeight="1">
      <c r="A588" s="3"/>
      <c r="D588" s="3"/>
    </row>
    <row r="589" ht="12.75" customHeight="1">
      <c r="A589" s="3"/>
      <c r="D589" s="3"/>
    </row>
    <row r="590" ht="12.75" customHeight="1">
      <c r="A590" s="3"/>
      <c r="D590" s="3"/>
    </row>
    <row r="591" ht="12.75" customHeight="1">
      <c r="A591" s="3"/>
      <c r="D591" s="3"/>
    </row>
    <row r="592" ht="12.75" customHeight="1">
      <c r="A592" s="3"/>
      <c r="D592" s="3"/>
    </row>
    <row r="593" ht="12.75" customHeight="1">
      <c r="A593" s="3"/>
      <c r="D593" s="3"/>
    </row>
    <row r="594" ht="12.75" customHeight="1">
      <c r="A594" s="3"/>
      <c r="D594" s="3"/>
    </row>
    <row r="595" ht="12.75" customHeight="1">
      <c r="A595" s="3"/>
      <c r="D595" s="3"/>
    </row>
    <row r="596" ht="12.75" customHeight="1">
      <c r="A596" s="3"/>
      <c r="D596" s="3"/>
    </row>
    <row r="597" ht="12.75" customHeight="1">
      <c r="A597" s="3"/>
      <c r="D597" s="3"/>
    </row>
    <row r="598" ht="12.75" customHeight="1">
      <c r="A598" s="3"/>
      <c r="D598" s="3"/>
    </row>
    <row r="599" ht="12.75" customHeight="1">
      <c r="A599" s="3"/>
      <c r="D599" s="3"/>
    </row>
    <row r="600" ht="12.75" customHeight="1">
      <c r="A600" s="3"/>
      <c r="D600" s="3"/>
    </row>
    <row r="601" ht="12.75" customHeight="1">
      <c r="A601" s="3"/>
      <c r="D601" s="3"/>
    </row>
    <row r="602" ht="12.75" customHeight="1">
      <c r="A602" s="3"/>
      <c r="D602" s="3"/>
    </row>
    <row r="603" ht="12.75" customHeight="1">
      <c r="A603" s="3"/>
      <c r="D603" s="3"/>
    </row>
    <row r="604" ht="12.75" customHeight="1">
      <c r="A604" s="3"/>
      <c r="D604" s="3"/>
    </row>
    <row r="605" ht="12.75" customHeight="1">
      <c r="A605" s="3"/>
      <c r="D605" s="3"/>
    </row>
    <row r="606" ht="12.75" customHeight="1">
      <c r="A606" s="3"/>
      <c r="D606" s="3"/>
    </row>
    <row r="607" ht="12.75" customHeight="1">
      <c r="A607" s="3"/>
      <c r="D607" s="3"/>
    </row>
    <row r="608" ht="12.75" customHeight="1">
      <c r="A608" s="3"/>
      <c r="D608" s="3"/>
    </row>
    <row r="609" ht="12.75" customHeight="1">
      <c r="A609" s="3"/>
      <c r="D609" s="3"/>
    </row>
    <row r="610" ht="12.75" customHeight="1">
      <c r="A610" s="3"/>
      <c r="D610" s="3"/>
    </row>
    <row r="611" ht="12.75" customHeight="1">
      <c r="A611" s="3"/>
      <c r="D611" s="3"/>
    </row>
    <row r="612" ht="12.75" customHeight="1">
      <c r="A612" s="3"/>
      <c r="D612" s="3"/>
    </row>
    <row r="613" ht="12.75" customHeight="1">
      <c r="A613" s="3"/>
      <c r="D613" s="3"/>
    </row>
    <row r="614" ht="12.75" customHeight="1">
      <c r="A614" s="3"/>
      <c r="D614" s="3"/>
    </row>
    <row r="615" ht="12.75" customHeight="1">
      <c r="A615" s="3"/>
      <c r="D615" s="3"/>
    </row>
    <row r="616" ht="12.75" customHeight="1">
      <c r="A616" s="3"/>
      <c r="D616" s="3"/>
    </row>
    <row r="617" ht="12.75" customHeight="1">
      <c r="A617" s="3"/>
      <c r="D617" s="3"/>
    </row>
    <row r="618" ht="12.75" customHeight="1">
      <c r="A618" s="3"/>
      <c r="D618" s="3"/>
    </row>
    <row r="619" ht="12.75" customHeight="1">
      <c r="A619" s="3"/>
      <c r="D619" s="3"/>
    </row>
    <row r="620" ht="12.75" customHeight="1">
      <c r="A620" s="3"/>
      <c r="D620" s="3"/>
    </row>
    <row r="621" ht="12.75" customHeight="1">
      <c r="A621" s="3"/>
      <c r="D621" s="3"/>
    </row>
    <row r="622" ht="12.75" customHeight="1">
      <c r="A622" s="3"/>
      <c r="D622" s="3"/>
    </row>
    <row r="623" ht="12.75" customHeight="1">
      <c r="A623" s="3"/>
      <c r="D623" s="3"/>
    </row>
    <row r="624" ht="12.75" customHeight="1">
      <c r="A624" s="3"/>
      <c r="D624" s="3"/>
    </row>
    <row r="625" ht="12.75" customHeight="1">
      <c r="A625" s="3"/>
      <c r="D625" s="3"/>
    </row>
    <row r="626" ht="12.75" customHeight="1">
      <c r="A626" s="3"/>
      <c r="D626" s="3"/>
    </row>
    <row r="627" ht="12.75" customHeight="1">
      <c r="A627" s="3"/>
      <c r="D627" s="3"/>
    </row>
    <row r="628" ht="12.75" customHeight="1">
      <c r="A628" s="3"/>
      <c r="D628" s="3"/>
    </row>
    <row r="629" ht="12.75" customHeight="1">
      <c r="A629" s="3"/>
      <c r="D629" s="3"/>
    </row>
    <row r="630" ht="12.75" customHeight="1">
      <c r="A630" s="3"/>
      <c r="D630" s="3"/>
    </row>
    <row r="631" ht="12.75" customHeight="1">
      <c r="A631" s="3"/>
      <c r="D631" s="3"/>
    </row>
    <row r="632" ht="12.75" customHeight="1">
      <c r="A632" s="3"/>
      <c r="D632" s="3"/>
    </row>
    <row r="633" ht="12.75" customHeight="1">
      <c r="A633" s="3"/>
      <c r="D633" s="3"/>
    </row>
    <row r="634" ht="12.75" customHeight="1">
      <c r="A634" s="3"/>
      <c r="D634" s="3"/>
    </row>
    <row r="635" ht="12.75" customHeight="1">
      <c r="A635" s="3"/>
      <c r="D635" s="3"/>
    </row>
    <row r="636" ht="12.75" customHeight="1">
      <c r="A636" s="3"/>
      <c r="D636" s="3"/>
    </row>
    <row r="637" ht="12.75" customHeight="1">
      <c r="A637" s="3"/>
      <c r="D637" s="3"/>
    </row>
    <row r="638" ht="12.75" customHeight="1">
      <c r="A638" s="3"/>
      <c r="D638" s="3"/>
    </row>
    <row r="639" ht="12.75" customHeight="1">
      <c r="A639" s="3"/>
      <c r="D639" s="3"/>
    </row>
    <row r="640" ht="12.75" customHeight="1">
      <c r="A640" s="3"/>
      <c r="D640" s="3"/>
    </row>
    <row r="641" ht="12.75" customHeight="1">
      <c r="A641" s="3"/>
      <c r="D641" s="3"/>
    </row>
    <row r="642" ht="12.75" customHeight="1">
      <c r="A642" s="3"/>
      <c r="D642" s="3"/>
    </row>
    <row r="643" ht="12.75" customHeight="1">
      <c r="A643" s="3"/>
      <c r="D643" s="3"/>
    </row>
    <row r="644" ht="12.75" customHeight="1">
      <c r="A644" s="3"/>
      <c r="D644" s="3"/>
    </row>
    <row r="645" ht="12.75" customHeight="1">
      <c r="A645" s="3"/>
      <c r="D645" s="3"/>
    </row>
    <row r="646" ht="12.75" customHeight="1">
      <c r="A646" s="3"/>
      <c r="D646" s="3"/>
    </row>
    <row r="647" ht="12.75" customHeight="1">
      <c r="A647" s="3"/>
      <c r="D647" s="3"/>
    </row>
    <row r="648" ht="12.75" customHeight="1">
      <c r="A648" s="3"/>
      <c r="D648" s="3"/>
    </row>
    <row r="649" ht="12.75" customHeight="1">
      <c r="A649" s="3"/>
      <c r="D649" s="3"/>
    </row>
    <row r="650" ht="12.75" customHeight="1">
      <c r="A650" s="3"/>
      <c r="D650" s="3"/>
    </row>
    <row r="651" ht="12.75" customHeight="1">
      <c r="A651" s="3"/>
      <c r="D651" s="3"/>
    </row>
    <row r="652" ht="12.75" customHeight="1">
      <c r="A652" s="3"/>
      <c r="D652" s="3"/>
    </row>
    <row r="653" ht="12.75" customHeight="1">
      <c r="A653" s="3"/>
      <c r="D653" s="3"/>
    </row>
    <row r="654" ht="12.75" customHeight="1">
      <c r="A654" s="3"/>
      <c r="D654" s="3"/>
    </row>
    <row r="655" ht="12.75" customHeight="1">
      <c r="A655" s="3"/>
      <c r="D655" s="3"/>
    </row>
    <row r="656" ht="12.75" customHeight="1">
      <c r="A656" s="3"/>
      <c r="D656" s="3"/>
    </row>
    <row r="657" ht="12.75" customHeight="1">
      <c r="A657" s="3"/>
      <c r="D657" s="3"/>
    </row>
    <row r="658" ht="12.75" customHeight="1">
      <c r="A658" s="3"/>
      <c r="D658" s="3"/>
    </row>
    <row r="659" ht="12.75" customHeight="1">
      <c r="A659" s="3"/>
      <c r="D659" s="3"/>
    </row>
    <row r="660" ht="12.75" customHeight="1">
      <c r="A660" s="3"/>
      <c r="D660" s="3"/>
    </row>
    <row r="661" ht="12.75" customHeight="1">
      <c r="A661" s="3"/>
      <c r="D661" s="3"/>
    </row>
    <row r="662" ht="12.75" customHeight="1">
      <c r="A662" s="3"/>
      <c r="D662" s="3"/>
    </row>
    <row r="663" ht="12.75" customHeight="1">
      <c r="A663" s="3"/>
      <c r="D663" s="3"/>
    </row>
    <row r="664" ht="12.75" customHeight="1">
      <c r="A664" s="3"/>
      <c r="D664" s="3"/>
    </row>
    <row r="665" ht="12.75" customHeight="1">
      <c r="A665" s="3"/>
      <c r="D665" s="3"/>
    </row>
    <row r="666" ht="12.75" customHeight="1">
      <c r="A666" s="3"/>
      <c r="D666" s="3"/>
    </row>
    <row r="667" ht="12.75" customHeight="1">
      <c r="A667" s="3"/>
      <c r="D667" s="3"/>
    </row>
    <row r="668" ht="12.75" customHeight="1">
      <c r="A668" s="3"/>
      <c r="D668" s="3"/>
    </row>
    <row r="669" ht="12.75" customHeight="1">
      <c r="A669" s="3"/>
      <c r="D669" s="3"/>
    </row>
    <row r="670" ht="12.75" customHeight="1">
      <c r="A670" s="3"/>
      <c r="D670" s="3"/>
    </row>
    <row r="671" ht="12.75" customHeight="1">
      <c r="A671" s="3"/>
      <c r="D671" s="3"/>
    </row>
    <row r="672" ht="12.75" customHeight="1">
      <c r="A672" s="3"/>
      <c r="D672" s="3"/>
    </row>
    <row r="673" ht="12.75" customHeight="1">
      <c r="A673" s="3"/>
      <c r="D673" s="3"/>
    </row>
    <row r="674" ht="12.75" customHeight="1">
      <c r="A674" s="3"/>
      <c r="D674" s="3"/>
    </row>
    <row r="675" ht="12.75" customHeight="1">
      <c r="A675" s="3"/>
      <c r="D675" s="3"/>
    </row>
    <row r="676" ht="12.75" customHeight="1">
      <c r="A676" s="3"/>
      <c r="D676" s="3"/>
    </row>
    <row r="677" ht="12.75" customHeight="1">
      <c r="A677" s="3"/>
      <c r="D677" s="3"/>
    </row>
    <row r="678" ht="12.75" customHeight="1">
      <c r="A678" s="3"/>
      <c r="D678" s="3"/>
    </row>
    <row r="679" ht="12.75" customHeight="1">
      <c r="A679" s="3"/>
      <c r="D679" s="3"/>
    </row>
    <row r="680" ht="12.75" customHeight="1">
      <c r="A680" s="3"/>
      <c r="D680" s="3"/>
    </row>
    <row r="681" ht="12.75" customHeight="1">
      <c r="A681" s="3"/>
      <c r="D681" s="3"/>
    </row>
    <row r="682" ht="12.75" customHeight="1">
      <c r="A682" s="3"/>
      <c r="D682" s="3"/>
    </row>
    <row r="683" ht="12.75" customHeight="1">
      <c r="A683" s="3"/>
      <c r="D683" s="3"/>
    </row>
    <row r="684" ht="12.75" customHeight="1">
      <c r="A684" s="3"/>
      <c r="D684" s="3"/>
    </row>
    <row r="685" ht="12.75" customHeight="1">
      <c r="A685" s="3"/>
      <c r="D685" s="3"/>
    </row>
    <row r="686" ht="12.75" customHeight="1">
      <c r="A686" s="3"/>
      <c r="D686" s="3"/>
    </row>
    <row r="687" ht="12.75" customHeight="1">
      <c r="A687" s="3"/>
      <c r="D687" s="3"/>
    </row>
    <row r="688" ht="12.75" customHeight="1">
      <c r="A688" s="3"/>
      <c r="D688" s="3"/>
    </row>
    <row r="689" ht="12.75" customHeight="1">
      <c r="A689" s="3"/>
      <c r="D689" s="3"/>
    </row>
    <row r="690" ht="12.75" customHeight="1">
      <c r="A690" s="3"/>
      <c r="D690" s="3"/>
    </row>
    <row r="691" ht="12.75" customHeight="1">
      <c r="A691" s="3"/>
      <c r="D691" s="3"/>
    </row>
    <row r="692" ht="12.75" customHeight="1">
      <c r="A692" s="3"/>
      <c r="D692" s="3"/>
    </row>
    <row r="693" ht="12.75" customHeight="1">
      <c r="A693" s="3"/>
      <c r="D693" s="3"/>
    </row>
    <row r="694" ht="12.75" customHeight="1">
      <c r="A694" s="3"/>
      <c r="D694" s="3"/>
    </row>
    <row r="695" ht="12.75" customHeight="1">
      <c r="A695" s="3"/>
      <c r="D695" s="3"/>
    </row>
    <row r="696" ht="12.75" customHeight="1">
      <c r="A696" s="3"/>
      <c r="D696" s="3"/>
    </row>
    <row r="697" ht="12.75" customHeight="1">
      <c r="A697" s="3"/>
      <c r="D697" s="3"/>
    </row>
    <row r="698" ht="12.75" customHeight="1">
      <c r="A698" s="3"/>
      <c r="D698" s="3"/>
    </row>
    <row r="699" ht="12.75" customHeight="1">
      <c r="A699" s="3"/>
      <c r="D699" s="3"/>
    </row>
    <row r="700" ht="12.75" customHeight="1">
      <c r="A700" s="3"/>
      <c r="D700" s="3"/>
    </row>
    <row r="701" ht="12.75" customHeight="1">
      <c r="A701" s="3"/>
      <c r="D701" s="3"/>
    </row>
    <row r="702" ht="12.75" customHeight="1">
      <c r="A702" s="3"/>
      <c r="D702" s="3"/>
    </row>
    <row r="703" ht="12.75" customHeight="1">
      <c r="A703" s="3"/>
      <c r="D703" s="3"/>
    </row>
    <row r="704" ht="12.75" customHeight="1">
      <c r="A704" s="3"/>
      <c r="D704" s="3"/>
    </row>
    <row r="705" ht="12.75" customHeight="1">
      <c r="A705" s="3"/>
      <c r="D705" s="3"/>
    </row>
    <row r="706" ht="12.75" customHeight="1">
      <c r="A706" s="3"/>
      <c r="D706" s="3"/>
    </row>
    <row r="707" ht="12.75" customHeight="1">
      <c r="A707" s="3"/>
      <c r="D707" s="3"/>
    </row>
    <row r="708" ht="12.75" customHeight="1">
      <c r="A708" s="3"/>
      <c r="D708" s="3"/>
    </row>
    <row r="709" ht="12.75" customHeight="1">
      <c r="A709" s="3"/>
      <c r="D709" s="3"/>
    </row>
    <row r="710" ht="12.75" customHeight="1">
      <c r="A710" s="3"/>
      <c r="D710" s="3"/>
    </row>
    <row r="711" ht="12.75" customHeight="1">
      <c r="A711" s="3"/>
      <c r="D711" s="3"/>
    </row>
    <row r="712" ht="12.75" customHeight="1">
      <c r="A712" s="3"/>
      <c r="D712" s="3"/>
    </row>
    <row r="713" ht="12.75" customHeight="1">
      <c r="A713" s="3"/>
      <c r="D713" s="3"/>
    </row>
    <row r="714" ht="12.75" customHeight="1">
      <c r="A714" s="3"/>
      <c r="D714" s="3"/>
    </row>
    <row r="715" ht="12.75" customHeight="1">
      <c r="A715" s="3"/>
      <c r="D715" s="3"/>
    </row>
    <row r="716" ht="12.75" customHeight="1">
      <c r="A716" s="3"/>
      <c r="D716" s="3"/>
    </row>
    <row r="717" ht="12.75" customHeight="1">
      <c r="A717" s="3"/>
      <c r="D717" s="3"/>
    </row>
    <row r="718" ht="12.75" customHeight="1">
      <c r="A718" s="3"/>
      <c r="D718" s="3"/>
    </row>
    <row r="719" ht="12.75" customHeight="1">
      <c r="A719" s="3"/>
      <c r="D719" s="3"/>
    </row>
    <row r="720" ht="12.75" customHeight="1">
      <c r="A720" s="3"/>
      <c r="D720" s="3"/>
    </row>
    <row r="721" ht="12.75" customHeight="1">
      <c r="A721" s="3"/>
      <c r="D721" s="3"/>
    </row>
    <row r="722" ht="12.75" customHeight="1">
      <c r="A722" s="3"/>
      <c r="D722" s="3"/>
    </row>
    <row r="723" ht="12.75" customHeight="1">
      <c r="A723" s="3"/>
      <c r="D723" s="3"/>
    </row>
    <row r="724" ht="12.75" customHeight="1">
      <c r="A724" s="3"/>
      <c r="D724" s="3"/>
    </row>
    <row r="725" ht="12.75" customHeight="1">
      <c r="A725" s="3"/>
      <c r="D725" s="3"/>
    </row>
    <row r="726" ht="12.75" customHeight="1">
      <c r="A726" s="3"/>
      <c r="D726" s="3"/>
    </row>
    <row r="727" ht="12.75" customHeight="1">
      <c r="A727" s="3"/>
      <c r="D727" s="3"/>
    </row>
    <row r="728" ht="12.75" customHeight="1">
      <c r="A728" s="3"/>
      <c r="D728" s="3"/>
    </row>
    <row r="729" ht="12.75" customHeight="1">
      <c r="A729" s="3"/>
      <c r="D729" s="3"/>
    </row>
    <row r="730" ht="12.75" customHeight="1">
      <c r="A730" s="3"/>
      <c r="D730" s="3"/>
    </row>
    <row r="731" ht="12.75" customHeight="1">
      <c r="A731" s="3"/>
      <c r="D731" s="3"/>
    </row>
    <row r="732" ht="12.75" customHeight="1">
      <c r="A732" s="3"/>
      <c r="D732" s="3"/>
    </row>
    <row r="733" ht="12.75" customHeight="1">
      <c r="A733" s="3"/>
      <c r="D733" s="3"/>
    </row>
    <row r="734" ht="12.75" customHeight="1">
      <c r="A734" s="3"/>
      <c r="D734" s="3"/>
    </row>
    <row r="735" ht="12.75" customHeight="1">
      <c r="A735" s="3"/>
      <c r="D735" s="3"/>
    </row>
    <row r="736" ht="12.75" customHeight="1">
      <c r="A736" s="3"/>
      <c r="D736" s="3"/>
    </row>
    <row r="737" ht="12.75" customHeight="1">
      <c r="A737" s="3"/>
      <c r="D737" s="3"/>
    </row>
    <row r="738" ht="12.75" customHeight="1">
      <c r="A738" s="3"/>
      <c r="D738" s="3"/>
    </row>
    <row r="739" ht="12.75" customHeight="1">
      <c r="A739" s="3"/>
      <c r="D739" s="3"/>
    </row>
    <row r="740" ht="12.75" customHeight="1">
      <c r="A740" s="3"/>
      <c r="D740" s="3"/>
    </row>
    <row r="741" ht="12.75" customHeight="1">
      <c r="A741" s="3"/>
      <c r="D741" s="3"/>
    </row>
    <row r="742" ht="12.75" customHeight="1">
      <c r="A742" s="3"/>
      <c r="D742" s="3"/>
    </row>
    <row r="743" ht="12.75" customHeight="1">
      <c r="A743" s="3"/>
      <c r="D743" s="3"/>
    </row>
    <row r="744" ht="12.75" customHeight="1">
      <c r="A744" s="3"/>
      <c r="D744" s="3"/>
    </row>
    <row r="745" ht="12.75" customHeight="1">
      <c r="A745" s="3"/>
      <c r="D745" s="3"/>
    </row>
    <row r="746" ht="12.75" customHeight="1">
      <c r="A746" s="3"/>
      <c r="D746" s="3"/>
    </row>
    <row r="747" ht="12.75" customHeight="1">
      <c r="A747" s="3"/>
      <c r="D747" s="3"/>
    </row>
    <row r="748" ht="12.75" customHeight="1">
      <c r="A748" s="3"/>
      <c r="D748" s="3"/>
    </row>
    <row r="749" ht="12.75" customHeight="1">
      <c r="A749" s="3"/>
      <c r="D749" s="3"/>
    </row>
    <row r="750" ht="12.75" customHeight="1">
      <c r="A750" s="3"/>
      <c r="D750" s="3"/>
    </row>
    <row r="751" ht="12.75" customHeight="1">
      <c r="A751" s="3"/>
      <c r="D751" s="3"/>
    </row>
    <row r="752" ht="12.75" customHeight="1">
      <c r="A752" s="3"/>
      <c r="D752" s="3"/>
    </row>
    <row r="753" ht="12.75" customHeight="1">
      <c r="A753" s="3"/>
      <c r="D753" s="3"/>
    </row>
    <row r="754" ht="12.75" customHeight="1">
      <c r="A754" s="3"/>
      <c r="D754" s="3"/>
    </row>
    <row r="755" ht="12.75" customHeight="1">
      <c r="A755" s="3"/>
      <c r="D755" s="3"/>
    </row>
    <row r="756" ht="12.75" customHeight="1">
      <c r="A756" s="3"/>
      <c r="D756" s="3"/>
    </row>
    <row r="757" ht="12.75" customHeight="1">
      <c r="A757" s="3"/>
      <c r="D757" s="3"/>
    </row>
    <row r="758" ht="12.75" customHeight="1">
      <c r="A758" s="3"/>
      <c r="D758" s="3"/>
    </row>
    <row r="759" ht="12.75" customHeight="1">
      <c r="A759" s="3"/>
      <c r="D759" s="3"/>
    </row>
    <row r="760" ht="12.75" customHeight="1">
      <c r="A760" s="3"/>
      <c r="D760" s="3"/>
    </row>
    <row r="761" ht="12.75" customHeight="1">
      <c r="A761" s="3"/>
      <c r="D761" s="3"/>
    </row>
    <row r="762" ht="12.75" customHeight="1">
      <c r="A762" s="3"/>
      <c r="D762" s="3"/>
    </row>
    <row r="763" ht="12.75" customHeight="1">
      <c r="A763" s="3"/>
      <c r="D763" s="3"/>
    </row>
    <row r="764" ht="12.75" customHeight="1">
      <c r="A764" s="3"/>
      <c r="D764" s="3"/>
    </row>
    <row r="765" ht="12.75" customHeight="1">
      <c r="A765" s="3"/>
      <c r="D765" s="3"/>
    </row>
    <row r="766" ht="12.75" customHeight="1">
      <c r="A766" s="3"/>
      <c r="D766" s="3"/>
    </row>
    <row r="767" ht="12.75" customHeight="1">
      <c r="A767" s="3"/>
      <c r="D767" s="3"/>
    </row>
    <row r="768" ht="12.75" customHeight="1">
      <c r="A768" s="3"/>
      <c r="D768" s="3"/>
    </row>
    <row r="769" ht="12.75" customHeight="1">
      <c r="A769" s="3"/>
      <c r="D769" s="3"/>
    </row>
    <row r="770" ht="12.75" customHeight="1">
      <c r="A770" s="3"/>
      <c r="D770" s="3"/>
    </row>
    <row r="771" ht="12.75" customHeight="1">
      <c r="A771" s="3"/>
      <c r="D771" s="3"/>
    </row>
    <row r="772" ht="12.75" customHeight="1">
      <c r="A772" s="3"/>
      <c r="D772" s="3"/>
    </row>
    <row r="773" ht="12.75" customHeight="1">
      <c r="A773" s="3"/>
      <c r="D773" s="3"/>
    </row>
    <row r="774" ht="12.75" customHeight="1">
      <c r="A774" s="3"/>
      <c r="D774" s="3"/>
    </row>
    <row r="775" ht="12.75" customHeight="1">
      <c r="A775" s="3"/>
      <c r="D775" s="3"/>
    </row>
    <row r="776" ht="12.75" customHeight="1">
      <c r="A776" s="3"/>
      <c r="D776" s="3"/>
    </row>
    <row r="777" ht="12.75" customHeight="1">
      <c r="A777" s="3"/>
      <c r="D777" s="3"/>
    </row>
    <row r="778" ht="12.75" customHeight="1">
      <c r="A778" s="3"/>
      <c r="D778" s="3"/>
    </row>
    <row r="779" ht="12.75" customHeight="1">
      <c r="A779" s="3"/>
      <c r="D779" s="3"/>
    </row>
    <row r="780" ht="12.75" customHeight="1">
      <c r="A780" s="3"/>
      <c r="D780" s="3"/>
    </row>
    <row r="781" ht="12.75" customHeight="1">
      <c r="A781" s="3"/>
      <c r="D781" s="3"/>
    </row>
    <row r="782" ht="12.75" customHeight="1">
      <c r="A782" s="3"/>
      <c r="D782" s="3"/>
    </row>
    <row r="783" ht="12.75" customHeight="1">
      <c r="A783" s="3"/>
      <c r="D783" s="3"/>
    </row>
    <row r="784" ht="12.75" customHeight="1">
      <c r="A784" s="3"/>
      <c r="D784" s="3"/>
    </row>
    <row r="785" ht="12.75" customHeight="1">
      <c r="A785" s="3"/>
      <c r="D785" s="3"/>
    </row>
    <row r="786" ht="12.75" customHeight="1">
      <c r="A786" s="3"/>
      <c r="D786" s="3"/>
    </row>
    <row r="787" ht="12.75" customHeight="1">
      <c r="A787" s="3"/>
      <c r="D787" s="3"/>
    </row>
    <row r="788" ht="12.75" customHeight="1">
      <c r="A788" s="3"/>
      <c r="D788" s="3"/>
    </row>
    <row r="789" ht="12.75" customHeight="1">
      <c r="A789" s="3"/>
      <c r="D789" s="3"/>
    </row>
    <row r="790" ht="12.75" customHeight="1">
      <c r="A790" s="3"/>
      <c r="D790" s="3"/>
    </row>
    <row r="791" ht="12.75" customHeight="1">
      <c r="A791" s="3"/>
      <c r="D791" s="3"/>
    </row>
    <row r="792" ht="12.75" customHeight="1">
      <c r="A792" s="3"/>
      <c r="D792" s="3"/>
    </row>
    <row r="793" ht="12.75" customHeight="1">
      <c r="A793" s="3"/>
      <c r="D793" s="3"/>
    </row>
    <row r="794" ht="12.75" customHeight="1">
      <c r="A794" s="3"/>
      <c r="D794" s="3"/>
    </row>
    <row r="795" ht="12.75" customHeight="1">
      <c r="A795" s="3"/>
      <c r="D795" s="3"/>
    </row>
    <row r="796" ht="12.75" customHeight="1">
      <c r="A796" s="3"/>
      <c r="D796" s="3"/>
    </row>
    <row r="797" ht="12.75" customHeight="1">
      <c r="A797" s="3"/>
      <c r="D797" s="3"/>
    </row>
    <row r="798" ht="12.75" customHeight="1">
      <c r="A798" s="3"/>
      <c r="D798" s="3"/>
    </row>
    <row r="799" ht="12.75" customHeight="1">
      <c r="A799" s="3"/>
      <c r="D799" s="3"/>
    </row>
    <row r="800" ht="12.75" customHeight="1">
      <c r="A800" s="3"/>
      <c r="D800" s="3"/>
    </row>
    <row r="801" ht="12.75" customHeight="1">
      <c r="A801" s="3"/>
      <c r="D801" s="3"/>
    </row>
    <row r="802" ht="12.75" customHeight="1">
      <c r="A802" s="3"/>
      <c r="D802" s="3"/>
    </row>
    <row r="803" ht="12.75" customHeight="1">
      <c r="A803" s="3"/>
      <c r="D803" s="3"/>
    </row>
    <row r="804" ht="12.75" customHeight="1">
      <c r="A804" s="3"/>
      <c r="D804" s="3"/>
    </row>
    <row r="805" ht="12.75" customHeight="1">
      <c r="A805" s="3"/>
      <c r="D805" s="3"/>
    </row>
    <row r="806" ht="12.75" customHeight="1">
      <c r="A806" s="3"/>
      <c r="D806" s="3"/>
    </row>
    <row r="807" ht="12.75" customHeight="1">
      <c r="A807" s="3"/>
      <c r="D807" s="3"/>
    </row>
    <row r="808" ht="12.75" customHeight="1">
      <c r="A808" s="3"/>
      <c r="D808" s="3"/>
    </row>
    <row r="809" ht="12.75" customHeight="1">
      <c r="A809" s="3"/>
      <c r="D809" s="3"/>
    </row>
    <row r="810" ht="12.75" customHeight="1">
      <c r="A810" s="3"/>
      <c r="D810" s="3"/>
    </row>
    <row r="811" ht="12.75" customHeight="1">
      <c r="A811" s="3"/>
      <c r="D811" s="3"/>
    </row>
    <row r="812" ht="12.75" customHeight="1">
      <c r="A812" s="3"/>
      <c r="D812" s="3"/>
    </row>
    <row r="813" ht="12.75" customHeight="1">
      <c r="A813" s="3"/>
      <c r="D813" s="3"/>
    </row>
    <row r="814" ht="12.75" customHeight="1">
      <c r="A814" s="3"/>
      <c r="D814" s="3"/>
    </row>
    <row r="815" ht="12.75" customHeight="1">
      <c r="A815" s="3"/>
      <c r="D815" s="3"/>
    </row>
    <row r="816" ht="12.75" customHeight="1">
      <c r="A816" s="3"/>
      <c r="D816" s="3"/>
    </row>
    <row r="817" ht="12.75" customHeight="1">
      <c r="A817" s="3"/>
      <c r="D817" s="3"/>
    </row>
    <row r="818" ht="12.75" customHeight="1">
      <c r="A818" s="3"/>
      <c r="D818" s="3"/>
    </row>
    <row r="819" ht="12.75" customHeight="1">
      <c r="A819" s="3"/>
      <c r="D819" s="3"/>
    </row>
    <row r="820" ht="12.75" customHeight="1">
      <c r="A820" s="3"/>
      <c r="D820" s="3"/>
    </row>
    <row r="821" ht="12.75" customHeight="1">
      <c r="A821" s="3"/>
      <c r="D821" s="3"/>
    </row>
    <row r="822" ht="12.75" customHeight="1">
      <c r="A822" s="3"/>
      <c r="D822" s="3"/>
    </row>
    <row r="823" ht="12.75" customHeight="1">
      <c r="A823" s="3"/>
      <c r="D823" s="3"/>
    </row>
    <row r="824" ht="12.75" customHeight="1">
      <c r="A824" s="3"/>
      <c r="D824" s="3"/>
    </row>
    <row r="825" ht="12.75" customHeight="1">
      <c r="A825" s="3"/>
      <c r="D825" s="3"/>
    </row>
    <row r="826" ht="12.75" customHeight="1">
      <c r="A826" s="3"/>
      <c r="D826" s="3"/>
    </row>
    <row r="827" ht="12.75" customHeight="1">
      <c r="A827" s="3"/>
      <c r="D827" s="3"/>
    </row>
    <row r="828" ht="12.75" customHeight="1">
      <c r="A828" s="3"/>
      <c r="D828" s="3"/>
    </row>
    <row r="829" ht="12.75" customHeight="1">
      <c r="A829" s="3"/>
      <c r="D829" s="3"/>
    </row>
    <row r="830" ht="12.75" customHeight="1">
      <c r="A830" s="3"/>
      <c r="D830" s="3"/>
    </row>
    <row r="831" ht="12.75" customHeight="1">
      <c r="A831" s="3"/>
      <c r="D831" s="3"/>
    </row>
    <row r="832" ht="12.75" customHeight="1">
      <c r="A832" s="3"/>
      <c r="D832" s="3"/>
    </row>
    <row r="833" ht="12.75" customHeight="1">
      <c r="A833" s="3"/>
      <c r="D833" s="3"/>
    </row>
    <row r="834" ht="12.75" customHeight="1">
      <c r="A834" s="3"/>
      <c r="D834" s="3"/>
    </row>
    <row r="835" ht="12.75" customHeight="1">
      <c r="A835" s="3"/>
      <c r="D835" s="3"/>
    </row>
    <row r="836" ht="12.75" customHeight="1">
      <c r="A836" s="3"/>
      <c r="D836" s="3"/>
    </row>
    <row r="837" ht="12.75" customHeight="1">
      <c r="A837" s="3"/>
      <c r="D837" s="3"/>
    </row>
    <row r="838" ht="12.75" customHeight="1">
      <c r="A838" s="3"/>
      <c r="D838" s="3"/>
    </row>
    <row r="839" ht="12.75" customHeight="1">
      <c r="A839" s="3"/>
      <c r="D839" s="3"/>
    </row>
    <row r="840" ht="12.75" customHeight="1">
      <c r="A840" s="3"/>
      <c r="D840" s="3"/>
    </row>
    <row r="841" ht="12.75" customHeight="1">
      <c r="A841" s="3"/>
      <c r="D841" s="3"/>
    </row>
    <row r="842" ht="12.75" customHeight="1">
      <c r="A842" s="3"/>
      <c r="D842" s="3"/>
    </row>
    <row r="843" ht="12.75" customHeight="1">
      <c r="A843" s="3"/>
      <c r="D843" s="3"/>
    </row>
    <row r="844" ht="12.75" customHeight="1">
      <c r="A844" s="3"/>
      <c r="D844" s="3"/>
    </row>
    <row r="845" ht="12.75" customHeight="1">
      <c r="A845" s="3"/>
      <c r="D845" s="3"/>
    </row>
    <row r="846" ht="12.75" customHeight="1">
      <c r="A846" s="3"/>
      <c r="D846" s="3"/>
    </row>
    <row r="847" ht="12.75" customHeight="1">
      <c r="A847" s="3"/>
      <c r="D847" s="3"/>
    </row>
    <row r="848" ht="12.75" customHeight="1">
      <c r="A848" s="3"/>
      <c r="D848" s="3"/>
    </row>
    <row r="849" ht="12.75" customHeight="1">
      <c r="A849" s="3"/>
      <c r="D849" s="3"/>
    </row>
    <row r="850" ht="12.75" customHeight="1">
      <c r="A850" s="3"/>
      <c r="D850" s="3"/>
    </row>
    <row r="851" ht="12.75" customHeight="1">
      <c r="A851" s="3"/>
      <c r="D851" s="3"/>
    </row>
    <row r="852" ht="12.75" customHeight="1">
      <c r="A852" s="3"/>
      <c r="D852" s="3"/>
    </row>
    <row r="853" ht="12.75" customHeight="1">
      <c r="A853" s="3"/>
      <c r="D853" s="3"/>
    </row>
    <row r="854" ht="12.75" customHeight="1">
      <c r="A854" s="3"/>
      <c r="D854" s="3"/>
    </row>
    <row r="855" ht="12.75" customHeight="1">
      <c r="A855" s="3"/>
      <c r="D855" s="3"/>
    </row>
    <row r="856" ht="12.75" customHeight="1">
      <c r="A856" s="3"/>
      <c r="D856" s="3"/>
    </row>
    <row r="857" ht="12.75" customHeight="1">
      <c r="A857" s="3"/>
      <c r="D857" s="3"/>
    </row>
    <row r="858" ht="12.75" customHeight="1">
      <c r="A858" s="3"/>
      <c r="D858" s="3"/>
    </row>
    <row r="859" ht="12.75" customHeight="1">
      <c r="A859" s="3"/>
      <c r="D859" s="3"/>
    </row>
    <row r="860" ht="12.75" customHeight="1">
      <c r="A860" s="3"/>
      <c r="D860" s="3"/>
    </row>
    <row r="861" ht="12.75" customHeight="1">
      <c r="A861" s="3"/>
      <c r="D861" s="3"/>
    </row>
    <row r="862" ht="12.75" customHeight="1">
      <c r="A862" s="3"/>
      <c r="D862" s="3"/>
    </row>
    <row r="863" ht="12.75" customHeight="1">
      <c r="A863" s="3"/>
      <c r="D863" s="3"/>
    </row>
    <row r="864" ht="12.75" customHeight="1">
      <c r="A864" s="3"/>
      <c r="D864" s="3"/>
    </row>
    <row r="865" ht="12.75" customHeight="1">
      <c r="A865" s="3"/>
      <c r="D865" s="3"/>
    </row>
    <row r="866" ht="12.75" customHeight="1">
      <c r="A866" s="3"/>
      <c r="D866" s="3"/>
    </row>
    <row r="867" ht="12.75" customHeight="1">
      <c r="A867" s="3"/>
      <c r="D867" s="3"/>
    </row>
    <row r="868" ht="12.75" customHeight="1">
      <c r="A868" s="3"/>
      <c r="D868" s="3"/>
    </row>
    <row r="869" ht="12.75" customHeight="1">
      <c r="A869" s="3"/>
      <c r="D869" s="3"/>
    </row>
    <row r="870" ht="12.75" customHeight="1">
      <c r="A870" s="3"/>
      <c r="D870" s="3"/>
    </row>
    <row r="871" ht="12.75" customHeight="1">
      <c r="A871" s="3"/>
      <c r="D871" s="3"/>
    </row>
    <row r="872" ht="12.75" customHeight="1">
      <c r="A872" s="3"/>
      <c r="D872" s="3"/>
    </row>
    <row r="873" ht="12.75" customHeight="1">
      <c r="A873" s="3"/>
      <c r="D873" s="3"/>
    </row>
    <row r="874" ht="12.75" customHeight="1">
      <c r="A874" s="3"/>
      <c r="D874" s="3"/>
    </row>
    <row r="875" ht="12.75" customHeight="1">
      <c r="A875" s="3"/>
      <c r="D875" s="3"/>
    </row>
    <row r="876" ht="12.75" customHeight="1">
      <c r="A876" s="3"/>
      <c r="D876" s="3"/>
    </row>
    <row r="877" ht="12.75" customHeight="1">
      <c r="A877" s="3"/>
      <c r="D877" s="3"/>
    </row>
    <row r="878" ht="12.75" customHeight="1">
      <c r="A878" s="3"/>
      <c r="D878" s="3"/>
    </row>
    <row r="879" ht="12.75" customHeight="1">
      <c r="A879" s="3"/>
      <c r="D879" s="3"/>
    </row>
    <row r="880" ht="12.75" customHeight="1">
      <c r="A880" s="3"/>
      <c r="D880" s="3"/>
    </row>
    <row r="881" ht="12.75" customHeight="1">
      <c r="A881" s="3"/>
      <c r="D881" s="3"/>
    </row>
    <row r="882" ht="12.75" customHeight="1">
      <c r="A882" s="3"/>
      <c r="D882" s="3"/>
    </row>
    <row r="883" ht="12.75" customHeight="1">
      <c r="A883" s="3"/>
      <c r="D883" s="3"/>
    </row>
    <row r="884" ht="12.75" customHeight="1">
      <c r="A884" s="3"/>
      <c r="D884" s="3"/>
    </row>
    <row r="885" ht="12.75" customHeight="1">
      <c r="A885" s="3"/>
      <c r="D885" s="3"/>
    </row>
    <row r="886" ht="12.75" customHeight="1">
      <c r="A886" s="3"/>
      <c r="D886" s="3"/>
    </row>
    <row r="887" ht="12.75" customHeight="1">
      <c r="A887" s="3"/>
      <c r="D887" s="3"/>
    </row>
    <row r="888" ht="12.75" customHeight="1">
      <c r="A888" s="3"/>
      <c r="D888" s="3"/>
    </row>
    <row r="889" ht="12.75" customHeight="1">
      <c r="A889" s="3"/>
      <c r="D889" s="3"/>
    </row>
    <row r="890" ht="12.75" customHeight="1">
      <c r="A890" s="3"/>
      <c r="D890" s="3"/>
    </row>
    <row r="891" ht="12.75" customHeight="1">
      <c r="A891" s="3"/>
      <c r="D891" s="3"/>
    </row>
    <row r="892" ht="12.75" customHeight="1">
      <c r="A892" s="3"/>
      <c r="D892" s="3"/>
    </row>
    <row r="893" ht="12.75" customHeight="1">
      <c r="A893" s="3"/>
      <c r="D893" s="3"/>
    </row>
    <row r="894" ht="12.75" customHeight="1">
      <c r="A894" s="3"/>
      <c r="D894" s="3"/>
    </row>
    <row r="895" ht="12.75" customHeight="1">
      <c r="A895" s="3"/>
      <c r="D895" s="3"/>
    </row>
    <row r="896" ht="12.75" customHeight="1">
      <c r="A896" s="3"/>
      <c r="D896" s="3"/>
    </row>
    <row r="897" ht="12.75" customHeight="1">
      <c r="A897" s="3"/>
      <c r="D897" s="3"/>
    </row>
    <row r="898" ht="12.75" customHeight="1">
      <c r="A898" s="3"/>
      <c r="D898" s="3"/>
    </row>
    <row r="899" ht="12.75" customHeight="1">
      <c r="A899" s="3"/>
      <c r="D899" s="3"/>
    </row>
    <row r="900" ht="12.75" customHeight="1">
      <c r="A900" s="3"/>
      <c r="D900" s="3"/>
    </row>
    <row r="901" ht="12.75" customHeight="1">
      <c r="A901" s="3"/>
      <c r="D901" s="3"/>
    </row>
    <row r="902" ht="12.75" customHeight="1">
      <c r="A902" s="3"/>
      <c r="D902" s="3"/>
    </row>
    <row r="903" ht="12.75" customHeight="1">
      <c r="A903" s="3"/>
      <c r="D903" s="3"/>
    </row>
    <row r="904" ht="12.75" customHeight="1">
      <c r="A904" s="3"/>
      <c r="D904" s="3"/>
    </row>
    <row r="905" ht="12.75" customHeight="1">
      <c r="A905" s="3"/>
      <c r="D905" s="3"/>
    </row>
    <row r="906" ht="12.75" customHeight="1">
      <c r="A906" s="3"/>
      <c r="D906" s="3"/>
    </row>
    <row r="907" ht="12.75" customHeight="1">
      <c r="A907" s="3"/>
      <c r="D907" s="3"/>
    </row>
    <row r="908" ht="12.75" customHeight="1">
      <c r="A908" s="3"/>
      <c r="D908" s="3"/>
    </row>
    <row r="909" ht="12.75" customHeight="1">
      <c r="A909" s="3"/>
      <c r="D909" s="3"/>
    </row>
    <row r="910" ht="12.75" customHeight="1">
      <c r="A910" s="3"/>
      <c r="D910" s="3"/>
    </row>
    <row r="911" ht="12.75" customHeight="1">
      <c r="A911" s="3"/>
      <c r="D911" s="3"/>
    </row>
    <row r="912" ht="12.75" customHeight="1">
      <c r="A912" s="3"/>
      <c r="D912" s="3"/>
    </row>
    <row r="913" ht="12.75" customHeight="1">
      <c r="A913" s="3"/>
      <c r="D913" s="3"/>
    </row>
    <row r="914" ht="12.75" customHeight="1">
      <c r="A914" s="3"/>
      <c r="D914" s="3"/>
    </row>
    <row r="915" ht="12.75" customHeight="1">
      <c r="A915" s="3"/>
      <c r="D915" s="3"/>
    </row>
    <row r="916" ht="12.75" customHeight="1">
      <c r="A916" s="3"/>
      <c r="D916" s="3"/>
    </row>
    <row r="917" ht="12.75" customHeight="1">
      <c r="A917" s="3"/>
      <c r="D917" s="3"/>
    </row>
    <row r="918" ht="12.75" customHeight="1">
      <c r="A918" s="3"/>
      <c r="D918" s="3"/>
    </row>
    <row r="919" ht="12.75" customHeight="1">
      <c r="A919" s="3"/>
      <c r="D919" s="3"/>
    </row>
    <row r="920" ht="12.75" customHeight="1">
      <c r="A920" s="3"/>
      <c r="D920" s="3"/>
    </row>
    <row r="921" ht="12.75" customHeight="1">
      <c r="A921" s="3"/>
      <c r="D921" s="3"/>
    </row>
    <row r="922" ht="12.75" customHeight="1">
      <c r="A922" s="3"/>
      <c r="D922" s="3"/>
    </row>
    <row r="923" ht="12.75" customHeight="1">
      <c r="A923" s="3"/>
      <c r="D923" s="3"/>
    </row>
    <row r="924" ht="12.75" customHeight="1">
      <c r="A924" s="3"/>
      <c r="D924" s="3"/>
    </row>
    <row r="925" ht="12.75" customHeight="1">
      <c r="A925" s="3"/>
      <c r="D925" s="3"/>
    </row>
    <row r="926" ht="12.75" customHeight="1">
      <c r="A926" s="3"/>
      <c r="D926" s="3"/>
    </row>
    <row r="927" ht="12.75" customHeight="1">
      <c r="A927" s="3"/>
      <c r="D927" s="3"/>
    </row>
    <row r="928" ht="12.75" customHeight="1">
      <c r="A928" s="3"/>
      <c r="D928" s="3"/>
    </row>
    <row r="929" ht="12.75" customHeight="1">
      <c r="A929" s="3"/>
      <c r="D929" s="3"/>
    </row>
    <row r="930" ht="12.75" customHeight="1">
      <c r="A930" s="3"/>
      <c r="D930" s="3"/>
    </row>
    <row r="931" ht="12.75" customHeight="1">
      <c r="A931" s="3"/>
      <c r="D931" s="3"/>
    </row>
    <row r="932" ht="12.75" customHeight="1">
      <c r="A932" s="3"/>
      <c r="D932" s="3"/>
    </row>
    <row r="933" ht="12.75" customHeight="1">
      <c r="A933" s="3"/>
      <c r="D933" s="3"/>
    </row>
    <row r="934" ht="12.75" customHeight="1">
      <c r="A934" s="3"/>
      <c r="D934" s="3"/>
    </row>
    <row r="935" ht="12.75" customHeight="1">
      <c r="A935" s="3"/>
      <c r="D935" s="3"/>
    </row>
    <row r="936" ht="12.75" customHeight="1">
      <c r="A936" s="3"/>
      <c r="D936" s="3"/>
    </row>
    <row r="937" ht="12.75" customHeight="1">
      <c r="A937" s="3"/>
      <c r="D937" s="3"/>
    </row>
    <row r="938" ht="12.75" customHeight="1">
      <c r="A938" s="3"/>
      <c r="D938" s="3"/>
    </row>
    <row r="939" ht="12.75" customHeight="1">
      <c r="A939" s="3"/>
      <c r="D939" s="3"/>
    </row>
    <row r="940" ht="12.75" customHeight="1">
      <c r="A940" s="3"/>
      <c r="D940" s="3"/>
    </row>
    <row r="941" ht="12.75" customHeight="1">
      <c r="A941" s="3"/>
      <c r="D941" s="3"/>
    </row>
    <row r="942" ht="12.75" customHeight="1">
      <c r="A942" s="3"/>
      <c r="D942" s="3"/>
    </row>
    <row r="943" ht="12.75" customHeight="1">
      <c r="A943" s="3"/>
      <c r="D943" s="3"/>
    </row>
    <row r="944" ht="12.75" customHeight="1">
      <c r="A944" s="3"/>
      <c r="D944" s="3"/>
    </row>
    <row r="945" ht="12.75" customHeight="1">
      <c r="A945" s="3"/>
      <c r="D945" s="3"/>
    </row>
    <row r="946" ht="12.75" customHeight="1">
      <c r="A946" s="3"/>
      <c r="D946" s="3"/>
    </row>
    <row r="947" ht="12.75" customHeight="1">
      <c r="A947" s="3"/>
      <c r="D947" s="3"/>
    </row>
    <row r="948" ht="12.75" customHeight="1">
      <c r="A948" s="3"/>
      <c r="D948" s="3"/>
    </row>
    <row r="949" ht="12.75" customHeight="1">
      <c r="A949" s="3"/>
      <c r="D949" s="3"/>
    </row>
    <row r="950" ht="12.75" customHeight="1">
      <c r="A950" s="3"/>
      <c r="D950" s="3"/>
    </row>
    <row r="951" ht="12.75" customHeight="1">
      <c r="A951" s="3"/>
      <c r="D951" s="3"/>
    </row>
    <row r="952" ht="12.75" customHeight="1">
      <c r="A952" s="3"/>
      <c r="D952" s="3"/>
    </row>
    <row r="953" ht="12.75" customHeight="1">
      <c r="A953" s="3"/>
      <c r="D953" s="3"/>
    </row>
    <row r="954" ht="12.75" customHeight="1">
      <c r="A954" s="3"/>
      <c r="D954" s="3"/>
    </row>
    <row r="955" ht="12.75" customHeight="1">
      <c r="A955" s="3"/>
      <c r="D955" s="3"/>
    </row>
    <row r="956" ht="12.75" customHeight="1">
      <c r="A956" s="3"/>
      <c r="D956" s="3"/>
    </row>
    <row r="957" ht="12.75" customHeight="1">
      <c r="A957" s="3"/>
      <c r="D957" s="3"/>
    </row>
    <row r="958" ht="12.75" customHeight="1">
      <c r="A958" s="3"/>
      <c r="D958" s="3"/>
    </row>
    <row r="959" ht="12.75" customHeight="1">
      <c r="A959" s="3"/>
      <c r="D959" s="3"/>
    </row>
    <row r="960" ht="12.75" customHeight="1">
      <c r="A960" s="3"/>
      <c r="D960" s="3"/>
    </row>
    <row r="961" ht="12.75" customHeight="1">
      <c r="A961" s="3"/>
      <c r="D961" s="3"/>
    </row>
    <row r="962" ht="12.75" customHeight="1">
      <c r="A962" s="3"/>
      <c r="D962" s="3"/>
    </row>
    <row r="963" ht="12.75" customHeight="1">
      <c r="A963" s="3"/>
      <c r="D963" s="3"/>
    </row>
    <row r="964" ht="12.75" customHeight="1">
      <c r="A964" s="3"/>
      <c r="D964" s="3"/>
    </row>
    <row r="965" ht="12.75" customHeight="1">
      <c r="A965" s="3"/>
      <c r="D965" s="3"/>
    </row>
    <row r="966" ht="12.75" customHeight="1">
      <c r="A966" s="3"/>
      <c r="D966" s="3"/>
    </row>
    <row r="967" ht="12.75" customHeight="1">
      <c r="A967" s="3"/>
      <c r="D967" s="3"/>
    </row>
    <row r="968" ht="12.75" customHeight="1">
      <c r="A968" s="3"/>
      <c r="D968" s="3"/>
    </row>
    <row r="969" ht="12.75" customHeight="1">
      <c r="A969" s="3"/>
      <c r="D969" s="3"/>
    </row>
    <row r="970" ht="12.75" customHeight="1">
      <c r="A970" s="3"/>
      <c r="D970" s="3"/>
    </row>
    <row r="971" ht="12.75" customHeight="1">
      <c r="A971" s="3"/>
      <c r="D971" s="3"/>
    </row>
    <row r="972" ht="12.75" customHeight="1">
      <c r="A972" s="3"/>
      <c r="D972" s="3"/>
    </row>
    <row r="973" ht="12.75" customHeight="1">
      <c r="A973" s="3"/>
      <c r="D973" s="3"/>
    </row>
    <row r="974" ht="12.75" customHeight="1">
      <c r="A974" s="3"/>
      <c r="D974" s="3"/>
    </row>
    <row r="975" ht="12.75" customHeight="1">
      <c r="A975" s="3"/>
      <c r="D975" s="3"/>
    </row>
    <row r="976" ht="12.75" customHeight="1">
      <c r="A976" s="3"/>
      <c r="D976" s="3"/>
    </row>
    <row r="977" ht="12.75" customHeight="1">
      <c r="A977" s="3"/>
      <c r="D977" s="3"/>
    </row>
    <row r="978" ht="12.75" customHeight="1">
      <c r="A978" s="3"/>
      <c r="D978" s="3"/>
    </row>
    <row r="979" ht="12.75" customHeight="1">
      <c r="A979" s="3"/>
      <c r="D979" s="3"/>
    </row>
    <row r="980" ht="12.75" customHeight="1">
      <c r="A980" s="3"/>
      <c r="D980" s="3"/>
    </row>
    <row r="981" ht="12.75" customHeight="1">
      <c r="A981" s="3"/>
      <c r="D981" s="3"/>
    </row>
    <row r="982" ht="12.75" customHeight="1">
      <c r="A982" s="3"/>
      <c r="D982" s="3"/>
    </row>
    <row r="983" ht="12.75" customHeight="1">
      <c r="A983" s="3"/>
      <c r="D983" s="3"/>
    </row>
    <row r="984" ht="12.75" customHeight="1">
      <c r="A984" s="3"/>
      <c r="D984" s="3"/>
    </row>
    <row r="985" ht="12.75" customHeight="1">
      <c r="A985" s="3"/>
      <c r="D985" s="3"/>
    </row>
    <row r="986" ht="12.75" customHeight="1">
      <c r="A986" s="3"/>
      <c r="D986" s="3"/>
    </row>
    <row r="987" ht="12.75" customHeight="1">
      <c r="A987" s="3"/>
      <c r="D987" s="3"/>
    </row>
    <row r="988" ht="12.75" customHeight="1">
      <c r="A988" s="3"/>
      <c r="D988" s="3"/>
    </row>
    <row r="989" ht="12.75" customHeight="1">
      <c r="A989" s="3"/>
      <c r="D989" s="3"/>
    </row>
    <row r="990" ht="12.75" customHeight="1">
      <c r="A990" s="3"/>
      <c r="D990" s="3"/>
    </row>
    <row r="991" ht="12.75" customHeight="1">
      <c r="A991" s="3"/>
      <c r="D991" s="3"/>
    </row>
    <row r="992" ht="12.75" customHeight="1">
      <c r="A992" s="3"/>
      <c r="D992" s="3"/>
    </row>
    <row r="993" ht="12.75" customHeight="1">
      <c r="A993" s="3"/>
      <c r="D993" s="3"/>
    </row>
    <row r="994" ht="12.75" customHeight="1">
      <c r="A994" s="3"/>
      <c r="D994" s="3"/>
    </row>
    <row r="995" ht="12.75" customHeight="1">
      <c r="A995" s="3"/>
      <c r="D995" s="3"/>
    </row>
    <row r="996" ht="12.75" customHeight="1">
      <c r="A996" s="3"/>
      <c r="D996" s="3"/>
    </row>
    <row r="997" ht="12.75" customHeight="1">
      <c r="A997" s="3"/>
      <c r="D997" s="3"/>
    </row>
    <row r="998" ht="12.75" customHeight="1">
      <c r="A998" s="3"/>
      <c r="D998" s="3"/>
    </row>
    <row r="999" ht="12.75" customHeight="1">
      <c r="A999" s="3"/>
      <c r="D999" s="3"/>
    </row>
    <row r="1000" ht="12.75" customHeight="1">
      <c r="A1000" s="3"/>
      <c r="D1000" s="3"/>
    </row>
  </sheetData>
  <mergeCells count="1">
    <mergeCell ref="B36:D36"/>
  </mergeCell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54.43"/>
    <col customWidth="1" min="2" max="4" width="14.0"/>
    <col customWidth="1" min="5" max="16" width="11.43"/>
    <col customWidth="1" min="17" max="26" width="10.0"/>
  </cols>
  <sheetData>
    <row r="1" ht="14.25" customHeight="1">
      <c r="A1" s="2" t="s">
        <v>0</v>
      </c>
      <c r="B1" s="3"/>
      <c r="C1" s="3"/>
      <c r="D1" s="3" t="str">
        <f>InfoInicial!E1</f>
        <v/>
      </c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6.5" customHeight="1">
      <c r="A2" s="173" t="s">
        <v>366</v>
      </c>
      <c r="B2" s="12"/>
      <c r="C2" s="12"/>
      <c r="D2" s="1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4.25" customHeight="1">
      <c r="A3" s="18" t="s">
        <v>30</v>
      </c>
      <c r="B3" s="230" t="s">
        <v>52</v>
      </c>
      <c r="C3" s="230" t="s">
        <v>31</v>
      </c>
      <c r="D3" s="26" t="s">
        <v>277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4.25" customHeight="1">
      <c r="A4" s="36" t="s">
        <v>367</v>
      </c>
      <c r="B4" s="37"/>
      <c r="C4" s="37"/>
      <c r="D4" s="5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4.25" customHeight="1">
      <c r="A5" s="1"/>
      <c r="B5" s="37"/>
      <c r="C5" s="37"/>
      <c r="D5" s="58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4.25" customHeight="1">
      <c r="A6" s="1" t="s">
        <v>368</v>
      </c>
      <c r="B6" s="37"/>
      <c r="C6" s="37"/>
      <c r="D6" s="58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4.25" customHeight="1">
      <c r="A7" s="1" t="s">
        <v>369</v>
      </c>
      <c r="B7" s="37"/>
      <c r="C7" s="37"/>
      <c r="D7" s="58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4.25" customHeight="1">
      <c r="A8" s="36" t="s">
        <v>370</v>
      </c>
      <c r="B8" s="37"/>
      <c r="C8" s="37"/>
      <c r="D8" s="58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4.25" customHeight="1">
      <c r="A9" s="229" t="s">
        <v>371</v>
      </c>
      <c r="B9" s="37"/>
      <c r="C9" s="37"/>
      <c r="D9" s="58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4.25" customHeight="1">
      <c r="A10" s="36" t="s">
        <v>372</v>
      </c>
      <c r="B10" s="37"/>
      <c r="C10" s="37"/>
      <c r="D10" s="5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4.25" customHeight="1">
      <c r="A11" s="36" t="s">
        <v>373</v>
      </c>
      <c r="B11" s="37"/>
      <c r="C11" s="37"/>
      <c r="D11" s="5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4.25" customHeight="1">
      <c r="A12" s="229" t="s">
        <v>374</v>
      </c>
      <c r="B12" s="37"/>
      <c r="C12" s="37"/>
      <c r="D12" s="5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4.25" customHeight="1">
      <c r="A13" s="1" t="s">
        <v>375</v>
      </c>
      <c r="B13" s="37"/>
      <c r="C13" s="37"/>
      <c r="D13" s="5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4.25" customHeight="1">
      <c r="A14" s="1" t="s">
        <v>376</v>
      </c>
      <c r="B14" s="37"/>
      <c r="C14" s="37"/>
      <c r="D14" s="5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4.25" customHeight="1">
      <c r="A15" s="36" t="s">
        <v>377</v>
      </c>
      <c r="B15" s="37"/>
      <c r="C15" s="37"/>
      <c r="D15" s="5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4.25" customHeight="1">
      <c r="A16" s="1" t="s">
        <v>189</v>
      </c>
      <c r="B16" s="37"/>
      <c r="C16" s="37"/>
      <c r="D16" s="5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4.25" customHeight="1">
      <c r="A17" s="1" t="s">
        <v>378</v>
      </c>
      <c r="B17" s="37"/>
      <c r="C17" s="37"/>
      <c r="D17" s="5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4.25" customHeight="1">
      <c r="A18" s="1" t="s">
        <v>379</v>
      </c>
      <c r="B18" s="37"/>
      <c r="C18" s="37"/>
      <c r="D18" s="5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4.25" customHeight="1">
      <c r="A19" s="1" t="s">
        <v>380</v>
      </c>
      <c r="B19" s="37"/>
      <c r="C19" s="37"/>
      <c r="D19" s="5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4.25" customHeight="1">
      <c r="A20" s="36" t="s">
        <v>381</v>
      </c>
      <c r="B20" s="37"/>
      <c r="C20" s="37"/>
      <c r="D20" s="5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4.25" customHeight="1">
      <c r="A21" s="1" t="s">
        <v>382</v>
      </c>
      <c r="B21" s="37"/>
      <c r="C21" s="37"/>
      <c r="D21" s="5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4.25" customHeight="1">
      <c r="A22" s="36" t="s">
        <v>383</v>
      </c>
      <c r="B22" s="37"/>
      <c r="C22" s="37"/>
      <c r="D22" s="5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4.25" customHeight="1">
      <c r="A23" s="36" t="s">
        <v>384</v>
      </c>
      <c r="B23" s="37"/>
      <c r="C23" s="37"/>
      <c r="D23" s="5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4.25" customHeight="1">
      <c r="A24" s="36" t="s">
        <v>385</v>
      </c>
      <c r="B24" s="37"/>
      <c r="C24" s="37"/>
      <c r="D24" s="5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4.25" customHeight="1">
      <c r="A25" s="1" t="s">
        <v>386</v>
      </c>
      <c r="B25" s="37"/>
      <c r="C25" s="37"/>
      <c r="D25" s="58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4.25" customHeight="1">
      <c r="A26" s="1" t="s">
        <v>387</v>
      </c>
      <c r="B26" s="37"/>
      <c r="C26" s="37"/>
      <c r="D26" s="5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4.25" customHeight="1">
      <c r="A27" s="36" t="s">
        <v>388</v>
      </c>
      <c r="B27" s="37"/>
      <c r="C27" s="37"/>
      <c r="D27" s="58"/>
      <c r="E27" s="23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4.25" customHeight="1">
      <c r="A28" s="36" t="s">
        <v>389</v>
      </c>
      <c r="B28" s="37"/>
      <c r="C28" s="37"/>
      <c r="D28" s="171"/>
      <c r="E28" s="232" t="s">
        <v>390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4.25" customHeight="1">
      <c r="A29" s="36" t="s">
        <v>391</v>
      </c>
      <c r="B29" s="37"/>
      <c r="C29" s="37"/>
      <c r="D29" s="171"/>
      <c r="E29" s="198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4.25" customHeight="1">
      <c r="A30" s="36" t="s">
        <v>392</v>
      </c>
      <c r="B30" s="37"/>
      <c r="C30" s="37"/>
      <c r="D30" s="171"/>
      <c r="E30" s="198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4.25" customHeight="1">
      <c r="A31" s="36" t="s">
        <v>393</v>
      </c>
      <c r="B31" s="37"/>
      <c r="C31" s="37"/>
      <c r="D31" s="171"/>
      <c r="E31" s="198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4.25" customHeight="1">
      <c r="A32" s="100" t="s">
        <v>277</v>
      </c>
      <c r="B32" s="104"/>
      <c r="C32" s="104"/>
      <c r="D32" s="172"/>
      <c r="E32" s="23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6.5" customHeight="1">
      <c r="A34" s="173" t="s">
        <v>394</v>
      </c>
      <c r="B34" s="12"/>
      <c r="C34" s="12"/>
      <c r="D34" s="12"/>
      <c r="E34" s="12"/>
      <c r="F34" s="1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4.25" customHeight="1">
      <c r="A35" s="18" t="s">
        <v>30</v>
      </c>
      <c r="B35" s="24" t="s">
        <v>31</v>
      </c>
      <c r="C35" s="24" t="s">
        <v>32</v>
      </c>
      <c r="D35" s="24" t="s">
        <v>33</v>
      </c>
      <c r="E35" s="24" t="s">
        <v>34</v>
      </c>
      <c r="F35" s="24" t="s">
        <v>35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4.25" customHeight="1">
      <c r="A36" s="33" t="s">
        <v>259</v>
      </c>
      <c r="B36" s="48"/>
      <c r="C36" s="48"/>
      <c r="D36" s="48"/>
      <c r="E36" s="48"/>
      <c r="F36" s="48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4.25" customHeight="1">
      <c r="A37" s="111" t="s">
        <v>258</v>
      </c>
      <c r="B37" s="48"/>
      <c r="C37" s="48"/>
      <c r="D37" s="48"/>
      <c r="E37" s="48"/>
      <c r="F37" s="48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4.25" customHeight="1">
      <c r="A38" s="33" t="s">
        <v>261</v>
      </c>
      <c r="B38" s="48"/>
      <c r="C38" s="48"/>
      <c r="D38" s="48"/>
      <c r="E38" s="48"/>
      <c r="F38" s="48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4.25" customHeight="1">
      <c r="A39" s="111" t="s">
        <v>260</v>
      </c>
      <c r="B39" s="48"/>
      <c r="C39" s="48"/>
      <c r="D39" s="48"/>
      <c r="E39" s="48"/>
      <c r="F39" s="48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4.25" customHeight="1">
      <c r="A40" s="33" t="s">
        <v>263</v>
      </c>
      <c r="B40" s="48"/>
      <c r="C40" s="48"/>
      <c r="D40" s="48"/>
      <c r="E40" s="48"/>
      <c r="F40" s="48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4.25" customHeight="1">
      <c r="A41" s="111" t="s">
        <v>262</v>
      </c>
      <c r="B41" s="48"/>
      <c r="C41" s="48"/>
      <c r="D41" s="48"/>
      <c r="E41" s="48"/>
      <c r="F41" s="48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4.25" customHeight="1">
      <c r="A42" s="111" t="s">
        <v>395</v>
      </c>
      <c r="B42" s="48"/>
      <c r="C42" s="48"/>
      <c r="D42" s="48"/>
      <c r="E42" s="48"/>
      <c r="F42" s="48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4.25" customHeight="1">
      <c r="A43" s="33" t="s">
        <v>264</v>
      </c>
      <c r="B43" s="48"/>
      <c r="C43" s="48"/>
      <c r="D43" s="48"/>
      <c r="E43" s="48"/>
      <c r="F43" s="48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4.25" customHeight="1">
      <c r="A44" s="74" t="s">
        <v>265</v>
      </c>
      <c r="B44" s="64"/>
      <c r="C44" s="64"/>
      <c r="D44" s="64"/>
      <c r="E44" s="64"/>
      <c r="F44" s="64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6.5" customHeight="1">
      <c r="A45" s="163" t="s">
        <v>396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43.0"/>
    <col customWidth="1" min="2" max="7" width="14.0"/>
    <col customWidth="1" min="8" max="8" width="17.43"/>
    <col customWidth="1" min="9" max="17" width="11.43"/>
    <col customWidth="1" min="18" max="26" width="10.0"/>
  </cols>
  <sheetData>
    <row r="1" ht="14.25" customHeight="1">
      <c r="A1" s="2" t="s">
        <v>0</v>
      </c>
      <c r="B1" s="3"/>
      <c r="C1" s="3"/>
      <c r="D1" s="3"/>
      <c r="E1" s="4" t="str">
        <f>InfoInicial!E1</f>
        <v/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6.5" customHeight="1">
      <c r="A2" s="173" t="s">
        <v>296</v>
      </c>
      <c r="B2" s="12"/>
      <c r="C2" s="12"/>
      <c r="D2" s="12"/>
      <c r="E2" s="12"/>
      <c r="F2" s="12"/>
      <c r="G2" s="1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75" customHeight="1">
      <c r="A3" s="174"/>
      <c r="B3" s="175" t="s">
        <v>297</v>
      </c>
      <c r="C3" s="175"/>
      <c r="D3" s="175"/>
      <c r="E3" s="175"/>
      <c r="F3" s="175"/>
      <c r="G3" s="17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.5" customHeight="1">
      <c r="A4" s="177" t="s">
        <v>30</v>
      </c>
      <c r="B4" s="168" t="s">
        <v>52</v>
      </c>
      <c r="C4" s="24" t="s">
        <v>31</v>
      </c>
      <c r="D4" s="24" t="s">
        <v>32</v>
      </c>
      <c r="E4" s="24" t="s">
        <v>33</v>
      </c>
      <c r="F4" s="24" t="s">
        <v>34</v>
      </c>
      <c r="G4" s="26" t="s">
        <v>35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178" t="s">
        <v>397</v>
      </c>
      <c r="B5" s="179"/>
      <c r="C5" s="81"/>
      <c r="D5" s="81"/>
      <c r="E5" s="81"/>
      <c r="F5" s="81"/>
      <c r="G5" s="8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80" t="s">
        <v>398</v>
      </c>
      <c r="B6" s="181"/>
      <c r="C6" s="37"/>
      <c r="D6" s="37"/>
      <c r="E6" s="37"/>
      <c r="F6" s="37"/>
      <c r="G6" s="5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80" t="s">
        <v>399</v>
      </c>
      <c r="B7" s="181"/>
      <c r="C7" s="37"/>
      <c r="D7" s="37"/>
      <c r="E7" s="37"/>
      <c r="F7" s="37"/>
      <c r="G7" s="5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234" t="s">
        <v>400</v>
      </c>
      <c r="B8" s="181"/>
      <c r="C8" s="37"/>
      <c r="D8" s="37"/>
      <c r="E8" s="37"/>
      <c r="F8" s="37"/>
      <c r="G8" s="5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234" t="s">
        <v>401</v>
      </c>
      <c r="B9" s="181"/>
      <c r="C9" s="37"/>
      <c r="D9" s="37"/>
      <c r="E9" s="37"/>
      <c r="F9" s="37"/>
      <c r="G9" s="5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82" t="s">
        <v>402</v>
      </c>
      <c r="B10" s="181"/>
      <c r="C10" s="37"/>
      <c r="D10" s="37"/>
      <c r="E10" s="37"/>
      <c r="F10" s="37"/>
      <c r="G10" s="58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82"/>
      <c r="B11" s="181"/>
      <c r="C11" s="37"/>
      <c r="D11" s="37"/>
      <c r="E11" s="37"/>
      <c r="F11" s="37"/>
      <c r="G11" s="58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80" t="s">
        <v>308</v>
      </c>
      <c r="B12" s="181"/>
      <c r="C12" s="37"/>
      <c r="D12" s="37"/>
      <c r="E12" s="37"/>
      <c r="F12" s="37"/>
      <c r="G12" s="58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80" t="s">
        <v>309</v>
      </c>
      <c r="B13" s="181"/>
      <c r="C13" s="37"/>
      <c r="D13" s="37"/>
      <c r="E13" s="37"/>
      <c r="F13" s="37"/>
      <c r="G13" s="58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82" t="s">
        <v>403</v>
      </c>
      <c r="B14" s="181"/>
      <c r="C14" s="37"/>
      <c r="D14" s="37"/>
      <c r="E14" s="37"/>
      <c r="F14" s="37"/>
      <c r="G14" s="58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80"/>
      <c r="B15" s="181"/>
      <c r="C15" s="37"/>
      <c r="D15" s="37"/>
      <c r="E15" s="37"/>
      <c r="F15" s="37"/>
      <c r="G15" s="58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83" t="s">
        <v>404</v>
      </c>
      <c r="B16" s="181"/>
      <c r="C16" s="37"/>
      <c r="D16" s="37"/>
      <c r="E16" s="37"/>
      <c r="F16" s="37"/>
      <c r="G16" s="5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83" t="s">
        <v>405</v>
      </c>
      <c r="B17" s="181"/>
      <c r="C17" s="37"/>
      <c r="D17" s="37"/>
      <c r="E17" s="37"/>
      <c r="F17" s="37"/>
      <c r="G17" s="58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82" t="s">
        <v>406</v>
      </c>
      <c r="B18" s="181"/>
      <c r="C18" s="37"/>
      <c r="D18" s="37"/>
      <c r="E18" s="37"/>
      <c r="F18" s="37"/>
      <c r="G18" s="58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82" t="s">
        <v>407</v>
      </c>
      <c r="B19" s="181"/>
      <c r="C19" s="37"/>
      <c r="D19" s="37"/>
      <c r="E19" s="37"/>
      <c r="F19" s="37"/>
      <c r="G19" s="58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80"/>
      <c r="B20" s="181"/>
      <c r="C20" s="37"/>
      <c r="D20" s="37"/>
      <c r="E20" s="37"/>
      <c r="F20" s="37"/>
      <c r="G20" s="58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84" t="s">
        <v>315</v>
      </c>
      <c r="B21" s="185"/>
      <c r="C21" s="104"/>
      <c r="D21" s="104"/>
      <c r="E21" s="104"/>
      <c r="F21" s="104"/>
      <c r="G21" s="106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41.0"/>
    <col customWidth="1" min="2" max="8" width="14.86"/>
    <col customWidth="1" min="9" max="9" width="17.43"/>
    <col customWidth="1" min="10" max="18" width="11.43"/>
    <col customWidth="1" min="19" max="26" width="10.0"/>
  </cols>
  <sheetData>
    <row r="1" ht="14.25" customHeight="1">
      <c r="A1" s="2" t="s">
        <v>0</v>
      </c>
      <c r="B1" s="3"/>
      <c r="C1" s="3"/>
      <c r="D1" s="3"/>
      <c r="E1" s="4" t="str">
        <f>InfoInicial!E1</f>
        <v/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194" t="s">
        <v>408</v>
      </c>
      <c r="B3" s="147"/>
      <c r="C3" s="147"/>
      <c r="D3" s="147"/>
      <c r="E3" s="147"/>
      <c r="F3" s="147"/>
      <c r="G3" s="235"/>
      <c r="H3" s="14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46"/>
      <c r="B4" s="20" t="s">
        <v>52</v>
      </c>
      <c r="C4" s="20" t="s">
        <v>31</v>
      </c>
      <c r="D4" s="20" t="s">
        <v>32</v>
      </c>
      <c r="E4" s="20" t="s">
        <v>33</v>
      </c>
      <c r="F4" s="20" t="s">
        <v>34</v>
      </c>
      <c r="G4" s="195" t="s">
        <v>35</v>
      </c>
      <c r="H4" s="22" t="s">
        <v>277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36" t="s">
        <v>409</v>
      </c>
      <c r="B5" s="236"/>
      <c r="C5" s="236"/>
      <c r="D5" s="236"/>
      <c r="E5" s="236"/>
      <c r="F5" s="236"/>
      <c r="G5" s="237"/>
      <c r="H5" s="23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410</v>
      </c>
      <c r="B6" s="37"/>
      <c r="C6" s="37"/>
      <c r="D6" s="37"/>
      <c r="E6" s="37"/>
      <c r="F6" s="37"/>
      <c r="G6" s="171"/>
      <c r="H6" s="5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411</v>
      </c>
      <c r="B7" s="239"/>
      <c r="C7" s="239"/>
      <c r="D7" s="239"/>
      <c r="E7" s="239"/>
      <c r="F7" s="239"/>
      <c r="G7" s="240"/>
      <c r="H7" s="24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412</v>
      </c>
      <c r="B8" s="37"/>
      <c r="C8" s="37"/>
      <c r="D8" s="37"/>
      <c r="E8" s="37"/>
      <c r="F8" s="37"/>
      <c r="G8" s="171"/>
      <c r="H8" s="58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413</v>
      </c>
      <c r="B9" s="239"/>
      <c r="C9" s="239"/>
      <c r="D9" s="239"/>
      <c r="E9" s="239"/>
      <c r="F9" s="239"/>
      <c r="G9" s="240"/>
      <c r="H9" s="24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414</v>
      </c>
      <c r="B10" s="37"/>
      <c r="C10" s="37"/>
      <c r="D10" s="37"/>
      <c r="E10" s="37"/>
      <c r="F10" s="37"/>
      <c r="G10" s="171"/>
      <c r="H10" s="5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415</v>
      </c>
      <c r="B11" s="236"/>
      <c r="C11" s="236"/>
      <c r="D11" s="236"/>
      <c r="E11" s="236"/>
      <c r="F11" s="236"/>
      <c r="G11" s="237"/>
      <c r="H11" s="23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37"/>
      <c r="C12" s="37"/>
      <c r="D12" s="37"/>
      <c r="E12" s="37"/>
      <c r="F12" s="37"/>
      <c r="G12" s="171"/>
      <c r="H12" s="5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36" t="s">
        <v>416</v>
      </c>
      <c r="B13" s="37"/>
      <c r="C13" s="37"/>
      <c r="D13" s="37"/>
      <c r="E13" s="37"/>
      <c r="F13" s="37"/>
      <c r="G13" s="171"/>
      <c r="H13" s="5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417</v>
      </c>
      <c r="B14" s="239"/>
      <c r="C14" s="239"/>
      <c r="D14" s="239"/>
      <c r="E14" s="239"/>
      <c r="F14" s="239"/>
      <c r="G14" s="240"/>
      <c r="H14" s="24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340</v>
      </c>
      <c r="B15" s="37"/>
      <c r="C15" s="37"/>
      <c r="D15" s="37"/>
      <c r="E15" s="37"/>
      <c r="F15" s="37"/>
      <c r="G15" s="171"/>
      <c r="H15" s="5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418</v>
      </c>
      <c r="B16" s="37"/>
      <c r="C16" s="37"/>
      <c r="D16" s="37"/>
      <c r="E16" s="37"/>
      <c r="F16" s="37"/>
      <c r="G16" s="171"/>
      <c r="H16" s="5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419</v>
      </c>
      <c r="B17" s="37"/>
      <c r="C17" s="37"/>
      <c r="D17" s="37"/>
      <c r="E17" s="37"/>
      <c r="F17" s="37"/>
      <c r="G17" s="171"/>
      <c r="H17" s="5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420</v>
      </c>
      <c r="B18" s="239"/>
      <c r="C18" s="239"/>
      <c r="D18" s="239"/>
      <c r="E18" s="239"/>
      <c r="F18" s="239"/>
      <c r="G18" s="240"/>
      <c r="H18" s="24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421</v>
      </c>
      <c r="B19" s="37"/>
      <c r="C19" s="37"/>
      <c r="D19" s="37"/>
      <c r="E19" s="37"/>
      <c r="F19" s="37"/>
      <c r="G19" s="171"/>
      <c r="H19" s="5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422</v>
      </c>
      <c r="B20" s="239"/>
      <c r="C20" s="239"/>
      <c r="D20" s="239"/>
      <c r="E20" s="239"/>
      <c r="F20" s="239"/>
      <c r="G20" s="240"/>
      <c r="H20" s="24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423</v>
      </c>
      <c r="B21" s="37"/>
      <c r="C21" s="37"/>
      <c r="D21" s="37"/>
      <c r="E21" s="37"/>
      <c r="F21" s="37"/>
      <c r="G21" s="171"/>
      <c r="H21" s="5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424</v>
      </c>
      <c r="B22" s="236"/>
      <c r="C22" s="236"/>
      <c r="D22" s="236"/>
      <c r="E22" s="236"/>
      <c r="F22" s="236"/>
      <c r="G22" s="237"/>
      <c r="H22" s="238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37"/>
      <c r="C23" s="37"/>
      <c r="D23" s="37"/>
      <c r="E23" s="37"/>
      <c r="F23" s="37"/>
      <c r="G23" s="171"/>
      <c r="H23" s="5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36" t="s">
        <v>425</v>
      </c>
      <c r="B24" s="37"/>
      <c r="C24" s="37"/>
      <c r="D24" s="37"/>
      <c r="E24" s="37"/>
      <c r="F24" s="37"/>
      <c r="G24" s="171"/>
      <c r="H24" s="58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36" t="s">
        <v>426</v>
      </c>
      <c r="B25" s="37"/>
      <c r="C25" s="37"/>
      <c r="D25" s="37"/>
      <c r="E25" s="37"/>
      <c r="F25" s="37"/>
      <c r="G25" s="171"/>
      <c r="H25" s="58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36"/>
      <c r="B26" s="37"/>
      <c r="C26" s="37"/>
      <c r="D26" s="37"/>
      <c r="E26" s="37"/>
      <c r="F26" s="37"/>
      <c r="G26" s="171"/>
      <c r="H26" s="5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36" t="s">
        <v>427</v>
      </c>
      <c r="B27" s="144"/>
      <c r="C27" s="144"/>
      <c r="D27" s="144"/>
      <c r="E27" s="144"/>
      <c r="F27" s="144"/>
      <c r="G27" s="242"/>
      <c r="H27" s="15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74" t="s">
        <v>428</v>
      </c>
      <c r="B28" s="64"/>
      <c r="C28" s="64"/>
      <c r="D28" s="64"/>
      <c r="E28" s="64"/>
      <c r="F28" s="64"/>
      <c r="G28" s="243"/>
      <c r="H28" s="244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7.71"/>
    <col customWidth="1" min="2" max="7" width="14.86"/>
    <col customWidth="1" min="8" max="8" width="17.43"/>
    <col customWidth="1" min="9" max="17" width="11.43"/>
    <col customWidth="1" min="18" max="26" width="10.0"/>
  </cols>
  <sheetData>
    <row r="1" ht="14.25" customHeight="1">
      <c r="A1" s="2" t="s">
        <v>0</v>
      </c>
      <c r="B1" s="3"/>
      <c r="C1" s="3"/>
      <c r="D1" s="3"/>
      <c r="E1" s="4" t="str">
        <f>InfoInicial!E1</f>
        <v/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194" t="s">
        <v>429</v>
      </c>
      <c r="B3" s="147"/>
      <c r="C3" s="147"/>
      <c r="D3" s="147"/>
      <c r="E3" s="147"/>
      <c r="F3" s="147"/>
      <c r="G3" s="14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.5" customHeight="1">
      <c r="A4" s="65"/>
      <c r="B4" s="137" t="s">
        <v>52</v>
      </c>
      <c r="C4" s="137" t="s">
        <v>31</v>
      </c>
      <c r="D4" s="137" t="s">
        <v>32</v>
      </c>
      <c r="E4" s="137" t="s">
        <v>33</v>
      </c>
      <c r="F4" s="137" t="s">
        <v>34</v>
      </c>
      <c r="G4" s="138" t="s">
        <v>35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77" t="s">
        <v>430</v>
      </c>
      <c r="B5" s="245"/>
      <c r="C5" s="245"/>
      <c r="D5" s="245"/>
      <c r="E5" s="245"/>
      <c r="F5" s="245"/>
      <c r="G5" s="24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33" t="s">
        <v>431</v>
      </c>
      <c r="B6" s="37"/>
      <c r="C6" s="37"/>
      <c r="D6" s="37"/>
      <c r="E6" s="37"/>
      <c r="F6" s="37"/>
      <c r="G6" s="5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46" t="s">
        <v>432</v>
      </c>
      <c r="B7" s="239"/>
      <c r="C7" s="239"/>
      <c r="D7" s="239"/>
      <c r="E7" s="239"/>
      <c r="F7" s="239"/>
      <c r="G7" s="24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46" t="s">
        <v>433</v>
      </c>
      <c r="B8" s="37"/>
      <c r="C8" s="37"/>
      <c r="D8" s="37"/>
      <c r="E8" s="37"/>
      <c r="F8" s="37"/>
      <c r="G8" s="5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33" t="s">
        <v>434</v>
      </c>
      <c r="B9" s="239"/>
      <c r="C9" s="239"/>
      <c r="D9" s="239"/>
      <c r="E9" s="239"/>
      <c r="F9" s="239"/>
      <c r="G9" s="24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33" t="s">
        <v>435</v>
      </c>
      <c r="B10" s="37"/>
      <c r="C10" s="37"/>
      <c r="D10" s="37"/>
      <c r="E10" s="37"/>
      <c r="F10" s="37"/>
      <c r="G10" s="58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33" t="s">
        <v>436</v>
      </c>
      <c r="B11" s="236"/>
      <c r="C11" s="236"/>
      <c r="D11" s="236"/>
      <c r="E11" s="236"/>
      <c r="F11" s="236"/>
      <c r="G11" s="238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33" t="s">
        <v>437</v>
      </c>
      <c r="B12" s="236"/>
      <c r="C12" s="236"/>
      <c r="D12" s="236"/>
      <c r="E12" s="236"/>
      <c r="F12" s="236"/>
      <c r="G12" s="238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33" t="s">
        <v>438</v>
      </c>
      <c r="B13" s="236"/>
      <c r="C13" s="236"/>
      <c r="D13" s="236"/>
      <c r="E13" s="236"/>
      <c r="F13" s="236"/>
      <c r="G13" s="238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46" t="s">
        <v>439</v>
      </c>
      <c r="B14" s="37"/>
      <c r="C14" s="37"/>
      <c r="D14" s="37"/>
      <c r="E14" s="37"/>
      <c r="F14" s="37"/>
      <c r="G14" s="58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46" t="s">
        <v>440</v>
      </c>
      <c r="B15" s="239"/>
      <c r="C15" s="239"/>
      <c r="D15" s="239"/>
      <c r="E15" s="239"/>
      <c r="F15" s="239"/>
      <c r="G15" s="24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46" t="s">
        <v>441</v>
      </c>
      <c r="B16" s="37"/>
      <c r="C16" s="37"/>
      <c r="D16" s="37"/>
      <c r="E16" s="37"/>
      <c r="F16" s="37"/>
      <c r="G16" s="5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46" t="s">
        <v>442</v>
      </c>
      <c r="B17" s="37"/>
      <c r="C17" s="37"/>
      <c r="D17" s="37"/>
      <c r="E17" s="37"/>
      <c r="F17" s="37"/>
      <c r="G17" s="58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33" t="s">
        <v>127</v>
      </c>
      <c r="B18" s="239"/>
      <c r="C18" s="239"/>
      <c r="D18" s="239"/>
      <c r="E18" s="239"/>
      <c r="F18" s="239"/>
      <c r="G18" s="24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46" t="s">
        <v>439</v>
      </c>
      <c r="B19" s="37"/>
      <c r="C19" s="37"/>
      <c r="D19" s="37"/>
      <c r="E19" s="37"/>
      <c r="F19" s="37"/>
      <c r="G19" s="58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46" t="s">
        <v>443</v>
      </c>
      <c r="B20" s="37"/>
      <c r="C20" s="37"/>
      <c r="D20" s="37"/>
      <c r="E20" s="37"/>
      <c r="F20" s="37"/>
      <c r="G20" s="58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46" t="s">
        <v>444</v>
      </c>
      <c r="B21" s="37"/>
      <c r="C21" s="37"/>
      <c r="D21" s="37"/>
      <c r="E21" s="37"/>
      <c r="F21" s="37"/>
      <c r="G21" s="58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46" t="s">
        <v>442</v>
      </c>
      <c r="B22" s="239"/>
      <c r="C22" s="239"/>
      <c r="D22" s="239"/>
      <c r="E22" s="239"/>
      <c r="F22" s="239"/>
      <c r="G22" s="24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33" t="s">
        <v>445</v>
      </c>
      <c r="B23" s="239"/>
      <c r="C23" s="239"/>
      <c r="D23" s="239"/>
      <c r="E23" s="239"/>
      <c r="F23" s="239"/>
      <c r="G23" s="24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33" t="s">
        <v>446</v>
      </c>
      <c r="B24" s="239"/>
      <c r="C24" s="239"/>
      <c r="D24" s="239"/>
      <c r="E24" s="239"/>
      <c r="F24" s="239"/>
      <c r="G24" s="24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33" t="s">
        <v>447</v>
      </c>
      <c r="B25" s="239"/>
      <c r="C25" s="239"/>
      <c r="D25" s="239"/>
      <c r="E25" s="239"/>
      <c r="F25" s="239"/>
      <c r="G25" s="24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33" t="s">
        <v>448</v>
      </c>
      <c r="B26" s="239"/>
      <c r="C26" s="239"/>
      <c r="D26" s="239"/>
      <c r="E26" s="239"/>
      <c r="F26" s="239"/>
      <c r="G26" s="24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33" t="s">
        <v>449</v>
      </c>
      <c r="B27" s="37"/>
      <c r="C27" s="37"/>
      <c r="D27" s="37"/>
      <c r="E27" s="37"/>
      <c r="F27" s="37"/>
      <c r="G27" s="58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33" t="s">
        <v>450</v>
      </c>
      <c r="B28" s="37"/>
      <c r="C28" s="37"/>
      <c r="D28" s="37"/>
      <c r="E28" s="37"/>
      <c r="F28" s="37"/>
      <c r="G28" s="58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33" t="s">
        <v>449</v>
      </c>
      <c r="B29" s="239"/>
      <c r="C29" s="239"/>
      <c r="D29" s="239"/>
      <c r="E29" s="239"/>
      <c r="F29" s="239"/>
      <c r="G29" s="24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33" t="s">
        <v>451</v>
      </c>
      <c r="B30" s="37"/>
      <c r="C30" s="37"/>
      <c r="D30" s="37"/>
      <c r="E30" s="37"/>
      <c r="F30" s="37"/>
      <c r="G30" s="58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33" t="s">
        <v>452</v>
      </c>
      <c r="B31" s="37"/>
      <c r="C31" s="37"/>
      <c r="D31" s="37"/>
      <c r="E31" s="37"/>
      <c r="F31" s="37"/>
      <c r="G31" s="58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33" t="s">
        <v>453</v>
      </c>
      <c r="B32" s="37"/>
      <c r="C32" s="37"/>
      <c r="D32" s="37"/>
      <c r="E32" s="37"/>
      <c r="F32" s="37"/>
      <c r="G32" s="58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33" t="s">
        <v>454</v>
      </c>
      <c r="B33" s="239"/>
      <c r="C33" s="239"/>
      <c r="D33" s="239"/>
      <c r="E33" s="239"/>
      <c r="F33" s="239"/>
      <c r="G33" s="24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33" t="s">
        <v>455</v>
      </c>
      <c r="B34" s="37"/>
      <c r="C34" s="37"/>
      <c r="D34" s="37"/>
      <c r="E34" s="37"/>
      <c r="F34" s="37"/>
      <c r="G34" s="58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74" t="s">
        <v>456</v>
      </c>
      <c r="B35" s="64"/>
      <c r="C35" s="64"/>
      <c r="D35" s="64"/>
      <c r="E35" s="64"/>
      <c r="F35" s="64"/>
      <c r="G35" s="24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8.0"/>
    <col customWidth="1" min="2" max="14" width="14.86"/>
    <col customWidth="1" min="15" max="15" width="17.43"/>
    <col customWidth="1" min="16" max="24" width="11.43"/>
    <col customWidth="1" min="25" max="26" width="10.0"/>
  </cols>
  <sheetData>
    <row r="1" ht="14.25" customHeight="1">
      <c r="A1" s="2" t="s">
        <v>0</v>
      </c>
      <c r="B1" s="3"/>
      <c r="C1" s="3"/>
      <c r="D1" s="3"/>
      <c r="E1" s="1"/>
      <c r="F1" s="1"/>
      <c r="G1" s="4" t="str">
        <f>InfoInicial!E1</f>
        <v/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173" t="s">
        <v>457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6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26.25" customHeight="1">
      <c r="A4" s="177" t="s">
        <v>317</v>
      </c>
      <c r="B4" s="168" t="s">
        <v>417</v>
      </c>
      <c r="C4" s="168" t="s">
        <v>458</v>
      </c>
      <c r="D4" s="168" t="s">
        <v>320</v>
      </c>
      <c r="E4" s="168" t="s">
        <v>4</v>
      </c>
      <c r="F4" s="168" t="s">
        <v>321</v>
      </c>
      <c r="G4" s="168" t="s">
        <v>322</v>
      </c>
      <c r="H4" s="168" t="s">
        <v>459</v>
      </c>
      <c r="I4" s="168" t="s">
        <v>460</v>
      </c>
      <c r="J4" s="168" t="s">
        <v>79</v>
      </c>
      <c r="K4" s="168" t="s">
        <v>324</v>
      </c>
      <c r="L4" s="168" t="s">
        <v>325</v>
      </c>
      <c r="M4" s="186" t="s">
        <v>326</v>
      </c>
      <c r="N4" s="187" t="s">
        <v>327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188">
        <v>0.0</v>
      </c>
      <c r="B5" s="179"/>
      <c r="C5" s="81"/>
      <c r="D5" s="81"/>
      <c r="E5" s="81"/>
      <c r="F5" s="81"/>
      <c r="G5" s="81"/>
      <c r="H5" s="81"/>
      <c r="I5" s="81"/>
      <c r="J5" s="81"/>
      <c r="K5" s="81"/>
      <c r="L5" s="81"/>
      <c r="M5" s="170"/>
      <c r="N5" s="8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89">
        <v>1.0</v>
      </c>
      <c r="B6" s="181"/>
      <c r="C6" s="37"/>
      <c r="D6" s="37"/>
      <c r="E6" s="37"/>
      <c r="F6" s="37"/>
      <c r="G6" s="37"/>
      <c r="H6" s="37"/>
      <c r="I6" s="37"/>
      <c r="J6" s="37"/>
      <c r="K6" s="37"/>
      <c r="L6" s="37"/>
      <c r="M6" s="171"/>
      <c r="N6" s="58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89">
        <v>2.0</v>
      </c>
      <c r="B7" s="181"/>
      <c r="C7" s="37"/>
      <c r="D7" s="37"/>
      <c r="E7" s="37"/>
      <c r="F7" s="37"/>
      <c r="G7" s="37"/>
      <c r="H7" s="37"/>
      <c r="I7" s="37"/>
      <c r="J7" s="37"/>
      <c r="K7" s="37"/>
      <c r="L7" s="37"/>
      <c r="M7" s="171"/>
      <c r="N7" s="58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89">
        <v>3.0</v>
      </c>
      <c r="B8" s="181"/>
      <c r="C8" s="37"/>
      <c r="D8" s="37"/>
      <c r="E8" s="37"/>
      <c r="F8" s="37"/>
      <c r="G8" s="37"/>
      <c r="H8" s="37"/>
      <c r="I8" s="37"/>
      <c r="J8" s="37"/>
      <c r="K8" s="37"/>
      <c r="L8" s="37"/>
      <c r="M8" s="171"/>
      <c r="N8" s="58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89">
        <v>4.0</v>
      </c>
      <c r="B9" s="181"/>
      <c r="C9" s="37"/>
      <c r="D9" s="37"/>
      <c r="E9" s="37"/>
      <c r="F9" s="37"/>
      <c r="G9" s="37"/>
      <c r="H9" s="37"/>
      <c r="I9" s="37"/>
      <c r="J9" s="37"/>
      <c r="K9" s="37"/>
      <c r="L9" s="37"/>
      <c r="M9" s="171"/>
      <c r="N9" s="58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89">
        <v>5.0</v>
      </c>
      <c r="B10" s="181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171"/>
      <c r="N10" s="58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89"/>
      <c r="B11" s="181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171"/>
      <c r="N11" s="58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90" t="s">
        <v>328</v>
      </c>
      <c r="B12" s="185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72"/>
      <c r="N12" s="106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8" t="s">
        <v>329</v>
      </c>
      <c r="D14" s="19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36"/>
      <c r="B15" s="1"/>
      <c r="C15" s="8" t="s">
        <v>330</v>
      </c>
      <c r="D15" s="192"/>
      <c r="E15" s="1" t="s">
        <v>331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8" t="s">
        <v>461</v>
      </c>
      <c r="D16" s="19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247"/>
      <c r="B17" s="122"/>
      <c r="C17" s="122"/>
      <c r="D17" s="122"/>
      <c r="E17" s="122"/>
      <c r="F17" s="248"/>
      <c r="G17" s="248"/>
      <c r="H17" s="248"/>
      <c r="I17" s="248"/>
      <c r="J17" s="122"/>
      <c r="K17" s="248"/>
      <c r="L17" s="248"/>
      <c r="M17" s="248"/>
      <c r="N17" s="248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5.75" customHeight="1">
      <c r="A18" s="249"/>
      <c r="B18" s="248"/>
      <c r="C18" s="250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25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6.5" customHeight="1">
      <c r="A21" s="173" t="s">
        <v>462</v>
      </c>
      <c r="B21" s="12"/>
      <c r="C21" s="12"/>
      <c r="D21" s="12"/>
      <c r="E21" s="12"/>
      <c r="F21" s="12"/>
      <c r="G21" s="12"/>
      <c r="H21" s="16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39.0" customHeight="1">
      <c r="A22" s="177" t="s">
        <v>317</v>
      </c>
      <c r="B22" s="168" t="s">
        <v>463</v>
      </c>
      <c r="C22" s="168" t="s">
        <v>322</v>
      </c>
      <c r="D22" s="168" t="s">
        <v>422</v>
      </c>
      <c r="E22" s="168" t="s">
        <v>464</v>
      </c>
      <c r="F22" s="168" t="s">
        <v>325</v>
      </c>
      <c r="G22" s="186" t="s">
        <v>326</v>
      </c>
      <c r="H22" s="187" t="s">
        <v>327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88">
        <v>0.0</v>
      </c>
      <c r="B23" s="179"/>
      <c r="C23" s="81"/>
      <c r="D23" s="81"/>
      <c r="E23" s="81"/>
      <c r="F23" s="81"/>
      <c r="G23" s="170"/>
      <c r="H23" s="8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89">
        <v>1.0</v>
      </c>
      <c r="B24" s="181"/>
      <c r="C24" s="37"/>
      <c r="D24" s="37"/>
      <c r="E24" s="37"/>
      <c r="F24" s="37"/>
      <c r="G24" s="171"/>
      <c r="H24" s="58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89">
        <v>2.0</v>
      </c>
      <c r="B25" s="181"/>
      <c r="C25" s="37"/>
      <c r="D25" s="37"/>
      <c r="E25" s="37"/>
      <c r="F25" s="37"/>
      <c r="G25" s="171"/>
      <c r="H25" s="58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89">
        <v>3.0</v>
      </c>
      <c r="B26" s="181"/>
      <c r="C26" s="37"/>
      <c r="D26" s="37"/>
      <c r="E26" s="37"/>
      <c r="F26" s="37"/>
      <c r="G26" s="171"/>
      <c r="H26" s="5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89">
        <v>4.0</v>
      </c>
      <c r="B27" s="181"/>
      <c r="C27" s="37"/>
      <c r="D27" s="37"/>
      <c r="E27" s="37"/>
      <c r="F27" s="37"/>
      <c r="G27" s="171"/>
      <c r="H27" s="58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89">
        <v>5.0</v>
      </c>
      <c r="B28" s="181"/>
      <c r="C28" s="37"/>
      <c r="D28" s="37"/>
      <c r="E28" s="37"/>
      <c r="F28" s="37"/>
      <c r="G28" s="171"/>
      <c r="H28" s="58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89"/>
      <c r="B29" s="181"/>
      <c r="C29" s="37"/>
      <c r="D29" s="37"/>
      <c r="E29" s="37"/>
      <c r="F29" s="37"/>
      <c r="G29" s="171"/>
      <c r="H29" s="58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90" t="s">
        <v>328</v>
      </c>
      <c r="B30" s="185"/>
      <c r="C30" s="104"/>
      <c r="D30" s="104"/>
      <c r="E30" s="104"/>
      <c r="F30" s="104"/>
      <c r="G30" s="172"/>
      <c r="H30" s="106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8" t="s">
        <v>329</v>
      </c>
      <c r="D33" s="191"/>
      <c r="E33" s="1" t="s">
        <v>465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8" t="s">
        <v>330</v>
      </c>
      <c r="D34" s="192"/>
      <c r="E34" s="1" t="s">
        <v>466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8" t="s">
        <v>467</v>
      </c>
      <c r="D35" s="19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45.43"/>
    <col customWidth="1" min="2" max="7" width="14.86"/>
    <col customWidth="1" min="8" max="9" width="11.43"/>
    <col customWidth="1" min="10" max="10" width="94.29"/>
    <col customWidth="1" min="11" max="17" width="11.43"/>
    <col customWidth="1" min="18" max="26" width="10.0"/>
  </cols>
  <sheetData>
    <row r="1" ht="14.25" customHeight="1">
      <c r="A1" s="2" t="s">
        <v>1</v>
      </c>
      <c r="B1" s="3"/>
      <c r="C1" s="3"/>
      <c r="D1" s="3"/>
      <c r="E1" s="4" t="str">
        <f>InfoInicial!E1</f>
        <v/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17" t="s">
        <v>10</v>
      </c>
      <c r="B3" s="23" t="s">
        <v>22</v>
      </c>
      <c r="C3" s="30"/>
      <c r="D3" s="23" t="s">
        <v>38</v>
      </c>
      <c r="E3" s="32"/>
      <c r="F3" s="1"/>
      <c r="G3" s="31"/>
      <c r="H3" s="1"/>
      <c r="I3" s="1"/>
      <c r="J3" s="31" t="s">
        <v>42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35"/>
      <c r="B4" s="24" t="s">
        <v>52</v>
      </c>
      <c r="C4" s="24" t="s">
        <v>31</v>
      </c>
      <c r="D4" s="24" t="s">
        <v>52</v>
      </c>
      <c r="E4" s="26" t="s">
        <v>31</v>
      </c>
      <c r="F4" s="1"/>
      <c r="G4" s="1"/>
      <c r="H4" s="1"/>
      <c r="I4" s="1"/>
      <c r="J4" s="31" t="s">
        <v>53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38"/>
      <c r="B5" s="39"/>
      <c r="C5" s="39"/>
      <c r="D5" s="39"/>
      <c r="E5" s="3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33" t="s">
        <v>57</v>
      </c>
      <c r="B6" s="44"/>
      <c r="C6" s="44"/>
      <c r="D6" s="44"/>
      <c r="E6" s="44"/>
      <c r="F6" s="1"/>
      <c r="G6" s="31"/>
      <c r="H6" s="1"/>
      <c r="I6" s="1"/>
      <c r="J6" s="3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46" t="s">
        <v>62</v>
      </c>
      <c r="B7" s="48" t="str">
        <f>300000*InfoInicial!$B$32</f>
        <v> $ 4,500,000.00 </v>
      </c>
      <c r="C7" s="49">
        <v>0.0</v>
      </c>
      <c r="D7" s="49">
        <v>0.0</v>
      </c>
      <c r="E7" s="49">
        <v>0.0</v>
      </c>
      <c r="F7" s="1"/>
      <c r="G7" s="31"/>
      <c r="H7" s="1"/>
      <c r="I7" s="1"/>
      <c r="J7" s="51" t="s">
        <v>65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46" t="s">
        <v>67</v>
      </c>
      <c r="B8" s="48" t="str">
        <f>13500*154</f>
        <v> $ 2,079,000.00 </v>
      </c>
      <c r="C8" s="49">
        <v>0.0</v>
      </c>
      <c r="D8" s="49">
        <v>0.0</v>
      </c>
      <c r="E8" s="49">
        <v>0.0</v>
      </c>
      <c r="F8" s="1"/>
      <c r="G8" s="1"/>
      <c r="H8" s="1"/>
      <c r="I8" s="1"/>
      <c r="J8" s="51" t="s">
        <v>69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46" t="s">
        <v>70</v>
      </c>
      <c r="B9" s="49">
        <v>100000.0</v>
      </c>
      <c r="C9" s="49">
        <v>0.0</v>
      </c>
      <c r="D9" s="49">
        <v>0.0</v>
      </c>
      <c r="E9" s="49">
        <v>0.0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46" t="s">
        <v>71</v>
      </c>
      <c r="B10" s="49">
        <v>0.0</v>
      </c>
      <c r="C10" s="49">
        <v>0.0</v>
      </c>
      <c r="D10" s="49">
        <v>0.0</v>
      </c>
      <c r="E10" s="49">
        <v>0.0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46" t="s">
        <v>72</v>
      </c>
      <c r="B11" s="49">
        <v>0.0</v>
      </c>
      <c r="C11" s="49">
        <v>0.0</v>
      </c>
      <c r="D11" s="49">
        <v>0.0</v>
      </c>
      <c r="E11" s="49">
        <v>0.0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46" t="s">
        <v>73</v>
      </c>
      <c r="B12" s="48" t="str">
        <f>150000+200000+150000+20000</f>
        <v> $ 520,000.00 </v>
      </c>
      <c r="C12" s="49">
        <v>0.0</v>
      </c>
      <c r="D12" s="49">
        <v>0.0</v>
      </c>
      <c r="E12" s="49">
        <v>0.0</v>
      </c>
      <c r="F12" s="1"/>
      <c r="G12" s="1"/>
      <c r="H12" s="1"/>
      <c r="I12" s="1"/>
      <c r="J12" s="31" t="s">
        <v>76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56" t="s">
        <v>77</v>
      </c>
      <c r="B13" s="49">
        <v>0.0</v>
      </c>
      <c r="C13" s="49">
        <v>0.0</v>
      </c>
      <c r="D13" s="49">
        <v>0.0</v>
      </c>
      <c r="E13" s="49">
        <v>0.0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46" t="s">
        <v>80</v>
      </c>
      <c r="B14" s="49">
        <v>50000.0</v>
      </c>
      <c r="C14" s="49">
        <v>0.0</v>
      </c>
      <c r="D14" s="49">
        <v>0.0</v>
      </c>
      <c r="E14" s="49">
        <v>0.0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46" t="s">
        <v>82</v>
      </c>
      <c r="B15" s="49">
        <v>500000.0</v>
      </c>
      <c r="C15" s="49"/>
      <c r="D15" s="49">
        <v>0.0</v>
      </c>
      <c r="E15" s="49">
        <v>0.0</v>
      </c>
      <c r="F15" s="1"/>
      <c r="G15" s="1"/>
      <c r="H15" s="1"/>
      <c r="I15" s="1"/>
      <c r="J15" s="31" t="s">
        <v>84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46" t="s">
        <v>85</v>
      </c>
      <c r="B16" s="49">
        <v>50000.0</v>
      </c>
      <c r="C16" s="49">
        <v>0.0</v>
      </c>
      <c r="D16" s="49">
        <v>0.0</v>
      </c>
      <c r="E16" s="49">
        <v>0.0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46" t="s">
        <v>86</v>
      </c>
      <c r="B17" s="49">
        <v>50000.0</v>
      </c>
      <c r="C17" s="49">
        <v>0.0</v>
      </c>
      <c r="D17" s="49">
        <v>0.0</v>
      </c>
      <c r="E17" s="49">
        <v>0.0</v>
      </c>
      <c r="F17" s="1"/>
      <c r="G17" s="1"/>
      <c r="H17" s="1"/>
      <c r="I17" s="1"/>
      <c r="J17" s="31" t="s">
        <v>88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46" t="s">
        <v>18</v>
      </c>
      <c r="B18" s="48" t="str">
        <f>InfoInicial!$B$15*sum(B7:B17)</f>
        <v> $ 470,940.00 </v>
      </c>
      <c r="C18" s="48"/>
      <c r="D18" s="49">
        <v>0.0</v>
      </c>
      <c r="E18" s="49">
        <v>0.0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46"/>
      <c r="B19" s="48"/>
      <c r="C19" s="48"/>
      <c r="D19" s="48"/>
      <c r="E19" s="4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33" t="s">
        <v>90</v>
      </c>
      <c r="B20" s="48" t="str">
        <f t="shared" ref="B20:E20" si="1">sum(B7:B18)</f>
        <v> $ 8,319,940.00 </v>
      </c>
      <c r="C20" s="48" t="str">
        <f t="shared" si="1"/>
        <v> $ -   </v>
      </c>
      <c r="D20" s="48" t="str">
        <f t="shared" si="1"/>
        <v> $ -   </v>
      </c>
      <c r="E20" s="48" t="str">
        <f t="shared" si="1"/>
        <v> $ -   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46"/>
      <c r="B21" s="48"/>
      <c r="C21" s="48"/>
      <c r="D21" s="48"/>
      <c r="E21" s="4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33" t="s">
        <v>93</v>
      </c>
      <c r="B22" s="48"/>
      <c r="C22" s="48"/>
      <c r="D22" s="48"/>
      <c r="E22" s="4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46" t="s">
        <v>94</v>
      </c>
      <c r="B23" s="49">
        <v>0.0</v>
      </c>
      <c r="C23" s="49">
        <v>0.0</v>
      </c>
      <c r="D23" s="49">
        <v>0.0</v>
      </c>
      <c r="E23" s="49">
        <v>0.0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46" t="s">
        <v>95</v>
      </c>
      <c r="B24" s="60"/>
      <c r="C24" s="49">
        <v>0.0</v>
      </c>
      <c r="D24" s="49">
        <v>0.0</v>
      </c>
      <c r="E24" s="49">
        <v>0.0</v>
      </c>
      <c r="F24" s="1"/>
      <c r="G24" s="1"/>
      <c r="H24" s="1"/>
      <c r="I24" s="1"/>
      <c r="J24" s="31" t="s">
        <v>99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46" t="s">
        <v>101</v>
      </c>
      <c r="B25" s="49">
        <v>50000.0</v>
      </c>
      <c r="C25" s="49">
        <v>0.0</v>
      </c>
      <c r="D25" s="49">
        <v>0.0</v>
      </c>
      <c r="E25" s="49">
        <v>0.0</v>
      </c>
      <c r="F25" s="1"/>
      <c r="G25" s="1"/>
      <c r="H25" s="1"/>
      <c r="I25" s="1"/>
      <c r="J25" s="31" t="s">
        <v>102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56" t="s">
        <v>104</v>
      </c>
      <c r="B26" s="49">
        <v>0.0</v>
      </c>
      <c r="C26" s="60"/>
      <c r="D26" s="49">
        <v>0.0</v>
      </c>
      <c r="E26" s="49">
        <v>0.0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56" t="s">
        <v>105</v>
      </c>
      <c r="B27" s="49">
        <v>0.0</v>
      </c>
      <c r="C27" s="49">
        <v>0.0</v>
      </c>
      <c r="D27" s="49">
        <v>0.0</v>
      </c>
      <c r="E27" s="49">
        <v>0.0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56" t="s">
        <v>106</v>
      </c>
      <c r="B28" s="49">
        <v>0.0</v>
      </c>
      <c r="C28" s="49">
        <v>0.0</v>
      </c>
      <c r="D28" s="49">
        <v>0.0</v>
      </c>
      <c r="E28" s="49">
        <v>0.0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46" t="s">
        <v>18</v>
      </c>
      <c r="B29" s="48" t="str">
        <f>InfoInicial!$B$15*sum(B23:B28)</f>
        <v> $ 3,000.00 </v>
      </c>
      <c r="C29" s="48" t="str">
        <f>InfoInicial!$B$15*sum(C23:C28)</f>
        <v> $ -   </v>
      </c>
      <c r="D29" s="48" t="str">
        <f>InfoInicial!$B$15*sum(D23:D28)</f>
        <v> $ -   </v>
      </c>
      <c r="E29" s="48" t="str">
        <f>InfoInicial!$B$15*sum(E23:E28)</f>
        <v> $ -   </v>
      </c>
      <c r="F29" s="1"/>
      <c r="G29" s="1"/>
      <c r="H29" s="1"/>
      <c r="I29" s="1"/>
      <c r="J29" s="31" t="s">
        <v>109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46"/>
      <c r="B30" s="48"/>
      <c r="C30" s="48"/>
      <c r="D30" s="48"/>
      <c r="E30" s="48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33" t="s">
        <v>110</v>
      </c>
      <c r="B31" s="48" t="str">
        <f t="shared" ref="B31:E31" si="2">SUM(B23:B29)</f>
        <v> $ 53,000.00 </v>
      </c>
      <c r="C31" s="48" t="str">
        <f t="shared" si="2"/>
        <v> $ -   </v>
      </c>
      <c r="D31" s="48" t="str">
        <f t="shared" si="2"/>
        <v> $ -   </v>
      </c>
      <c r="E31" s="48" t="str">
        <f t="shared" si="2"/>
        <v> $ -   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46"/>
      <c r="B32" s="48"/>
      <c r="C32" s="48"/>
      <c r="D32" s="48"/>
      <c r="E32" s="4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33" t="s">
        <v>113</v>
      </c>
      <c r="B33" s="48" t="str">
        <f t="shared" ref="B33:E33" si="3">B20+B31</f>
        <v> $ 8,372,940.00 </v>
      </c>
      <c r="C33" s="48" t="str">
        <f t="shared" si="3"/>
        <v> $ -   </v>
      </c>
      <c r="D33" s="48" t="str">
        <f t="shared" si="3"/>
        <v> $ -   </v>
      </c>
      <c r="E33" s="48" t="str">
        <f t="shared" si="3"/>
        <v> $ -   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33" t="s">
        <v>114</v>
      </c>
      <c r="B34" s="48" t="str">
        <f>(B33+C33+D33+E33)*0.21</f>
        <v> $ 1,758,317.40 </v>
      </c>
      <c r="C34" s="48"/>
      <c r="D34" s="48"/>
      <c r="E34" s="48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46"/>
      <c r="B35" s="48"/>
      <c r="C35" s="48"/>
      <c r="D35" s="48"/>
      <c r="E35" s="48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62" t="s">
        <v>116</v>
      </c>
      <c r="B36" s="64" t="str">
        <f>B33+C33+B34+D33+E33</f>
        <v> $ 10,131,257.40 </v>
      </c>
      <c r="C36" s="64"/>
      <c r="D36" s="64"/>
      <c r="E36" s="64"/>
      <c r="F36" s="1"/>
      <c r="G36" s="1"/>
      <c r="H36" s="1"/>
      <c r="I36" s="1"/>
      <c r="J36" s="49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68" t="s">
        <v>118</v>
      </c>
      <c r="B39" s="70" t="s">
        <v>121</v>
      </c>
      <c r="C39" s="70" t="s">
        <v>122</v>
      </c>
      <c r="D39" s="23" t="s">
        <v>123</v>
      </c>
      <c r="E39" s="72"/>
      <c r="F39" s="30"/>
      <c r="G39" s="73" t="s">
        <v>124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74"/>
      <c r="B40" s="24" t="s">
        <v>126</v>
      </c>
      <c r="C40" s="24"/>
      <c r="D40" s="24" t="s">
        <v>83</v>
      </c>
      <c r="E40" s="24" t="s">
        <v>66</v>
      </c>
      <c r="F40" s="24"/>
      <c r="G40" s="7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77" t="s">
        <v>127</v>
      </c>
      <c r="B41" s="78"/>
      <c r="C41" s="78"/>
      <c r="D41" s="78"/>
      <c r="E41" s="78"/>
      <c r="F41" s="79"/>
      <c r="G41" s="85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28"/>
      <c r="B42" s="87"/>
      <c r="C42" s="87"/>
      <c r="D42" s="87"/>
      <c r="E42" s="87"/>
      <c r="F42" s="89"/>
      <c r="G42" s="90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46" t="s">
        <v>62</v>
      </c>
      <c r="B43" s="48" t="str">
        <f t="shared" ref="B43:B45" si="4">B7</f>
        <v> $ 4,500,000.00 </v>
      </c>
      <c r="C43" s="92">
        <v>0.0</v>
      </c>
      <c r="D43" s="48" t="str">
        <f t="shared" ref="D43:D50" si="5">B43*C43</f>
        <v> $ -   </v>
      </c>
      <c r="E43" s="48" t="str">
        <f t="shared" ref="E43:E49" si="6">B43*C43</f>
        <v> $ -   </v>
      </c>
      <c r="F43" s="48"/>
      <c r="G43" s="96" t="str">
        <f>B43-SUM(D43:E43)</f>
        <v> $ 4,500,000.00 </v>
      </c>
      <c r="H43" s="31" t="s">
        <v>158</v>
      </c>
      <c r="I43" s="1"/>
      <c r="J43" s="3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46" t="s">
        <v>67</v>
      </c>
      <c r="B44" s="48" t="str">
        <f t="shared" si="4"/>
        <v> $ 2,079,000.00 </v>
      </c>
      <c r="C44" s="98" t="str">
        <f>1/30</f>
        <v>0.033</v>
      </c>
      <c r="D44" s="48" t="str">
        <f t="shared" si="5"/>
        <v> $ 69,300.00 </v>
      </c>
      <c r="E44" s="48" t="str">
        <f t="shared" si="6"/>
        <v> $ 69,300.00 </v>
      </c>
      <c r="F44" s="48"/>
      <c r="G44" s="96" t="str">
        <f t="shared" ref="G44:G50" si="7">B44-D44*3-E44*2</f>
        <v> $ 1,732,500.00 </v>
      </c>
      <c r="H44" s="101" t="str">
        <f t="shared" ref="H44:H50" si="8">1/C44</f>
        <v>30</v>
      </c>
      <c r="I44" s="103" t="s">
        <v>164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46" t="s">
        <v>70</v>
      </c>
      <c r="B45" s="48" t="str">
        <f t="shared" si="4"/>
        <v> $ 100,000.00 </v>
      </c>
      <c r="C45" s="98">
        <v>0.1</v>
      </c>
      <c r="D45" s="48" t="str">
        <f t="shared" si="5"/>
        <v> $ 10,000.00 </v>
      </c>
      <c r="E45" s="48" t="str">
        <f t="shared" si="6"/>
        <v> $ 10,000.00 </v>
      </c>
      <c r="F45" s="48"/>
      <c r="G45" s="96" t="str">
        <f t="shared" si="7"/>
        <v> $ 50,000.00 </v>
      </c>
      <c r="H45" s="101" t="str">
        <f t="shared" si="8"/>
        <v>10</v>
      </c>
      <c r="I45" s="103" t="s">
        <v>164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56" t="s">
        <v>71</v>
      </c>
      <c r="B46" s="48" t="str">
        <f>B11+B12</f>
        <v> $ 520,000.00 </v>
      </c>
      <c r="C46" s="98">
        <v>0.1</v>
      </c>
      <c r="D46" s="48" t="str">
        <f t="shared" si="5"/>
        <v> $ 52,000.00 </v>
      </c>
      <c r="E46" s="48" t="str">
        <f t="shared" si="6"/>
        <v> $ 52,000.00 </v>
      </c>
      <c r="F46" s="48"/>
      <c r="G46" s="96" t="str">
        <f t="shared" si="7"/>
        <v> $ 260,000.00 </v>
      </c>
      <c r="H46" s="101" t="str">
        <f t="shared" si="8"/>
        <v>10</v>
      </c>
      <c r="I46" s="103" t="s">
        <v>164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56" t="s">
        <v>82</v>
      </c>
      <c r="B47" s="48" t="str">
        <f t="shared" ref="B47:B48" si="9">B15</f>
        <v> $ 500,000.00 </v>
      </c>
      <c r="C47" s="98">
        <v>0.2</v>
      </c>
      <c r="D47" s="48" t="str">
        <f t="shared" si="5"/>
        <v> $ 100,000.00 </v>
      </c>
      <c r="E47" s="48" t="str">
        <f t="shared" si="6"/>
        <v> $ 100,000.00 </v>
      </c>
      <c r="F47" s="48"/>
      <c r="G47" s="96" t="str">
        <f t="shared" si="7"/>
        <v> $ -   </v>
      </c>
      <c r="H47" s="101" t="str">
        <f t="shared" si="8"/>
        <v>5</v>
      </c>
      <c r="I47" s="103" t="s">
        <v>164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56" t="s">
        <v>85</v>
      </c>
      <c r="B48" s="48" t="str">
        <f t="shared" si="9"/>
        <v> $ 50,000.00 </v>
      </c>
      <c r="C48" s="98">
        <v>0.2</v>
      </c>
      <c r="D48" s="48" t="str">
        <f t="shared" si="5"/>
        <v> $ 10,000.00 </v>
      </c>
      <c r="E48" s="48" t="str">
        <f t="shared" si="6"/>
        <v> $ 10,000.00 </v>
      </c>
      <c r="F48" s="48"/>
      <c r="G48" s="96" t="str">
        <f t="shared" si="7"/>
        <v> $ -   </v>
      </c>
      <c r="H48" s="101" t="str">
        <f t="shared" si="8"/>
        <v>5</v>
      </c>
      <c r="I48" s="103" t="s">
        <v>164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56" t="s">
        <v>18</v>
      </c>
      <c r="B49" s="48" t="str">
        <f>B18</f>
        <v> $ 470,940.00 </v>
      </c>
      <c r="C49" s="108">
        <v>0.2</v>
      </c>
      <c r="D49" s="48" t="str">
        <f t="shared" si="5"/>
        <v> $ 94,188.00 </v>
      </c>
      <c r="E49" s="48" t="str">
        <f t="shared" si="6"/>
        <v> $ 94,188.00 </v>
      </c>
      <c r="F49" s="48"/>
      <c r="G49" s="96" t="str">
        <f t="shared" si="7"/>
        <v> $ -   </v>
      </c>
      <c r="H49" s="101" t="str">
        <f t="shared" si="8"/>
        <v>5</v>
      </c>
      <c r="I49" s="103" t="s">
        <v>164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56" t="s">
        <v>167</v>
      </c>
      <c r="B50" s="49">
        <v>20000.0</v>
      </c>
      <c r="C50" s="98" t="str">
        <f>1/3</f>
        <v>0.333</v>
      </c>
      <c r="D50" s="48" t="str">
        <f t="shared" si="5"/>
        <v> $ 6,666.67 </v>
      </c>
      <c r="E50" s="48"/>
      <c r="F50" s="48"/>
      <c r="G50" s="96" t="str">
        <f t="shared" si="7"/>
        <v> $ -   </v>
      </c>
      <c r="H50" s="101" t="str">
        <f t="shared" si="8"/>
        <v>3</v>
      </c>
      <c r="I50" s="103" t="s">
        <v>164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11" t="s">
        <v>169</v>
      </c>
      <c r="B51" s="48" t="str">
        <f>SUM(B43:B50)</f>
        <v> $ 8,239,940.00 </v>
      </c>
      <c r="C51" s="48"/>
      <c r="D51" s="48" t="str">
        <f t="shared" ref="D51:F51" si="10">SUM(D43:D50)</f>
        <v> $ 342,154.67 </v>
      </c>
      <c r="E51" s="48" t="str">
        <f t="shared" si="10"/>
        <v> $ 335,488.00 </v>
      </c>
      <c r="F51" s="48" t="str">
        <f t="shared" si="10"/>
        <v> $ -   </v>
      </c>
      <c r="G51" s="96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33"/>
      <c r="B52" s="91"/>
      <c r="C52" s="114"/>
      <c r="D52" s="115"/>
      <c r="E52" s="115"/>
      <c r="F52" s="115"/>
      <c r="G52" s="96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11" t="s">
        <v>171</v>
      </c>
      <c r="B53" s="48" t="str">
        <f>B31</f>
        <v> $ 53,000.00 </v>
      </c>
      <c r="C53" s="116" t="str">
        <f>1/5</f>
        <v>0.2</v>
      </c>
      <c r="D53" s="48" t="str">
        <f>B53*C53</f>
        <v> $ 10,600.00 </v>
      </c>
      <c r="E53" s="48" t="str">
        <f>C53*B53</f>
        <v> $ 10,600.00 </v>
      </c>
      <c r="F53" s="48"/>
      <c r="G53" s="96" t="str">
        <f>B53-D53*3-E53*2</f>
        <v> $ -   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11"/>
      <c r="B54" s="48"/>
      <c r="C54" s="92" t="s">
        <v>172</v>
      </c>
      <c r="D54" s="48"/>
      <c r="E54" s="48"/>
      <c r="F54" s="48"/>
      <c r="G54" s="96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33"/>
      <c r="B55" s="44"/>
      <c r="C55" s="116"/>
      <c r="D55" s="118"/>
      <c r="E55" s="119"/>
      <c r="F55" s="119"/>
      <c r="G55" s="120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62" t="s">
        <v>174</v>
      </c>
      <c r="B56" s="64" t="str">
        <f t="shared" ref="B56:G56" si="11">B51+B53</f>
        <v> $ 8,292,940.00 </v>
      </c>
      <c r="C56" s="64" t="str">
        <f t="shared" si="11"/>
        <v> $ 0.20 </v>
      </c>
      <c r="D56" s="64" t="str">
        <f t="shared" si="11"/>
        <v> $ 352,754.67 </v>
      </c>
      <c r="E56" s="64" t="str">
        <f t="shared" si="11"/>
        <v> $ 346,088.00 </v>
      </c>
      <c r="F56" s="64" t="str">
        <f t="shared" si="11"/>
        <v> $ -   </v>
      </c>
      <c r="G56" s="64" t="str">
        <f t="shared" si="11"/>
        <v> $ -   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B3:C3"/>
    <mergeCell ref="D3:E3"/>
    <mergeCell ref="D39:F39"/>
  </mergeCells>
  <hyperlinks>
    <hyperlink r:id="rId1" ref="J7"/>
    <hyperlink r:id="rId2" ref="J8"/>
  </hyperlin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41.0"/>
    <col customWidth="1" min="2" max="2" width="14.86"/>
    <col customWidth="1" min="3" max="6" width="16.0"/>
    <col customWidth="1" min="7" max="7" width="17.43"/>
    <col customWidth="1" min="8" max="9" width="11.43"/>
    <col customWidth="1" min="10" max="10" width="132.14"/>
    <col customWidth="1" min="11" max="11" width="61.86"/>
    <col customWidth="1" min="12" max="12" width="15.57"/>
    <col customWidth="1" min="13" max="13" width="29.29"/>
    <col customWidth="1" min="14" max="14" width="11.14"/>
    <col customWidth="1" min="15" max="15" width="11.43"/>
    <col customWidth="1" min="16" max="16" width="19.71"/>
    <col customWidth="1" min="17" max="17" width="11.43"/>
    <col customWidth="1" min="18" max="26" width="10.0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4.25" customHeight="1">
      <c r="A3" s="2" t="s">
        <v>0</v>
      </c>
      <c r="B3" s="3"/>
      <c r="C3" s="3"/>
      <c r="D3" s="3"/>
      <c r="E3" s="4" t="str">
        <f>InfoInicial!E1</f>
        <v/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0" t="s">
        <v>9</v>
      </c>
      <c r="B4" s="12"/>
      <c r="C4" s="12"/>
      <c r="D4" s="12"/>
      <c r="E4" s="12"/>
      <c r="F4" s="1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8"/>
      <c r="B5" s="20" t="s">
        <v>23</v>
      </c>
      <c r="C5" s="20"/>
      <c r="D5" s="20"/>
      <c r="E5" s="20"/>
      <c r="F5" s="2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8" t="s">
        <v>30</v>
      </c>
      <c r="B6" s="24" t="s">
        <v>31</v>
      </c>
      <c r="C6" s="24" t="s">
        <v>32</v>
      </c>
      <c r="D6" s="24" t="s">
        <v>33</v>
      </c>
      <c r="E6" s="24" t="s">
        <v>34</v>
      </c>
      <c r="F6" s="26" t="s">
        <v>35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28" t="s">
        <v>36</v>
      </c>
      <c r="B7" s="29">
        <v>788730.0</v>
      </c>
      <c r="C7" s="29">
        <v>947090.0</v>
      </c>
      <c r="D7" s="29">
        <v>947090.0</v>
      </c>
      <c r="E7" s="29">
        <v>947090.0</v>
      </c>
      <c r="F7" s="29">
        <v>947090.0</v>
      </c>
      <c r="G7" s="31"/>
      <c r="H7" s="1"/>
      <c r="I7" s="1"/>
      <c r="J7" s="31" t="s">
        <v>39</v>
      </c>
      <c r="K7" s="31" t="s">
        <v>40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33" t="s">
        <v>41</v>
      </c>
      <c r="B8" s="37" t="str">
        <f>C8*0.95</f>
        <v> $ 102,600.00 </v>
      </c>
      <c r="C8" s="37" t="str">
        <f t="shared" ref="C8:F8" si="1">9*12000</f>
        <v> $ 108,000.00 </v>
      </c>
      <c r="D8" s="37" t="str">
        <f t="shared" si="1"/>
        <v> $ 108,000.00 </v>
      </c>
      <c r="E8" s="37" t="str">
        <f t="shared" si="1"/>
        <v> $ 108,000.00 </v>
      </c>
      <c r="F8" s="37" t="str">
        <f t="shared" si="1"/>
        <v> $ 108,000.00 </v>
      </c>
      <c r="G8" s="31"/>
      <c r="H8" s="1"/>
      <c r="I8" s="1"/>
      <c r="J8" s="31" t="s">
        <v>55</v>
      </c>
      <c r="K8" s="31" t="s">
        <v>56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33" t="s">
        <v>58</v>
      </c>
      <c r="B9" s="41"/>
      <c r="C9" s="41"/>
      <c r="D9" s="41"/>
      <c r="E9" s="41"/>
      <c r="F9" s="50"/>
      <c r="G9" s="1"/>
      <c r="H9" s="1"/>
      <c r="I9" s="1"/>
      <c r="K9" s="1"/>
      <c r="L9" s="52" t="s">
        <v>66</v>
      </c>
      <c r="M9" s="53" t="s">
        <v>68</v>
      </c>
      <c r="N9" s="55" t="str">
        <f>'E-Inv AF y Am'!E56*0.9</f>
        <v>$311,479.20</v>
      </c>
      <c r="O9" s="1"/>
      <c r="P9" s="31" t="s">
        <v>78</v>
      </c>
      <c r="Q9" s="57" t="str">
        <f>N9/4500</f>
        <v>$69.22</v>
      </c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46" t="s">
        <v>79</v>
      </c>
      <c r="B10" s="37">
        <v>318145.8666666667</v>
      </c>
      <c r="C10" s="37">
        <v>318145.8666666667</v>
      </c>
      <c r="D10" s="37">
        <v>318145.8666666667</v>
      </c>
      <c r="E10" s="37">
        <v>311479.2</v>
      </c>
      <c r="F10" s="58">
        <v>311479.2</v>
      </c>
      <c r="G10" s="31"/>
      <c r="H10" s="1"/>
      <c r="I10" s="1"/>
      <c r="J10" s="31" t="s">
        <v>81</v>
      </c>
      <c r="K10" s="1"/>
      <c r="L10" s="52" t="s">
        <v>83</v>
      </c>
      <c r="M10" s="31" t="s">
        <v>68</v>
      </c>
      <c r="N10" s="57" t="str">
        <f>('E-Inv AF y Am'!D56-'E-Inv AF y Am'!D50)*0.9</f>
        <v>$311,479.20</v>
      </c>
      <c r="O10" s="1"/>
      <c r="P10" s="31" t="s">
        <v>78</v>
      </c>
      <c r="Q10" s="31" t="s">
        <v>87</v>
      </c>
      <c r="R10" s="57" t="str">
        <f>N12/4500</f>
        <v>$70.70</v>
      </c>
      <c r="S10" s="1"/>
      <c r="T10" s="1"/>
      <c r="U10" s="1"/>
      <c r="V10" s="1"/>
      <c r="W10" s="1"/>
      <c r="X10" s="1"/>
      <c r="Y10" s="1"/>
      <c r="Z10" s="1"/>
    </row>
    <row r="11" ht="12.75" customHeight="1">
      <c r="A11" s="46" t="s">
        <v>89</v>
      </c>
      <c r="B11" s="37" t="str">
        <f>C11*0.9</f>
        <v> $ 135,000.00 </v>
      </c>
      <c r="C11" s="37" t="str">
        <f>sum(InfoInicial!E24:E25)</f>
        <v> $ 150,000.00 </v>
      </c>
      <c r="D11" s="37">
        <v>150000.0</v>
      </c>
      <c r="E11" s="37">
        <v>150000.0</v>
      </c>
      <c r="F11" s="37">
        <v>150000.0</v>
      </c>
      <c r="G11" s="31"/>
      <c r="H11" s="1"/>
      <c r="I11" s="1"/>
      <c r="J11" s="31" t="s">
        <v>91</v>
      </c>
      <c r="K11" s="1"/>
      <c r="M11" s="31" t="s">
        <v>92</v>
      </c>
      <c r="N11" s="59">
        <v>6666.666666666666</v>
      </c>
      <c r="O11" s="1"/>
      <c r="P11" s="1"/>
      <c r="Q11" s="31" t="s">
        <v>96</v>
      </c>
      <c r="R11" s="57" t="str">
        <f>N12/3009</f>
        <v>$105.73</v>
      </c>
      <c r="S11" s="1"/>
      <c r="T11" s="1"/>
      <c r="U11" s="1"/>
      <c r="V11" s="1"/>
      <c r="W11" s="1"/>
      <c r="X11" s="1"/>
      <c r="Y11" s="1"/>
      <c r="Z11" s="1"/>
    </row>
    <row r="12" ht="12.75" customHeight="1">
      <c r="A12" s="46" t="s">
        <v>97</v>
      </c>
      <c r="B12" s="37">
        <v>1527624.4</v>
      </c>
      <c r="C12" s="37">
        <v>1527624.4</v>
      </c>
      <c r="D12" s="37">
        <v>1527624.4</v>
      </c>
      <c r="E12" s="37">
        <v>1527624.4</v>
      </c>
      <c r="F12" s="37">
        <v>1527624.4</v>
      </c>
      <c r="G12" s="31"/>
      <c r="H12" s="1"/>
      <c r="I12" s="1"/>
      <c r="J12" s="1"/>
      <c r="K12" s="1"/>
      <c r="M12" s="53" t="s">
        <v>98</v>
      </c>
      <c r="N12" s="55" t="str">
        <f>sum(N10:N11)</f>
        <v>$318,145.87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46" t="s">
        <v>100</v>
      </c>
      <c r="B13" s="61">
        <v>120000.0</v>
      </c>
      <c r="C13" s="61">
        <v>120000.0</v>
      </c>
      <c r="D13" s="61">
        <v>120000.0</v>
      </c>
      <c r="E13" s="61">
        <v>120000.0</v>
      </c>
      <c r="F13" s="61">
        <v>120000.0</v>
      </c>
      <c r="G13" s="31"/>
      <c r="H13" s="1"/>
      <c r="I13" s="1"/>
      <c r="J13" s="31" t="s">
        <v>107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46" t="s">
        <v>108</v>
      </c>
      <c r="B14" s="37" t="str">
        <f>0.95*C14</f>
        <v> $ 10,420.15 </v>
      </c>
      <c r="C14" s="37" t="str">
        <f t="shared" ref="C14:F14" si="2">(10000*0.176858+800*11.5)</f>
        <v> $ 10,968.58 </v>
      </c>
      <c r="D14" s="37" t="str">
        <f t="shared" si="2"/>
        <v> $ 10,968.58 </v>
      </c>
      <c r="E14" s="37" t="str">
        <f t="shared" si="2"/>
        <v> $ 10,968.58 </v>
      </c>
      <c r="F14" s="37" t="str">
        <f t="shared" si="2"/>
        <v> $ 10,968.58 </v>
      </c>
      <c r="G14" s="31"/>
      <c r="H14" s="1"/>
      <c r="I14" s="1"/>
      <c r="J14" s="31" t="s">
        <v>111</v>
      </c>
      <c r="K14" s="1"/>
      <c r="L14" s="31" t="s">
        <v>112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46" t="s">
        <v>18</v>
      </c>
      <c r="B15" s="57" t="str">
        <f t="shared" ref="B15:F15" si="3">B14*0.02</f>
        <v>$208.40</v>
      </c>
      <c r="C15" s="57" t="str">
        <f t="shared" si="3"/>
        <v>$219.37</v>
      </c>
      <c r="D15" s="57" t="str">
        <f t="shared" si="3"/>
        <v>$219.37</v>
      </c>
      <c r="E15" s="57" t="str">
        <f t="shared" si="3"/>
        <v>$219.37</v>
      </c>
      <c r="F15" s="57" t="str">
        <f t="shared" si="3"/>
        <v>$219.37</v>
      </c>
      <c r="G15" s="31"/>
      <c r="H15" s="1"/>
      <c r="I15" s="1"/>
      <c r="J15" s="31" t="s">
        <v>115</v>
      </c>
      <c r="K15" s="1"/>
      <c r="L15" s="31" t="s">
        <v>96</v>
      </c>
      <c r="M15" s="57" t="str">
        <f>R11*1347.61</f>
        <v>$142,484.73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33" t="s">
        <v>117</v>
      </c>
      <c r="B16" s="63" t="str">
        <f t="shared" ref="B16:F16" si="4">sum(B7:B15)</f>
        <v>$3,002,728.82</v>
      </c>
      <c r="C16" s="63" t="str">
        <f t="shared" si="4"/>
        <v>$3,182,048.22</v>
      </c>
      <c r="D16" s="63" t="str">
        <f t="shared" si="4"/>
        <v>$3,182,048.22</v>
      </c>
      <c r="E16" s="63" t="str">
        <f t="shared" si="4"/>
        <v>$3,175,381.55</v>
      </c>
      <c r="F16" s="63" t="str">
        <f t="shared" si="4"/>
        <v>$3,175,381.55</v>
      </c>
      <c r="G16" s="1"/>
      <c r="H16" s="1"/>
      <c r="I16" s="1"/>
      <c r="J16" s="1"/>
      <c r="K16" s="1"/>
      <c r="L16" s="31" t="s">
        <v>87</v>
      </c>
      <c r="M16" s="57" t="str">
        <f>R10*1347.61</f>
        <v>$95,274.79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65"/>
      <c r="B17" s="66"/>
      <c r="C17" s="66"/>
      <c r="D17" s="66"/>
      <c r="E17" s="66"/>
      <c r="F17" s="67"/>
      <c r="G17" s="1"/>
      <c r="H17" s="1"/>
      <c r="I17" s="1"/>
      <c r="J17" s="1"/>
      <c r="K17" s="1"/>
      <c r="L17" s="31" t="s">
        <v>119</v>
      </c>
      <c r="M17" s="57" t="str">
        <f>Q9*1347.61</f>
        <v>$93,278.33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69" t="s">
        <v>120</v>
      </c>
      <c r="B18" s="71" t="str">
        <f t="shared" ref="B18:F18" si="5">(B10+B11+(0.2*B13)+(0.5*B15))/B16</f>
        <v>15.89%</v>
      </c>
      <c r="C18" s="71" t="str">
        <f t="shared" si="5"/>
        <v>15.47%</v>
      </c>
      <c r="D18" s="71" t="str">
        <f t="shared" si="5"/>
        <v>15.47%</v>
      </c>
      <c r="E18" s="71" t="str">
        <f t="shared" si="5"/>
        <v>15.29%</v>
      </c>
      <c r="F18" s="71" t="str">
        <f t="shared" si="5"/>
        <v>15.29%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>
      <c r="A19" s="74" t="s">
        <v>125</v>
      </c>
      <c r="B19" s="76" t="str">
        <f t="shared" ref="B19:F19" si="6">(B7+B8+B12+(0.8*B13)+(0.5*B15))/B16</f>
        <v>83.76%</v>
      </c>
      <c r="C19" s="76" t="str">
        <f t="shared" si="6"/>
        <v>84.19%</v>
      </c>
      <c r="D19" s="76" t="str">
        <f t="shared" si="6"/>
        <v>84.19%</v>
      </c>
      <c r="E19" s="76" t="str">
        <f t="shared" si="6"/>
        <v>84.36%</v>
      </c>
      <c r="F19" s="76" t="str">
        <f t="shared" si="6"/>
        <v>84.36%</v>
      </c>
      <c r="G19" s="1"/>
      <c r="H19" s="1"/>
      <c r="I19" s="1"/>
      <c r="J19" s="1"/>
      <c r="K19" s="1"/>
      <c r="L19" s="1"/>
      <c r="M19" s="1"/>
      <c r="N19" s="1"/>
      <c r="O19" s="1"/>
      <c r="P19" s="31" t="s">
        <v>128</v>
      </c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31" t="s">
        <v>129</v>
      </c>
      <c r="M20" s="83">
        <v>0.01</v>
      </c>
      <c r="N20" s="1"/>
      <c r="O20" s="1"/>
      <c r="P20" s="31" t="s">
        <v>129</v>
      </c>
      <c r="Q20" s="57" t="str">
        <f>'E-Inv AF y Am'!B20*0.01</f>
        <v>$83,199.40</v>
      </c>
      <c r="S20" s="1"/>
      <c r="T20" s="1"/>
      <c r="U20" s="1"/>
      <c r="V20" s="1"/>
      <c r="W20" s="1"/>
      <c r="X20" s="1"/>
      <c r="Y20" s="1"/>
      <c r="Z20" s="1"/>
    </row>
    <row r="21" ht="13.5" customHeight="1">
      <c r="A21" s="86"/>
      <c r="B21" s="70" t="s">
        <v>144</v>
      </c>
      <c r="C21" s="70"/>
      <c r="D21" s="70"/>
      <c r="E21" s="70"/>
      <c r="F21" s="70"/>
      <c r="G21" s="88"/>
      <c r="H21" s="1"/>
      <c r="I21" s="1"/>
      <c r="J21" s="1"/>
      <c r="K21" s="1"/>
      <c r="L21" s="31" t="s">
        <v>153</v>
      </c>
      <c r="M21" s="94">
        <v>0.015</v>
      </c>
      <c r="N21" s="1"/>
      <c r="O21" s="1"/>
      <c r="P21" s="31" t="s">
        <v>153</v>
      </c>
      <c r="Q21" s="57" t="str">
        <f>R21*0.015</f>
        <v>$16,050.00</v>
      </c>
      <c r="R21" s="99">
        <v>1070000.0</v>
      </c>
      <c r="T21" s="1"/>
      <c r="U21" s="1"/>
      <c r="V21" s="1"/>
      <c r="W21" s="1"/>
      <c r="X21" s="1"/>
      <c r="Y21" s="1"/>
      <c r="Z21" s="1"/>
    </row>
    <row r="22" ht="12.75" customHeight="1">
      <c r="A22" s="18"/>
      <c r="B22" s="20" t="s">
        <v>160</v>
      </c>
      <c r="C22" s="20"/>
      <c r="D22" s="20"/>
      <c r="E22" s="20"/>
      <c r="F22" s="20"/>
      <c r="G22" s="22" t="s">
        <v>161</v>
      </c>
      <c r="H22" s="1"/>
      <c r="I22" s="1"/>
      <c r="J22" s="1"/>
      <c r="K22" s="1"/>
      <c r="L22" s="31" t="s">
        <v>162</v>
      </c>
      <c r="M22" s="94">
        <v>0.015</v>
      </c>
      <c r="N22" s="1"/>
      <c r="O22" s="1"/>
      <c r="P22" s="31" t="s">
        <v>163</v>
      </c>
      <c r="Q22" s="57" t="str">
        <f>C7*1.5</f>
        <v>$1,420,635.00</v>
      </c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8" t="s">
        <v>30</v>
      </c>
      <c r="B23" s="102" t="s">
        <v>31</v>
      </c>
      <c r="C23" s="102" t="s">
        <v>32</v>
      </c>
      <c r="D23" s="102" t="s">
        <v>33</v>
      </c>
      <c r="E23" s="102" t="s">
        <v>34</v>
      </c>
      <c r="F23" s="102" t="s">
        <v>35</v>
      </c>
      <c r="G23" s="105" t="s">
        <v>31</v>
      </c>
      <c r="H23" s="1"/>
      <c r="I23" s="1"/>
      <c r="J23" s="1"/>
      <c r="K23" s="1"/>
      <c r="L23" s="31" t="s">
        <v>165</v>
      </c>
      <c r="M23" s="83">
        <v>0.03</v>
      </c>
      <c r="N23" s="1"/>
      <c r="O23" s="1"/>
      <c r="P23" s="107" t="s">
        <v>166</v>
      </c>
      <c r="Q23" s="27" t="str">
        <f>(C8+C11)*0.03</f>
        <v>$7,740.00</v>
      </c>
      <c r="S23" s="1"/>
      <c r="T23" s="1"/>
      <c r="U23" s="1"/>
      <c r="V23" s="1"/>
      <c r="W23" s="1"/>
      <c r="X23" s="1"/>
      <c r="Y23" s="1"/>
      <c r="Z23" s="1"/>
    </row>
    <row r="24" ht="13.5" customHeight="1">
      <c r="A24" s="28" t="s">
        <v>36</v>
      </c>
      <c r="B24" s="109" t="str">
        <f>sum(I24:I25)</f>
        <v> $ 542,052.50 </v>
      </c>
      <c r="C24" s="109">
        <v>542052.5</v>
      </c>
      <c r="D24" s="109">
        <v>542052.5</v>
      </c>
      <c r="E24" s="109">
        <v>542052.5</v>
      </c>
      <c r="F24" s="109">
        <v>542052.5</v>
      </c>
      <c r="G24" s="109">
        <v>20875.05</v>
      </c>
      <c r="H24" s="31"/>
      <c r="I24" s="31">
        <v>483000.0</v>
      </c>
      <c r="J24" s="1"/>
      <c r="K24" s="1"/>
      <c r="L24" s="1"/>
      <c r="M24" s="1"/>
      <c r="N24" s="1"/>
      <c r="O24" s="1"/>
      <c r="P24" s="53" t="s">
        <v>168</v>
      </c>
      <c r="Q24" s="55" t="str">
        <f>sum(Q20:Q23)</f>
        <v>$1,527,624.40</v>
      </c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33" t="s">
        <v>41</v>
      </c>
      <c r="B25" s="61">
        <v>16171.32</v>
      </c>
      <c r="C25" s="61">
        <v>16171.32</v>
      </c>
      <c r="D25" s="61">
        <v>16171.32</v>
      </c>
      <c r="E25" s="61">
        <v>16171.32</v>
      </c>
      <c r="F25" s="61">
        <v>16171.32</v>
      </c>
      <c r="G25" s="110">
        <v>5400.0</v>
      </c>
      <c r="H25" s="31"/>
      <c r="I25" s="31">
        <v>59052.5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33" t="s">
        <v>58</v>
      </c>
      <c r="B26" s="112"/>
      <c r="C26" s="112"/>
      <c r="D26" s="112"/>
      <c r="E26" s="112"/>
      <c r="F26" s="112"/>
      <c r="G26" s="113"/>
      <c r="H26" s="1"/>
      <c r="I26" s="1"/>
      <c r="J26" s="1"/>
      <c r="K26" s="1"/>
      <c r="L26" s="29">
        <v>788730.0</v>
      </c>
      <c r="M26" s="29">
        <v>947090.0</v>
      </c>
      <c r="N26" s="1"/>
      <c r="O26" s="1"/>
      <c r="P26" s="3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46" t="s">
        <v>79</v>
      </c>
      <c r="B27" s="57">
        <v>142484.72960407665</v>
      </c>
      <c r="C27" s="37">
        <v>95274.78919525926</v>
      </c>
      <c r="D27" s="37">
        <v>95274.78919525926</v>
      </c>
      <c r="E27" s="37">
        <v>93278.329936</v>
      </c>
      <c r="F27" s="37">
        <v>93278.329936</v>
      </c>
      <c r="G27" s="110" t="s">
        <v>170</v>
      </c>
      <c r="H27" s="31"/>
      <c r="I27" s="1"/>
      <c r="J27" s="1"/>
      <c r="K27" s="1"/>
      <c r="L27" s="37" t="str">
        <f>M27*0.95</f>
        <v> $ 102,600.00 </v>
      </c>
      <c r="M27" s="37" t="str">
        <f>9*12000</f>
        <v> $ 108,000.00 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46" t="s">
        <v>89</v>
      </c>
      <c r="B28" s="37" t="str">
        <f>(B11/3363)*1347.61</f>
        <v> $ 54,096.74 </v>
      </c>
      <c r="C28" s="37" t="str">
        <f t="shared" ref="C28:F28" si="7">(C11/4500)*1347.61</f>
        <v> $ 44,920.33 </v>
      </c>
      <c r="D28" s="37" t="str">
        <f t="shared" si="7"/>
        <v> $ 44,920.33 </v>
      </c>
      <c r="E28" s="37" t="str">
        <f t="shared" si="7"/>
        <v> $ 44,920.33 </v>
      </c>
      <c r="F28" s="37" t="str">
        <f t="shared" si="7"/>
        <v> $ 44,920.33 </v>
      </c>
      <c r="G28" s="110" t="s">
        <v>170</v>
      </c>
      <c r="H28" s="31"/>
      <c r="I28" s="1"/>
      <c r="J28" s="1"/>
      <c r="K28" s="1"/>
      <c r="L28" s="117" t="str">
        <f t="shared" ref="L28:M28" si="8">sum(B10:B12,B14)</f>
        <v> $ 1,991,190.42 </v>
      </c>
      <c r="M28" s="117" t="str">
        <f t="shared" si="8"/>
        <v> $ 2,006,738.85 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46" t="s">
        <v>97</v>
      </c>
      <c r="B29" s="37" t="str">
        <f t="shared" ref="B29:F29" si="9">(1347.61*(B12/4500))/2</f>
        <v> $ 228,737.99 </v>
      </c>
      <c r="C29" s="37" t="str">
        <f t="shared" si="9"/>
        <v> $ 228,737.99 </v>
      </c>
      <c r="D29" s="37" t="str">
        <f t="shared" si="9"/>
        <v> $ 228,737.99 </v>
      </c>
      <c r="E29" s="37" t="str">
        <f t="shared" si="9"/>
        <v> $ 228,737.99 </v>
      </c>
      <c r="F29" s="37" t="str">
        <f t="shared" si="9"/>
        <v> $ 228,737.99 </v>
      </c>
      <c r="G29" s="110" t="s">
        <v>170</v>
      </c>
      <c r="H29" s="31"/>
      <c r="I29" s="1"/>
      <c r="J29" s="1"/>
      <c r="K29" s="1"/>
      <c r="L29" s="117" t="str">
        <f t="shared" ref="L29:M29" si="10">sum(L26:L28)</f>
        <v> $ 2,882,520.42 </v>
      </c>
      <c r="M29" s="117" t="str">
        <f t="shared" si="10"/>
        <v> $ 3,061,828.85 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46" t="s">
        <v>173</v>
      </c>
      <c r="B30" s="61">
        <v>12000.0</v>
      </c>
      <c r="C30" s="61">
        <v>12000.0</v>
      </c>
      <c r="D30" s="61">
        <v>12000.0</v>
      </c>
      <c r="E30" s="61">
        <v>12000.0</v>
      </c>
      <c r="F30" s="61">
        <v>12000.0</v>
      </c>
      <c r="G30" s="61">
        <v>12000.0</v>
      </c>
      <c r="H30" s="31"/>
      <c r="I30" s="1"/>
      <c r="J30" s="1"/>
      <c r="K30" s="1"/>
      <c r="L30" s="57" t="str">
        <f t="shared" ref="L30:M30" si="11">L29*0.02</f>
        <v>$57,650.41</v>
      </c>
      <c r="M30" s="57" t="str">
        <f t="shared" si="11"/>
        <v>$61,236.58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46" t="s">
        <v>175</v>
      </c>
      <c r="B31" s="37" t="str">
        <f t="shared" ref="B31:F31" si="12">((B14/4500)*1347.61)/2</f>
        <v> $ 1,560.26 </v>
      </c>
      <c r="C31" s="37" t="str">
        <f t="shared" si="12"/>
        <v> $ 1,642.37 </v>
      </c>
      <c r="D31" s="37" t="str">
        <f t="shared" si="12"/>
        <v> $ 1,642.37 </v>
      </c>
      <c r="E31" s="37" t="str">
        <f t="shared" si="12"/>
        <v> $ 1,642.37 </v>
      </c>
      <c r="F31" s="37" t="str">
        <f t="shared" si="12"/>
        <v> $ 1,642.37 </v>
      </c>
      <c r="G31" s="121" t="str">
        <f>(C13/4500)*3363</f>
        <v>$89,680.00</v>
      </c>
      <c r="H31" s="31"/>
      <c r="I31" s="1"/>
      <c r="J31" s="1"/>
      <c r="K31" s="1"/>
      <c r="L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46" t="s">
        <v>176</v>
      </c>
      <c r="B32" s="37">
        <v>1927884.133960749</v>
      </c>
      <c r="C32" s="37">
        <v>1440772.0761133332</v>
      </c>
      <c r="D32" s="37">
        <v>1440772.0761133332</v>
      </c>
      <c r="E32" s="37">
        <v>1440772.0761133332</v>
      </c>
      <c r="F32" s="37">
        <v>1440772.0761133332</v>
      </c>
      <c r="G32" s="110">
        <v>0.0</v>
      </c>
      <c r="H32" s="31"/>
      <c r="I32" s="1"/>
      <c r="J32" s="31" t="s">
        <v>177</v>
      </c>
      <c r="K32" s="1"/>
      <c r="L32" s="31" t="s">
        <v>178</v>
      </c>
      <c r="M32" s="107" t="s">
        <v>179</v>
      </c>
      <c r="N32" s="57" t="str">
        <f>('E-Inv AF y Am'!B7+'E-Inv AF y Am'!B8)*0.8*0.9</f>
        <v>$4,736,880.00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46" t="s">
        <v>180</v>
      </c>
      <c r="B33" s="61">
        <v>0.0</v>
      </c>
      <c r="C33" s="61">
        <v>0.0</v>
      </c>
      <c r="D33" s="61">
        <v>0.0</v>
      </c>
      <c r="E33" s="61">
        <v>0.0</v>
      </c>
      <c r="F33" s="49">
        <v>0.0</v>
      </c>
      <c r="G33" s="110">
        <v>0.0</v>
      </c>
      <c r="H33" s="31"/>
      <c r="I33" s="1"/>
      <c r="J33" s="1"/>
      <c r="K33" s="1"/>
      <c r="L33" s="1"/>
      <c r="M33" s="31" t="s">
        <v>181</v>
      </c>
      <c r="N33" s="57" t="str">
        <f>('E-Inv AF y Am'!B7+'E-Inv AF y Am'!B8)*0.01*0.9</f>
        <v>$59,211.00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74" t="s">
        <v>182</v>
      </c>
      <c r="B34" s="104" t="str">
        <f t="shared" ref="B34:G34" si="13">sum(B24:B33)</f>
        <v> $ 2,924,987.67 </v>
      </c>
      <c r="C34" s="104" t="str">
        <f t="shared" si="13"/>
        <v> $ 2,381,571.38 </v>
      </c>
      <c r="D34" s="104" t="str">
        <f t="shared" si="13"/>
        <v> $ 2,381,571.38 </v>
      </c>
      <c r="E34" s="104" t="str">
        <f t="shared" si="13"/>
        <v> $ 2,379,574.92 </v>
      </c>
      <c r="F34" s="104" t="str">
        <f t="shared" si="13"/>
        <v> $ 2,379,574.92 </v>
      </c>
      <c r="G34" s="104" t="str">
        <f t="shared" si="13"/>
        <v> $ 127,955.05 </v>
      </c>
      <c r="H34" s="1"/>
      <c r="I34" s="1"/>
      <c r="J34" s="1"/>
      <c r="K34" s="1"/>
      <c r="L34" s="1"/>
      <c r="M34" s="31" t="s">
        <v>183</v>
      </c>
      <c r="N34" s="57" t="str">
        <f>'E-Inv AF y Am'!B15*0.03</f>
        <v>$15,000.00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4.25" customHeight="1">
      <c r="A35" s="36"/>
      <c r="B35" s="122"/>
      <c r="C35" s="122"/>
      <c r="D35" s="122"/>
      <c r="E35" s="122"/>
      <c r="F35" s="122"/>
      <c r="G35" s="122"/>
      <c r="H35" s="1"/>
      <c r="I35" s="1"/>
      <c r="J35" s="1"/>
      <c r="K35" s="1"/>
      <c r="L35" s="1"/>
      <c r="M35" s="31" t="s">
        <v>184</v>
      </c>
      <c r="N35" s="57" t="str">
        <f>SUM(N32:N34)</f>
        <v>$4,811,091.00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77"/>
      <c r="B36" s="123" t="s">
        <v>185</v>
      </c>
      <c r="C36" s="123"/>
      <c r="D36" s="123"/>
      <c r="E36" s="123"/>
      <c r="F36" s="124"/>
      <c r="G36" s="1"/>
      <c r="H36" s="1"/>
      <c r="I36" s="1"/>
      <c r="J36" s="1"/>
      <c r="K36" s="1"/>
      <c r="L36" s="31" t="s">
        <v>186</v>
      </c>
      <c r="M36" s="57" t="str">
        <f>N35/4500</f>
        <v>$1,069.13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74"/>
      <c r="B37" s="102" t="s">
        <v>31</v>
      </c>
      <c r="C37" s="102" t="s">
        <v>32</v>
      </c>
      <c r="D37" s="102" t="s">
        <v>33</v>
      </c>
      <c r="E37" s="102" t="s">
        <v>34</v>
      </c>
      <c r="F37" s="26" t="s">
        <v>35</v>
      </c>
      <c r="G37" s="122"/>
      <c r="H37" s="1"/>
      <c r="I37" s="1"/>
      <c r="J37" s="1"/>
      <c r="K37" s="1"/>
      <c r="L37" s="1"/>
      <c r="M37" s="31" t="s">
        <v>187</v>
      </c>
      <c r="N37" s="57" t="str">
        <f>1347.61*M36</f>
        <v>$1,440,772.08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28" t="s">
        <v>117</v>
      </c>
      <c r="B38" s="81">
        <v>2882728.8206866668</v>
      </c>
      <c r="C38" s="81">
        <v>3062048.218266667</v>
      </c>
      <c r="D38" s="81">
        <v>3062048.218266667</v>
      </c>
      <c r="E38" s="81">
        <v>3062048.218266667</v>
      </c>
      <c r="F38" s="81">
        <v>3062048.218266667</v>
      </c>
      <c r="G38" s="122"/>
      <c r="H38" s="1"/>
      <c r="I38" s="1"/>
      <c r="J38" s="1"/>
      <c r="K38" s="1"/>
      <c r="L38" s="31" t="s">
        <v>31</v>
      </c>
      <c r="M38" s="31" t="s">
        <v>188</v>
      </c>
      <c r="N38" s="57" t="str">
        <f>N35/3363</f>
        <v>$1,430.60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46" t="s">
        <v>189</v>
      </c>
      <c r="B39" s="125"/>
      <c r="C39" s="125"/>
      <c r="D39" s="125"/>
      <c r="E39" s="125"/>
      <c r="F39" s="113"/>
      <c r="G39" s="122"/>
      <c r="H39" s="1"/>
      <c r="I39" s="1"/>
      <c r="J39" s="1"/>
      <c r="K39" s="1"/>
      <c r="L39" s="1"/>
      <c r="M39" s="31" t="s">
        <v>190</v>
      </c>
      <c r="N39" s="57" t="str">
        <f>1347.61*N38</f>
        <v>$1,927,884.13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46" t="s">
        <v>191</v>
      </c>
      <c r="B40" s="37">
        <v>26275.05</v>
      </c>
      <c r="C40" s="125"/>
      <c r="D40" s="125"/>
      <c r="E40" s="125"/>
      <c r="F40" s="125"/>
      <c r="G40" s="12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46" t="s">
        <v>192</v>
      </c>
      <c r="B41" s="37">
        <v>985103.5399574572</v>
      </c>
      <c r="C41" s="37" t="str">
        <f>B34-C34</f>
        <v> $ 543,416.29 </v>
      </c>
      <c r="D41" s="61" t="s">
        <v>170</v>
      </c>
      <c r="E41" s="61" t="s">
        <v>170</v>
      </c>
      <c r="F41" s="61" t="s">
        <v>170</v>
      </c>
      <c r="G41" s="12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33" t="s">
        <v>193</v>
      </c>
      <c r="B42" s="37" t="str">
        <f>B38-B40-B41</f>
        <v> $ 1,871,350.23 </v>
      </c>
      <c r="C42" s="37" t="str">
        <f>C38-C40+C41</f>
        <v> $ 3,605,464.51 </v>
      </c>
      <c r="D42" s="37" t="str">
        <f t="shared" ref="D42:F42" si="14">D38-D40</f>
        <v> $ 3,062,048.22 </v>
      </c>
      <c r="E42" s="37" t="str">
        <f t="shared" si="14"/>
        <v> $ 3,062,048.22 </v>
      </c>
      <c r="F42" s="37" t="str">
        <f t="shared" si="14"/>
        <v> $ 3,062,048.22 </v>
      </c>
      <c r="G42" s="12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69" t="s">
        <v>194</v>
      </c>
      <c r="B43" s="126" t="str">
        <f>B42/3363</f>
        <v> $ 556.45 </v>
      </c>
      <c r="C43" s="126" t="str">
        <f t="shared" ref="C43:F43" si="15">C42/4500</f>
        <v> $ 801.21 </v>
      </c>
      <c r="D43" s="126" t="str">
        <f t="shared" si="15"/>
        <v> $ 680.46 </v>
      </c>
      <c r="E43" s="126" t="str">
        <f t="shared" si="15"/>
        <v> $ 680.46 </v>
      </c>
      <c r="F43" s="126" t="str">
        <f t="shared" si="15"/>
        <v> $ 680.46 </v>
      </c>
      <c r="G43" s="12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69"/>
      <c r="B44" s="126"/>
      <c r="C44" s="126"/>
      <c r="D44" s="126"/>
      <c r="E44" s="126"/>
      <c r="F44" s="127"/>
      <c r="G44" s="12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69" t="s">
        <v>120</v>
      </c>
      <c r="B45" s="128" t="str">
        <f t="shared" ref="B45:F45" si="16">((B38*B18)-B40-B27-B28-(0.2*B30)-B32-(0.5*B33))/B42</f>
        <v>-91%</v>
      </c>
      <c r="C45" s="128" t="str">
        <f t="shared" si="16"/>
        <v>-31%</v>
      </c>
      <c r="D45" s="128" t="str">
        <f t="shared" si="16"/>
        <v>-36%</v>
      </c>
      <c r="E45" s="128" t="str">
        <f t="shared" si="16"/>
        <v>-36%</v>
      </c>
      <c r="F45" s="128" t="str">
        <f t="shared" si="16"/>
        <v>-36%</v>
      </c>
      <c r="G45" s="12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74" t="s">
        <v>125</v>
      </c>
      <c r="B46" s="129" t="str">
        <f t="shared" ref="B46:F46" si="17">((B38*B19)-B24-B25-B29-(0.8*B30)-(0.5*B33))/B42</f>
        <v>86%</v>
      </c>
      <c r="C46" s="129" t="str">
        <f t="shared" si="17"/>
        <v>49%</v>
      </c>
      <c r="D46" s="129" t="str">
        <f t="shared" si="17"/>
        <v>58%</v>
      </c>
      <c r="E46" s="129" t="str">
        <f t="shared" si="17"/>
        <v>58%</v>
      </c>
      <c r="F46" s="129" t="str">
        <f t="shared" si="17"/>
        <v>58%</v>
      </c>
      <c r="G46" s="12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68"/>
      <c r="B49" s="70" t="s">
        <v>195</v>
      </c>
      <c r="C49" s="70"/>
      <c r="D49" s="70"/>
      <c r="E49" s="70"/>
      <c r="F49" s="88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30" t="s">
        <v>30</v>
      </c>
      <c r="B50" s="24" t="s">
        <v>31</v>
      </c>
      <c r="C50" s="24" t="s">
        <v>32</v>
      </c>
      <c r="D50" s="24" t="s">
        <v>33</v>
      </c>
      <c r="E50" s="24" t="s">
        <v>34</v>
      </c>
      <c r="F50" s="26" t="s">
        <v>35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86" t="s">
        <v>165</v>
      </c>
      <c r="B51" s="81" t="str">
        <f>C51*0.9</f>
        <v> $ 94,500.00 </v>
      </c>
      <c r="C51" s="81" t="str">
        <f>InfoInicial!B25*InfoInicial!D25+25000</f>
        <v> $ 105,000.00 </v>
      </c>
      <c r="D51" s="81">
        <v>105000.0</v>
      </c>
      <c r="E51" s="81">
        <v>105000.0</v>
      </c>
      <c r="F51" s="81">
        <v>105000.0</v>
      </c>
      <c r="G51" s="1"/>
      <c r="H51" s="31" t="s">
        <v>196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46" t="s">
        <v>197</v>
      </c>
      <c r="B52" s="37" t="str">
        <f>('E-Inv AF y Am'!D56-'E-Inv AF y Am'!D50)*0.05</f>
        <v> $ 17,304.40 </v>
      </c>
      <c r="C52" s="37" t="str">
        <f>('E-Inv AF y Am'!E56-'E-Inv AF y Am'!E50)*0.05</f>
        <v> $ 17,304.40 </v>
      </c>
      <c r="D52" s="37">
        <v>17304.4</v>
      </c>
      <c r="E52" s="37" t="str">
        <f>('E-Inv AF y Am'!E56*0.05)</f>
        <v> $ 17,304.40 </v>
      </c>
      <c r="F52" s="37">
        <v>17304.4</v>
      </c>
      <c r="G52" s="1"/>
      <c r="H52" s="31" t="s">
        <v>198</v>
      </c>
      <c r="I52" s="1"/>
      <c r="J52" s="1"/>
      <c r="K52" s="1"/>
      <c r="L52" s="53" t="s">
        <v>178</v>
      </c>
      <c r="M52" s="1"/>
      <c r="N52" s="1"/>
      <c r="O52" s="1"/>
      <c r="P52" s="53" t="s">
        <v>31</v>
      </c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46" t="s">
        <v>97</v>
      </c>
      <c r="B53" s="61">
        <v>36780.08009857289</v>
      </c>
      <c r="C53" s="61">
        <v>38715.87378797147</v>
      </c>
      <c r="D53" s="61">
        <v>38715.87378797147</v>
      </c>
      <c r="E53" s="61">
        <v>38715.87378797147</v>
      </c>
      <c r="F53" s="110">
        <v>38715.87378797147</v>
      </c>
      <c r="G53" s="1"/>
      <c r="H53" s="31" t="s">
        <v>199</v>
      </c>
      <c r="I53" s="1"/>
      <c r="J53" s="1"/>
      <c r="K53" s="1"/>
      <c r="L53" s="53" t="s">
        <v>200</v>
      </c>
      <c r="M53" s="53" t="s">
        <v>201</v>
      </c>
      <c r="N53" s="55" t="str">
        <f>'E-Inv AF y Am'!B20*0.015*0.05</f>
        <v>$6,239.96</v>
      </c>
      <c r="O53" s="1"/>
      <c r="P53" s="53" t="s">
        <v>200</v>
      </c>
      <c r="Q53" s="131" t="str">
        <f>N56*0.95</f>
        <v>$36,780.08</v>
      </c>
      <c r="R53" s="55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46" t="s">
        <v>202</v>
      </c>
      <c r="B54" s="37" t="str">
        <f>C54*0.95</f>
        <v> $ 285.00 </v>
      </c>
      <c r="C54" s="37" t="str">
        <f t="shared" ref="C54:F54" si="18">0.02*15000</f>
        <v> $ 300.00 </v>
      </c>
      <c r="D54" s="37" t="str">
        <f t="shared" si="18"/>
        <v> $ 300.00 </v>
      </c>
      <c r="E54" s="37" t="str">
        <f t="shared" si="18"/>
        <v> $ 300.00 </v>
      </c>
      <c r="F54" s="37" t="str">
        <f t="shared" si="18"/>
        <v> $ 300.00 </v>
      </c>
      <c r="G54" s="1"/>
      <c r="H54" s="31" t="s">
        <v>203</v>
      </c>
      <c r="I54" s="1"/>
      <c r="J54" s="1"/>
      <c r="K54" s="1"/>
      <c r="L54" s="1"/>
      <c r="M54" s="53" t="s">
        <v>204</v>
      </c>
      <c r="N54" s="117" t="str">
        <f>AVERAGE(B42:F42)</f>
        <v> $ 2,932,591.88 </v>
      </c>
      <c r="O54" s="55" t="str">
        <f>N54*0.01</f>
        <v>$29,325.92</v>
      </c>
      <c r="P54" s="1"/>
      <c r="Q54" s="53"/>
      <c r="R54" s="1"/>
      <c r="S54" s="55"/>
      <c r="T54" s="1"/>
      <c r="U54" s="1"/>
      <c r="V54" s="1"/>
      <c r="W54" s="1"/>
      <c r="X54" s="1"/>
      <c r="Y54" s="1"/>
      <c r="Z54" s="1"/>
    </row>
    <row r="55" ht="12.75" customHeight="1">
      <c r="A55" s="46" t="s">
        <v>205</v>
      </c>
      <c r="B55" s="27" t="str">
        <f>0.95*C55</f>
        <v>$9,580.08</v>
      </c>
      <c r="C55" s="37" t="str">
        <f t="shared" ref="C55:F55" si="19">800*11.5+0.176858*5000</f>
        <v> $ 10,084.29 </v>
      </c>
      <c r="D55" s="37" t="str">
        <f t="shared" si="19"/>
        <v> $ 10,084.29 </v>
      </c>
      <c r="E55" s="37" t="str">
        <f t="shared" si="19"/>
        <v> $ 10,084.29 </v>
      </c>
      <c r="F55" s="37" t="str">
        <f t="shared" si="19"/>
        <v> $ 10,084.29 </v>
      </c>
      <c r="G55" s="1"/>
      <c r="H55" s="31" t="s">
        <v>206</v>
      </c>
      <c r="I55" s="1"/>
      <c r="J55" s="1"/>
      <c r="K55" s="1"/>
      <c r="L55" s="1"/>
      <c r="M55" s="53" t="s">
        <v>207</v>
      </c>
      <c r="N55" s="55" t="str">
        <f>0.03*C51</f>
        <v>$3,150.00</v>
      </c>
      <c r="O55" s="1"/>
      <c r="P55" s="1"/>
      <c r="Q55" s="53"/>
      <c r="R55" s="55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46" t="s">
        <v>208</v>
      </c>
      <c r="B56" s="61">
        <v>93000.0</v>
      </c>
      <c r="C56" s="61">
        <v>93000.0</v>
      </c>
      <c r="D56" s="61">
        <v>93000.0</v>
      </c>
      <c r="E56" s="61">
        <v>93000.0</v>
      </c>
      <c r="F56" s="61">
        <v>93000.0</v>
      </c>
      <c r="G56" s="1"/>
      <c r="H56" s="31" t="s">
        <v>209</v>
      </c>
      <c r="I56" s="1"/>
      <c r="J56" s="1"/>
      <c r="K56" s="1"/>
      <c r="L56" s="1"/>
      <c r="M56" s="53" t="s">
        <v>184</v>
      </c>
      <c r="N56" s="131" t="str">
        <f>(N53+O54+N55)</f>
        <v>$38,715.87</v>
      </c>
      <c r="O56" s="1"/>
      <c r="P56" s="1"/>
      <c r="Q56" s="53"/>
      <c r="R56" s="53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46" t="s">
        <v>210</v>
      </c>
      <c r="B57" s="37">
        <v>983449.5</v>
      </c>
      <c r="C57" s="37">
        <v>983449.5</v>
      </c>
      <c r="D57" s="37">
        <v>983449.5</v>
      </c>
      <c r="E57" s="37">
        <v>983449.5</v>
      </c>
      <c r="F57" s="58">
        <v>983449.5</v>
      </c>
      <c r="G57" s="1"/>
      <c r="H57" s="31" t="s">
        <v>211</v>
      </c>
      <c r="I57" s="1"/>
      <c r="J57" s="1"/>
      <c r="K57" s="1"/>
      <c r="L57" s="53" t="s">
        <v>128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46" t="s">
        <v>18</v>
      </c>
      <c r="B58" s="37" t="str">
        <f t="shared" ref="B58:F58" si="20">0.02*(B51+B52+B53+B54+B55+B56+B57)</f>
        <v> $ 24,697.98 </v>
      </c>
      <c r="C58" s="37" t="str">
        <f t="shared" si="20"/>
        <v> $ 24,957.08 </v>
      </c>
      <c r="D58" s="37" t="str">
        <f t="shared" si="20"/>
        <v> $ 24,957.08 </v>
      </c>
      <c r="E58" s="37" t="str">
        <f t="shared" si="20"/>
        <v> $ 24,957.08 </v>
      </c>
      <c r="F58" s="37" t="str">
        <f t="shared" si="20"/>
        <v> $ 24,957.08 </v>
      </c>
      <c r="G58" s="1"/>
      <c r="H58" s="31" t="s">
        <v>212</v>
      </c>
      <c r="I58" s="1"/>
      <c r="J58" s="1"/>
      <c r="K58" s="1"/>
      <c r="L58" s="31" t="s">
        <v>213</v>
      </c>
      <c r="M58" s="57" t="str">
        <f>('E-Inv AF y Am'!B8+'E-Inv AF y Am'!B7)*0.8*0.05</f>
        <v>$263,160.00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46"/>
      <c r="B59" s="132"/>
      <c r="C59" s="132"/>
      <c r="D59" s="132"/>
      <c r="E59" s="132"/>
      <c r="F59" s="133"/>
      <c r="G59" s="1"/>
      <c r="H59" s="1"/>
      <c r="I59" s="1"/>
      <c r="J59" s="1"/>
      <c r="K59" s="1"/>
      <c r="L59" s="31" t="s">
        <v>214</v>
      </c>
      <c r="M59" s="57" t="str">
        <f>('E-Inv AF y Am'!B8+'E-Inv AF y Am'!B7)*0.01*0.05</f>
        <v>$3,289.50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33" t="s">
        <v>215</v>
      </c>
      <c r="B60" s="37" t="str">
        <f t="shared" ref="B60:F60" si="21">sum(B51:B58)</f>
        <v> $ 1,259,597.04 </v>
      </c>
      <c r="C60" s="37" t="str">
        <f t="shared" si="21"/>
        <v> $ 1,272,811.15 </v>
      </c>
      <c r="D60" s="37" t="str">
        <f t="shared" si="21"/>
        <v> $ 1,272,811.15 </v>
      </c>
      <c r="E60" s="37" t="str">
        <f t="shared" si="21"/>
        <v> $ 1,272,811.15 </v>
      </c>
      <c r="F60" s="37" t="str">
        <f t="shared" si="21"/>
        <v> $ 1,272,811.15 </v>
      </c>
      <c r="G60" s="1"/>
      <c r="H60" s="1"/>
      <c r="I60" s="1"/>
      <c r="J60" s="1"/>
      <c r="K60" s="1"/>
      <c r="L60" s="31" t="s">
        <v>216</v>
      </c>
      <c r="M60" s="57" t="str">
        <f>'E-Inv AF y Am'!B15*0.03</f>
        <v>$15,000.00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33"/>
      <c r="B61" s="125"/>
      <c r="C61" s="125"/>
      <c r="D61" s="125"/>
      <c r="E61" s="125"/>
      <c r="F61" s="134"/>
      <c r="G61" s="122"/>
      <c r="H61" s="1"/>
      <c r="I61" s="1"/>
      <c r="J61" s="1"/>
      <c r="K61" s="1"/>
      <c r="L61" s="31" t="s">
        <v>217</v>
      </c>
      <c r="M61" s="57" t="str">
        <f>13500000*0.04</f>
        <v>$540,000.00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69" t="s">
        <v>120</v>
      </c>
      <c r="B62" s="135">
        <v>1.0</v>
      </c>
      <c r="C62" s="135">
        <v>1.0</v>
      </c>
      <c r="D62" s="135">
        <v>1.0</v>
      </c>
      <c r="E62" s="135">
        <v>1.0</v>
      </c>
      <c r="F62" s="135">
        <v>1.0</v>
      </c>
      <c r="G62" s="122"/>
      <c r="H62" s="1"/>
      <c r="I62" s="1"/>
      <c r="J62" s="1"/>
      <c r="K62" s="1"/>
      <c r="L62" s="31" t="s">
        <v>218</v>
      </c>
      <c r="M62" s="57" t="str">
        <f>13500000*0.012</f>
        <v>$162,000.00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74" t="s">
        <v>125</v>
      </c>
      <c r="B63" s="136">
        <v>0.0</v>
      </c>
      <c r="C63" s="136">
        <v>0.0</v>
      </c>
      <c r="D63" s="136">
        <v>0.0</v>
      </c>
      <c r="E63" s="136">
        <v>0.0</v>
      </c>
      <c r="F63" s="136">
        <v>0.0</v>
      </c>
      <c r="G63" s="122"/>
      <c r="H63" s="1"/>
      <c r="I63" s="1"/>
      <c r="J63" s="1"/>
      <c r="K63" s="1"/>
      <c r="L63" s="53" t="s">
        <v>219</v>
      </c>
      <c r="M63" s="57" t="str">
        <f>sum(M58:M62)</f>
        <v>$983,449.50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68"/>
      <c r="B66" s="70" t="s">
        <v>220</v>
      </c>
      <c r="C66" s="70"/>
      <c r="D66" s="70"/>
      <c r="E66" s="70"/>
      <c r="F66" s="88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30" t="s">
        <v>30</v>
      </c>
      <c r="B67" s="137" t="s">
        <v>31</v>
      </c>
      <c r="C67" s="137" t="s">
        <v>32</v>
      </c>
      <c r="D67" s="137" t="s">
        <v>33</v>
      </c>
      <c r="E67" s="137" t="s">
        <v>34</v>
      </c>
      <c r="F67" s="138" t="s">
        <v>35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39" t="s">
        <v>165</v>
      </c>
      <c r="B68" s="140" t="str">
        <f>0.9*C68</f>
        <v>$63,000.00</v>
      </c>
      <c r="C68" s="140" t="str">
        <f>InfoInicial!B24*InfoInicial!D24</f>
        <v>$70,000.00</v>
      </c>
      <c r="D68" s="140">
        <v>70000.0</v>
      </c>
      <c r="E68" s="140">
        <v>70000.0</v>
      </c>
      <c r="F68" s="140">
        <v>70000.0</v>
      </c>
      <c r="G68" s="1"/>
      <c r="H68" s="107" t="s">
        <v>221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41" t="s">
        <v>197</v>
      </c>
      <c r="B69" s="142">
        <v>17304.4</v>
      </c>
      <c r="C69" s="142">
        <v>17304.4</v>
      </c>
      <c r="D69" s="142">
        <v>17304.4</v>
      </c>
      <c r="E69" s="142">
        <v>17304.4</v>
      </c>
      <c r="F69" s="142">
        <v>17304.4</v>
      </c>
      <c r="G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41" t="s">
        <v>97</v>
      </c>
      <c r="B70" s="140">
        <v>154154.95500000002</v>
      </c>
      <c r="C70" s="57" t="str">
        <f t="shared" ref="C70:F70" si="22">sum(C66:C69)</f>
        <v>$87,304.40</v>
      </c>
      <c r="D70" s="57" t="str">
        <f t="shared" si="22"/>
        <v>$87,304.40</v>
      </c>
      <c r="E70" s="57" t="str">
        <f t="shared" si="22"/>
        <v>$87,304.40</v>
      </c>
      <c r="F70" s="57" t="str">
        <f t="shared" si="22"/>
        <v>$87,304.40</v>
      </c>
      <c r="G70" s="1"/>
      <c r="H70" s="107" t="s">
        <v>222</v>
      </c>
      <c r="I70" s="1"/>
      <c r="J70" s="1"/>
      <c r="K70" s="1"/>
      <c r="L70" s="53" t="s">
        <v>178</v>
      </c>
      <c r="M70" s="31" t="s">
        <v>201</v>
      </c>
      <c r="N70" s="57" t="str">
        <f>'E-Inv AF y Am'!B20*0.015*0.05</f>
        <v>$6,239.96</v>
      </c>
      <c r="O70" s="53" t="s">
        <v>31</v>
      </c>
      <c r="P70" s="31" t="s">
        <v>201</v>
      </c>
      <c r="Q70" s="57">
        <v>6239.955</v>
      </c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41" t="s">
        <v>223</v>
      </c>
      <c r="B71" s="142" t="str">
        <f>0.9*C71</f>
        <v>0</v>
      </c>
      <c r="C71" s="142"/>
      <c r="D71" s="142"/>
      <c r="E71" s="142"/>
      <c r="F71" s="142"/>
      <c r="G71" s="1"/>
      <c r="I71" s="1"/>
      <c r="J71" s="1"/>
      <c r="K71" s="1"/>
      <c r="L71" s="1"/>
      <c r="M71" s="31" t="s">
        <v>204</v>
      </c>
      <c r="N71" s="57" t="str">
        <f>15*4500</f>
        <v>$67,500.00</v>
      </c>
      <c r="O71" s="1"/>
      <c r="P71" s="31" t="s">
        <v>204</v>
      </c>
      <c r="Q71" s="57" t="str">
        <f>15*3009</f>
        <v>$45,135.00</v>
      </c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41" t="s">
        <v>205</v>
      </c>
      <c r="B72" s="140" t="str">
        <f t="shared" ref="B72:F72" si="23">0.5*B55</f>
        <v>$4,790.04</v>
      </c>
      <c r="C72" s="140" t="str">
        <f t="shared" si="23"/>
        <v>$5,042.15</v>
      </c>
      <c r="D72" s="140" t="str">
        <f t="shared" si="23"/>
        <v>$5,042.15</v>
      </c>
      <c r="E72" s="140" t="str">
        <f t="shared" si="23"/>
        <v>$5,042.15</v>
      </c>
      <c r="F72" s="140" t="str">
        <f t="shared" si="23"/>
        <v>$5,042.15</v>
      </c>
      <c r="G72" s="1"/>
      <c r="I72" s="1"/>
      <c r="J72" s="1"/>
      <c r="K72" s="1"/>
      <c r="L72" s="1"/>
      <c r="M72" s="31" t="s">
        <v>224</v>
      </c>
      <c r="N72" s="57" t="str">
        <f>0.03*C68</f>
        <v>$2,100.00</v>
      </c>
      <c r="O72" s="1"/>
      <c r="P72" s="31" t="s">
        <v>224</v>
      </c>
      <c r="Q72" s="57" t="str">
        <f>0.03*B68</f>
        <v>$1,890.00</v>
      </c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46" t="s">
        <v>208</v>
      </c>
      <c r="B73" s="29">
        <v>0.0</v>
      </c>
      <c r="C73" s="29">
        <v>0.0</v>
      </c>
      <c r="D73" s="29">
        <v>0.0</v>
      </c>
      <c r="E73" s="29">
        <v>0.0</v>
      </c>
      <c r="F73" s="143">
        <v>0.0</v>
      </c>
      <c r="G73" s="1"/>
      <c r="H73" s="1"/>
      <c r="I73" s="1"/>
      <c r="J73" s="1"/>
      <c r="K73" s="1"/>
      <c r="L73" s="1"/>
      <c r="M73" s="31" t="s">
        <v>225</v>
      </c>
      <c r="N73" s="57" t="str">
        <f>30*4500</f>
        <v>$135,000.00</v>
      </c>
      <c r="O73" s="1"/>
      <c r="P73" s="31" t="s">
        <v>225</v>
      </c>
      <c r="Q73" s="57" t="str">
        <f>30*3363</f>
        <v>$100,890.00</v>
      </c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46" t="s">
        <v>210</v>
      </c>
      <c r="B74" s="37">
        <v>611449.5</v>
      </c>
      <c r="C74" s="57">
        <v>652699.5</v>
      </c>
      <c r="D74" s="57">
        <v>652699.5</v>
      </c>
      <c r="E74" s="57">
        <v>652699.5</v>
      </c>
      <c r="F74" s="57">
        <v>652699.5</v>
      </c>
      <c r="G74" s="1"/>
      <c r="H74" s="31" t="s">
        <v>226</v>
      </c>
      <c r="I74" s="1"/>
      <c r="J74" s="1"/>
      <c r="K74" s="1"/>
      <c r="L74" s="1"/>
      <c r="M74" s="53" t="s">
        <v>184</v>
      </c>
      <c r="N74" s="55" t="str">
        <f>sum(N70:N73)</f>
        <v>$210,839.96</v>
      </c>
      <c r="O74" s="1"/>
      <c r="P74" s="53" t="s">
        <v>184</v>
      </c>
      <c r="Q74" s="55" t="str">
        <f>sum(Q70:Q73)</f>
        <v>$154,154.96</v>
      </c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46" t="s">
        <v>18</v>
      </c>
      <c r="B75" s="37" t="str">
        <f t="shared" ref="B75:F75" si="24">sum(B68:B74)*0.02</f>
        <v> $ 17,013.98 </v>
      </c>
      <c r="C75" s="37" t="str">
        <f t="shared" si="24"/>
        <v> $ 16,647.01 </v>
      </c>
      <c r="D75" s="37" t="str">
        <f t="shared" si="24"/>
        <v> $ 16,647.01 </v>
      </c>
      <c r="E75" s="37" t="str">
        <f t="shared" si="24"/>
        <v> $ 16,647.01 </v>
      </c>
      <c r="F75" s="37" t="str">
        <f t="shared" si="24"/>
        <v> $ 16,647.01 </v>
      </c>
      <c r="G75" s="1"/>
      <c r="H75" s="31" t="s">
        <v>227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46"/>
      <c r="B76" s="91"/>
      <c r="C76" s="91"/>
      <c r="D76" s="91"/>
      <c r="E76" s="91"/>
      <c r="F76" s="93"/>
      <c r="G76" s="1"/>
      <c r="H76" s="1"/>
      <c r="I76" s="1"/>
      <c r="J76" s="1"/>
      <c r="K76" s="1"/>
      <c r="L76" s="53" t="s">
        <v>228</v>
      </c>
      <c r="M76" s="107" t="s">
        <v>229</v>
      </c>
      <c r="N76" s="57" t="str">
        <f>sum(M58:M60)</f>
        <v>$281,449.50</v>
      </c>
      <c r="O76" s="53" t="s">
        <v>31</v>
      </c>
      <c r="P76" s="107" t="s">
        <v>229</v>
      </c>
      <c r="Q76" s="1">
        <v>281449.5</v>
      </c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33" t="s">
        <v>230</v>
      </c>
      <c r="B77" s="144" t="str">
        <f t="shared" ref="B77:F77" si="25">sum(B68:B75)</f>
        <v> $ 867,712.87 </v>
      </c>
      <c r="C77" s="144" t="str">
        <f t="shared" si="25"/>
        <v> $ 848,997.45 </v>
      </c>
      <c r="D77" s="144" t="str">
        <f t="shared" si="25"/>
        <v> $ 848,997.45 </v>
      </c>
      <c r="E77" s="144" t="str">
        <f t="shared" si="25"/>
        <v> $ 848,997.45 </v>
      </c>
      <c r="F77" s="144" t="str">
        <f t="shared" si="25"/>
        <v> $ 848,997.45 </v>
      </c>
      <c r="G77" s="1"/>
      <c r="H77" s="1"/>
      <c r="I77" s="1"/>
      <c r="J77" s="1"/>
      <c r="K77" s="1"/>
      <c r="L77" s="1"/>
      <c r="M77" s="31" t="s">
        <v>231</v>
      </c>
      <c r="N77" s="57" t="str">
        <f>13500000*0.0275</f>
        <v>$371,250.00</v>
      </c>
      <c r="O77" s="1"/>
      <c r="P77" s="31" t="s">
        <v>231</v>
      </c>
      <c r="Q77" s="57" t="str">
        <f>12000000*0.0275</f>
        <v>$330,000.00</v>
      </c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33"/>
      <c r="B78" s="37"/>
      <c r="C78" s="37"/>
      <c r="D78" s="37"/>
      <c r="E78" s="37"/>
      <c r="F78" s="58"/>
      <c r="G78" s="1"/>
      <c r="H78" s="1"/>
      <c r="I78" s="1"/>
      <c r="J78" s="1"/>
      <c r="K78" s="1"/>
      <c r="L78" s="1"/>
      <c r="M78" s="53" t="s">
        <v>219</v>
      </c>
      <c r="N78" s="57" t="str">
        <f>sum(N76:N77)</f>
        <v>$652,699.50</v>
      </c>
      <c r="O78" s="1"/>
      <c r="P78" s="53" t="s">
        <v>219</v>
      </c>
      <c r="Q78" s="57" t="str">
        <f>sum(Q76:Q77)</f>
        <v>$611,449.50</v>
      </c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69" t="s">
        <v>120</v>
      </c>
      <c r="B79" s="145" t="str">
        <f t="shared" ref="B79:F79" si="26">(B69+B71+B74+B70+(B75*0.5))/B77</f>
        <v>91%</v>
      </c>
      <c r="C79" s="145" t="str">
        <f t="shared" si="26"/>
        <v>90%</v>
      </c>
      <c r="D79" s="145" t="str">
        <f t="shared" si="26"/>
        <v>90%</v>
      </c>
      <c r="E79" s="145" t="str">
        <f t="shared" si="26"/>
        <v>90%</v>
      </c>
      <c r="F79" s="145" t="str">
        <f t="shared" si="26"/>
        <v>90%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74" t="s">
        <v>125</v>
      </c>
      <c r="B80" s="129" t="str">
        <f t="shared" ref="B80:F80" si="27">(B73+(0.5*B75))/B77</f>
        <v>1%</v>
      </c>
      <c r="C80" s="129" t="str">
        <f t="shared" si="27"/>
        <v>1%</v>
      </c>
      <c r="D80" s="129" t="str">
        <f t="shared" si="27"/>
        <v>1%</v>
      </c>
      <c r="E80" s="129" t="str">
        <f t="shared" si="27"/>
        <v>1%</v>
      </c>
      <c r="F80" s="129" t="str">
        <f t="shared" si="27"/>
        <v>1%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6.5" customHeight="1">
      <c r="A83" s="146" t="s">
        <v>232</v>
      </c>
      <c r="B83" s="147"/>
      <c r="C83" s="147"/>
      <c r="D83" s="147"/>
      <c r="E83" s="147"/>
      <c r="F83" s="148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46"/>
      <c r="B84" s="20" t="s">
        <v>31</v>
      </c>
      <c r="C84" s="20" t="s">
        <v>32</v>
      </c>
      <c r="D84" s="20" t="s">
        <v>33</v>
      </c>
      <c r="E84" s="20" t="s">
        <v>34</v>
      </c>
      <c r="F84" s="26" t="s">
        <v>35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46" t="s">
        <v>233</v>
      </c>
      <c r="B85" s="149" t="s">
        <v>234</v>
      </c>
      <c r="C85" s="149" t="s">
        <v>235</v>
      </c>
      <c r="D85" s="149" t="s">
        <v>235</v>
      </c>
      <c r="E85" s="149" t="s">
        <v>235</v>
      </c>
      <c r="F85" s="149" t="s">
        <v>235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46" t="s">
        <v>236</v>
      </c>
      <c r="B86" s="61">
        <v>3000.0</v>
      </c>
      <c r="C86" s="61">
        <v>3000.0</v>
      </c>
      <c r="D86" s="61">
        <v>3000.0</v>
      </c>
      <c r="E86" s="61">
        <v>3000.0</v>
      </c>
      <c r="F86" s="61">
        <v>3000.0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33" t="s">
        <v>237</v>
      </c>
      <c r="B87" s="144" t="str">
        <f t="shared" ref="B87:F87" si="28">B85*B86</f>
        <v> $ 9,027,000.00 </v>
      </c>
      <c r="C87" s="144" t="str">
        <f t="shared" si="28"/>
        <v> $ 13,500,000.00 </v>
      </c>
      <c r="D87" s="144" t="str">
        <f t="shared" si="28"/>
        <v> $ 13,500,000.00 </v>
      </c>
      <c r="E87" s="144" t="str">
        <f t="shared" si="28"/>
        <v> $ 13,500,000.00 </v>
      </c>
      <c r="F87" s="144" t="str">
        <f t="shared" si="28"/>
        <v> $ 13,500,000.00 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50"/>
      <c r="B88" s="125"/>
      <c r="C88" s="125"/>
      <c r="D88" s="125"/>
      <c r="E88" s="125"/>
      <c r="F88" s="134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46" t="s">
        <v>238</v>
      </c>
      <c r="B89" s="61">
        <v>788730.0</v>
      </c>
      <c r="C89" s="61">
        <v>947090.0</v>
      </c>
      <c r="D89" s="61">
        <v>947090.0</v>
      </c>
      <c r="E89" s="61">
        <v>947090.0</v>
      </c>
      <c r="F89" s="61">
        <v>947090.0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46" t="s">
        <v>41</v>
      </c>
      <c r="B90" s="37">
        <v>102600.0</v>
      </c>
      <c r="C90" s="37">
        <v>108000.0</v>
      </c>
      <c r="D90" s="37">
        <v>108000.0</v>
      </c>
      <c r="E90" s="37">
        <v>108000.0</v>
      </c>
      <c r="F90" s="58">
        <v>108000.0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46" t="s">
        <v>239</v>
      </c>
      <c r="B91" s="37" t="str">
        <f t="shared" ref="B91:F91" si="29">B16-B8-B7</f>
        <v> $ 2,111,398.82 </v>
      </c>
      <c r="C91" s="37" t="str">
        <f t="shared" si="29"/>
        <v> $ 2,126,958.22 </v>
      </c>
      <c r="D91" s="37" t="str">
        <f t="shared" si="29"/>
        <v> $ 2,126,958.22 </v>
      </c>
      <c r="E91" s="37" t="str">
        <f t="shared" si="29"/>
        <v> $ 2,120,291.55 </v>
      </c>
      <c r="F91" s="37" t="str">
        <f t="shared" si="29"/>
        <v> $ 2,120,291.55 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46"/>
      <c r="B92" s="37"/>
      <c r="C92" s="37"/>
      <c r="D92" s="37"/>
      <c r="E92" s="37"/>
      <c r="F92" s="58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46" t="s">
        <v>240</v>
      </c>
      <c r="B93" s="37">
        <v>2882728.8206866668</v>
      </c>
      <c r="C93" s="37">
        <v>3062048.218266667</v>
      </c>
      <c r="D93" s="37">
        <v>3062048.218266667</v>
      </c>
      <c r="E93" s="37">
        <v>3055381.5516</v>
      </c>
      <c r="F93" s="58">
        <v>3055381.5516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50"/>
      <c r="B94" s="125"/>
      <c r="C94" s="125"/>
      <c r="D94" s="125"/>
      <c r="E94" s="125"/>
      <c r="F94" s="134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46" t="s">
        <v>189</v>
      </c>
      <c r="B95" s="125"/>
      <c r="C95" s="125"/>
      <c r="D95" s="125"/>
      <c r="E95" s="125"/>
      <c r="F95" s="134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56" t="s">
        <v>161</v>
      </c>
      <c r="B96" s="37">
        <v>26275.05</v>
      </c>
      <c r="C96" s="61">
        <v>0.0</v>
      </c>
      <c r="D96" s="61">
        <v>0.0</v>
      </c>
      <c r="E96" s="61">
        <v>0.0</v>
      </c>
      <c r="F96" s="61">
        <v>0.0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56" t="s">
        <v>192</v>
      </c>
      <c r="B97" s="37">
        <v>985103.5399574572</v>
      </c>
      <c r="C97" s="37">
        <v>543416.2901898585</v>
      </c>
      <c r="D97" s="61">
        <v>0.0</v>
      </c>
      <c r="E97" s="61">
        <v>0.0</v>
      </c>
      <c r="F97" s="110">
        <v>0.0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50"/>
      <c r="B98" s="125"/>
      <c r="C98" s="125"/>
      <c r="D98" s="125"/>
      <c r="E98" s="125"/>
      <c r="F98" s="134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33" t="s">
        <v>241</v>
      </c>
      <c r="B99" s="144" t="str">
        <f t="shared" ref="B99:F99" si="30">B87-B89-B90-B91-B93-B96-B97</f>
        <v> $ 2,130,163.77 </v>
      </c>
      <c r="C99" s="144" t="str">
        <f t="shared" si="30"/>
        <v> $ 6,712,487.27 </v>
      </c>
      <c r="D99" s="144" t="str">
        <f t="shared" si="30"/>
        <v> $ 7,255,903.56 </v>
      </c>
      <c r="E99" s="144" t="str">
        <f t="shared" si="30"/>
        <v> $ 7,269,236.90 </v>
      </c>
      <c r="F99" s="144" t="str">
        <f t="shared" si="30"/>
        <v> $ 7,269,236.90 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56" t="s">
        <v>242</v>
      </c>
      <c r="B100" s="149" t="s">
        <v>243</v>
      </c>
      <c r="C100" s="149" t="s">
        <v>235</v>
      </c>
      <c r="D100" s="149" t="s">
        <v>235</v>
      </c>
      <c r="E100" s="149" t="s">
        <v>235</v>
      </c>
      <c r="F100" s="149" t="s">
        <v>235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46" t="s">
        <v>244</v>
      </c>
      <c r="B101" s="37" t="str">
        <f t="shared" ref="B101:F101" si="31">B99/B100</f>
        <v> $ 633.41 </v>
      </c>
      <c r="C101" s="37" t="str">
        <f t="shared" si="31"/>
        <v> $ 1,491.66 </v>
      </c>
      <c r="D101" s="37" t="str">
        <f t="shared" si="31"/>
        <v> $ 1,612.42 </v>
      </c>
      <c r="E101" s="37" t="str">
        <f t="shared" si="31"/>
        <v> $ 1,615.39 </v>
      </c>
      <c r="F101" s="37" t="str">
        <f t="shared" si="31"/>
        <v> $ 1,615.39 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50"/>
      <c r="B102" s="151"/>
      <c r="C102" s="151"/>
      <c r="D102" s="151"/>
      <c r="E102" s="151"/>
      <c r="F102" s="15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46" t="s">
        <v>189</v>
      </c>
      <c r="B103" s="144"/>
      <c r="C103" s="144"/>
      <c r="D103" s="144"/>
      <c r="E103" s="144"/>
      <c r="F103" s="15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46" t="s">
        <v>245</v>
      </c>
      <c r="B104" s="37" t="str">
        <f t="shared" ref="B104:F104" si="32">45*B101</f>
        <v> $ 28,503.53 </v>
      </c>
      <c r="C104" s="37" t="str">
        <f t="shared" si="32"/>
        <v> $ 67,124.87 </v>
      </c>
      <c r="D104" s="37" t="str">
        <f t="shared" si="32"/>
        <v> $ 72,559.04 </v>
      </c>
      <c r="E104" s="37" t="str">
        <f t="shared" si="32"/>
        <v> $ 72,692.37 </v>
      </c>
      <c r="F104" s="37" t="str">
        <f t="shared" si="32"/>
        <v> $ 72,692.37 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50"/>
      <c r="B105" s="151"/>
      <c r="C105" s="151"/>
      <c r="D105" s="151"/>
      <c r="E105" s="151"/>
      <c r="F105" s="15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33" t="s">
        <v>246</v>
      </c>
      <c r="B106" s="144" t="str">
        <f t="shared" ref="B106:F106" si="33">B99-B104</f>
        <v> $ 2,101,660.24 </v>
      </c>
      <c r="C106" s="144" t="str">
        <f t="shared" si="33"/>
        <v> $ 6,645,362.40 </v>
      </c>
      <c r="D106" s="144" t="str">
        <f t="shared" si="33"/>
        <v> $ 7,183,344.53 </v>
      </c>
      <c r="E106" s="144" t="str">
        <f t="shared" si="33"/>
        <v> $ 7,196,544.53 </v>
      </c>
      <c r="F106" s="144" t="str">
        <f t="shared" si="33"/>
        <v> $ 7,196,544.53 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50"/>
      <c r="B107" s="125"/>
      <c r="C107" s="125"/>
      <c r="D107" s="125"/>
      <c r="E107" s="125"/>
      <c r="F107" s="134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33" t="s">
        <v>247</v>
      </c>
      <c r="B108" s="144">
        <v>1259597.0367105443</v>
      </c>
      <c r="C108" s="144">
        <v>1272811.1450637311</v>
      </c>
      <c r="D108" s="144">
        <v>1272811.1450637311</v>
      </c>
      <c r="E108" s="144">
        <v>1272811.1450637311</v>
      </c>
      <c r="F108" s="144">
        <v>1272811.1450637311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33" t="s">
        <v>248</v>
      </c>
      <c r="B109" s="144">
        <v>867712.870605</v>
      </c>
      <c r="C109" s="144">
        <v>848997.4539</v>
      </c>
      <c r="D109" s="144">
        <v>848997.4539</v>
      </c>
      <c r="E109" s="144">
        <v>848997.4539</v>
      </c>
      <c r="F109" s="144">
        <v>848997.4539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50"/>
      <c r="B110" s="151"/>
      <c r="C110" s="151"/>
      <c r="D110" s="151"/>
      <c r="E110" s="151"/>
      <c r="F110" s="15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33" t="s">
        <v>249</v>
      </c>
      <c r="B111" s="144" t="str">
        <f t="shared" ref="B111:F111" si="34">sum(B106:B109)</f>
        <v> $ 4,228,970.15 </v>
      </c>
      <c r="C111" s="144" t="str">
        <f t="shared" si="34"/>
        <v> $ 8,767,171.00 </v>
      </c>
      <c r="D111" s="144" t="str">
        <f t="shared" si="34"/>
        <v> $ 9,305,153.13 </v>
      </c>
      <c r="E111" s="144" t="str">
        <f t="shared" si="34"/>
        <v> $ 9,318,353.13 </v>
      </c>
      <c r="F111" s="144" t="str">
        <f t="shared" si="34"/>
        <v> $ 9,318,353.13 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50"/>
      <c r="B112" s="151"/>
      <c r="C112" s="151"/>
      <c r="D112" s="151"/>
      <c r="E112" s="151"/>
      <c r="F112" s="15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33" t="s">
        <v>250</v>
      </c>
      <c r="B113" s="144" t="str">
        <f t="shared" ref="B113:F113" si="35">B111/B85</f>
        <v> $ 1,405.44 </v>
      </c>
      <c r="C113" s="144" t="str">
        <f t="shared" si="35"/>
        <v> $ 1,948.26 </v>
      </c>
      <c r="D113" s="144" t="str">
        <f t="shared" si="35"/>
        <v> $ 2,067.81 </v>
      </c>
      <c r="E113" s="144" t="str">
        <f t="shared" si="35"/>
        <v> $ 2,070.75 </v>
      </c>
      <c r="F113" s="144" t="str">
        <f t="shared" si="35"/>
        <v> $ 2,070.75 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50"/>
      <c r="B114" s="151"/>
      <c r="C114" s="151"/>
      <c r="D114" s="151"/>
      <c r="E114" s="151"/>
      <c r="F114" s="15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33" t="s">
        <v>251</v>
      </c>
      <c r="B115" s="144" t="str">
        <f t="shared" ref="B115:F115" si="36">B87-B111</f>
        <v> $ 4,798,029.85 </v>
      </c>
      <c r="C115" s="154" t="str">
        <f t="shared" si="36"/>
        <v>$4,732,829.00</v>
      </c>
      <c r="D115" s="144" t="str">
        <f t="shared" si="36"/>
        <v> $ 4,194,846.87 </v>
      </c>
      <c r="E115" s="144" t="str">
        <f t="shared" si="36"/>
        <v> $ 4,181,646.87 </v>
      </c>
      <c r="F115" s="144" t="str">
        <f t="shared" si="36"/>
        <v> $ 4,181,646.87 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33" t="s">
        <v>4</v>
      </c>
      <c r="B116" s="144" t="str">
        <f t="shared" ref="B116:F116" si="37">0.04*B115</f>
        <v> $ 191,921.19 </v>
      </c>
      <c r="C116" s="144" t="str">
        <f t="shared" si="37"/>
        <v> $ 189,313.16 </v>
      </c>
      <c r="D116" s="144" t="str">
        <f t="shared" si="37"/>
        <v> $ 167,793.87 </v>
      </c>
      <c r="E116" s="144" t="str">
        <f t="shared" si="37"/>
        <v> $ 167,265.87 </v>
      </c>
      <c r="F116" s="144" t="str">
        <f t="shared" si="37"/>
        <v> $ 167,265.87 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11" t="s">
        <v>252</v>
      </c>
      <c r="B117" s="144" t="str">
        <f t="shared" ref="B117:F117" si="38">(B115-B116)*0.35</f>
        <v> $ 1,612,138.03 </v>
      </c>
      <c r="C117" s="144" t="str">
        <f t="shared" si="38"/>
        <v> $ 1,590,230.54 </v>
      </c>
      <c r="D117" s="144" t="str">
        <f t="shared" si="38"/>
        <v> $ 1,409,468.55 </v>
      </c>
      <c r="E117" s="144" t="str">
        <f t="shared" si="38"/>
        <v> $ 1,405,033.35 </v>
      </c>
      <c r="F117" s="144" t="str">
        <f t="shared" si="38"/>
        <v> $ 1,405,033.35 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55"/>
      <c r="B118" s="151"/>
      <c r="C118" s="151"/>
      <c r="D118" s="151"/>
      <c r="E118" s="151"/>
      <c r="F118" s="15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11" t="s">
        <v>253</v>
      </c>
      <c r="B119" s="144" t="str">
        <f t="shared" ref="B119:F119" si="39">B115-B116-B117</f>
        <v> $ 2,993,970.63 </v>
      </c>
      <c r="C119" s="144" t="str">
        <f t="shared" si="39"/>
        <v> $ 2,953,285.30 </v>
      </c>
      <c r="D119" s="144" t="str">
        <f t="shared" si="39"/>
        <v> $ 2,617,584.45 </v>
      </c>
      <c r="E119" s="144" t="str">
        <f t="shared" si="39"/>
        <v> $ 2,609,347.65 </v>
      </c>
      <c r="F119" s="144" t="str">
        <f t="shared" si="39"/>
        <v> $ 2,609,347.65 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33" t="s">
        <v>254</v>
      </c>
      <c r="B120" s="156" t="str">
        <f t="shared" ref="B120:F120" si="40">(B119/B87)</f>
        <v>33%</v>
      </c>
      <c r="C120" s="156" t="str">
        <f t="shared" si="40"/>
        <v>22%</v>
      </c>
      <c r="D120" s="156" t="str">
        <f t="shared" si="40"/>
        <v>19%</v>
      </c>
      <c r="E120" s="156" t="str">
        <f t="shared" si="40"/>
        <v>19%</v>
      </c>
      <c r="F120" s="156" t="str">
        <f t="shared" si="40"/>
        <v>19%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55"/>
      <c r="B121" s="157"/>
      <c r="C121" s="157"/>
      <c r="D121" s="157"/>
      <c r="E121" s="157"/>
      <c r="F121" s="158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33" t="s">
        <v>255</v>
      </c>
      <c r="B122" s="157"/>
      <c r="C122" s="157"/>
      <c r="D122" s="157"/>
      <c r="E122" s="157"/>
      <c r="F122" s="158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11" t="s">
        <v>256</v>
      </c>
      <c r="B123" s="59">
        <v>2920092.591104999</v>
      </c>
      <c r="C123" s="59">
        <v>2879154.09630715</v>
      </c>
      <c r="D123" s="59">
        <v>2543453.2488794634</v>
      </c>
      <c r="E123" s="59">
        <v>2535216.4488794636</v>
      </c>
      <c r="F123" s="159">
        <v>2535216.4488794636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33" t="s">
        <v>257</v>
      </c>
      <c r="B124" s="64" t="str">
        <f t="shared" ref="B124:F124" si="41">B119+B121</f>
        <v> $ 2,993,970.63 </v>
      </c>
      <c r="C124" s="64" t="str">
        <f t="shared" si="41"/>
        <v> $ 2,953,285.30 </v>
      </c>
      <c r="D124" s="64" t="str">
        <f t="shared" si="41"/>
        <v> $ 2,617,584.45 </v>
      </c>
      <c r="E124" s="64" t="str">
        <f t="shared" si="41"/>
        <v> $ 2,609,347.65 </v>
      </c>
      <c r="F124" s="64" t="str">
        <f t="shared" si="41"/>
        <v> $ 2,609,347.65 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74" t="s">
        <v>184</v>
      </c>
      <c r="B125" s="160" t="str">
        <f t="shared" ref="B125:F125" si="42">SUM(B123:B124)</f>
        <v>$5,914,063.22</v>
      </c>
      <c r="C125" s="160" t="str">
        <f t="shared" si="42"/>
        <v>$5,832,439.39</v>
      </c>
      <c r="D125" s="160" t="str">
        <f t="shared" si="42"/>
        <v>$5,161,037.70</v>
      </c>
      <c r="E125" s="160" t="str">
        <f t="shared" si="42"/>
        <v>$5,144,564.10</v>
      </c>
      <c r="F125" s="160" t="str">
        <f t="shared" si="42"/>
        <v>$5,144,564.10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33"/>
      <c r="B126" s="48"/>
      <c r="C126" s="48"/>
      <c r="D126" s="48"/>
      <c r="E126" s="48"/>
      <c r="F126" s="96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33" t="s">
        <v>258</v>
      </c>
      <c r="B127" s="48" t="str">
        <f t="shared" ref="B127:F127" si="43">B18*B16</f>
        <v> $ 477,250.07 </v>
      </c>
      <c r="C127" s="48" t="str">
        <f t="shared" si="43"/>
        <v> $ 492,255.55 </v>
      </c>
      <c r="D127" s="48" t="str">
        <f t="shared" si="43"/>
        <v> $ 492,255.55 </v>
      </c>
      <c r="E127" s="48" t="str">
        <f t="shared" si="43"/>
        <v> $ 485,588.89 </v>
      </c>
      <c r="F127" s="48" t="str">
        <f t="shared" si="43"/>
        <v> $ 485,588.89 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11" t="s">
        <v>259</v>
      </c>
      <c r="B128" s="48" t="str">
        <f t="shared" ref="B128:F128" si="44">B19*B16</f>
        <v> $ 2,515,058.60 </v>
      </c>
      <c r="C128" s="48" t="str">
        <f t="shared" si="44"/>
        <v> $ 2,678,824.09 </v>
      </c>
      <c r="D128" s="48" t="str">
        <f t="shared" si="44"/>
        <v> $ 2,678,824.09 </v>
      </c>
      <c r="E128" s="48" t="str">
        <f t="shared" si="44"/>
        <v> $ 2,678,824.09 </v>
      </c>
      <c r="F128" s="48" t="str">
        <f t="shared" si="44"/>
        <v> $ 2,678,824.09 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33" t="s">
        <v>260</v>
      </c>
      <c r="B129" s="161" t="str">
        <f t="shared" ref="B129:F129" si="45">B60*B62</f>
        <v> $ 1,259,597.04 </v>
      </c>
      <c r="C129" s="161" t="str">
        <f t="shared" si="45"/>
        <v> $ 1,272,811.15 </v>
      </c>
      <c r="D129" s="161" t="str">
        <f t="shared" si="45"/>
        <v> $ 1,272,811.15 </v>
      </c>
      <c r="E129" s="161" t="str">
        <f t="shared" si="45"/>
        <v> $ 1,272,811.15 </v>
      </c>
      <c r="F129" s="161" t="str">
        <f t="shared" si="45"/>
        <v> $ 1,272,811.15 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11" t="s">
        <v>261</v>
      </c>
      <c r="B130" s="48" t="str">
        <f t="shared" ref="B130:F130" si="46">B60*B63</f>
        <v> $ -   </v>
      </c>
      <c r="C130" s="48" t="str">
        <f t="shared" si="46"/>
        <v> $ -   </v>
      </c>
      <c r="D130" s="48" t="str">
        <f t="shared" si="46"/>
        <v> $ -   </v>
      </c>
      <c r="E130" s="48" t="str">
        <f t="shared" si="46"/>
        <v> $ -   </v>
      </c>
      <c r="F130" s="48" t="str">
        <f t="shared" si="46"/>
        <v> $ -   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33" t="s">
        <v>262</v>
      </c>
      <c r="B131" s="48" t="str">
        <f t="shared" ref="B131:F131" si="47">B77*B79</f>
        <v> $ 791,415.84 </v>
      </c>
      <c r="C131" s="48" t="str">
        <f t="shared" si="47"/>
        <v> $ 765,631.80 </v>
      </c>
      <c r="D131" s="48" t="str">
        <f t="shared" si="47"/>
        <v> $ 765,631.80 </v>
      </c>
      <c r="E131" s="48" t="str">
        <f t="shared" si="47"/>
        <v> $ 765,631.80 </v>
      </c>
      <c r="F131" s="48" t="str">
        <f t="shared" si="47"/>
        <v> $ 765,631.80 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11" t="s">
        <v>263</v>
      </c>
      <c r="B132" s="48" t="str">
        <f t="shared" ref="B132:F132" si="48">B77*B80</f>
        <v> $ 8,506.99 </v>
      </c>
      <c r="C132" s="48" t="str">
        <f t="shared" si="48"/>
        <v> $ 8,323.50 </v>
      </c>
      <c r="D132" s="48" t="str">
        <f t="shared" si="48"/>
        <v> $ 8,323.50 </v>
      </c>
      <c r="E132" s="48" t="str">
        <f t="shared" si="48"/>
        <v> $ 8,323.50 </v>
      </c>
      <c r="F132" s="48" t="str">
        <f t="shared" si="48"/>
        <v> $ 8,323.50 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33" t="s">
        <v>264</v>
      </c>
      <c r="B133" s="48" t="str">
        <f t="shared" ref="B133:F133" si="49">B87-B128-B130-B132</f>
        <v> $ 6,503,434.41 </v>
      </c>
      <c r="C133" s="48" t="str">
        <f t="shared" si="49"/>
        <v> $ 10,812,852.41 </v>
      </c>
      <c r="D133" s="48" t="str">
        <f t="shared" si="49"/>
        <v> $ 10,812,852.41 </v>
      </c>
      <c r="E133" s="48" t="str">
        <f t="shared" si="49"/>
        <v> $ 10,812,852.41 </v>
      </c>
      <c r="F133" s="48" t="str">
        <f t="shared" si="49"/>
        <v> $ 10,812,852.41 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74" t="s">
        <v>265</v>
      </c>
      <c r="B134" s="162" t="str">
        <f t="shared" ref="B134:F134" si="50">(B127+B129+B131)/B133</f>
        <v>38.88%</v>
      </c>
      <c r="C134" s="162" t="str">
        <f t="shared" si="50"/>
        <v>23.40%</v>
      </c>
      <c r="D134" s="162" t="str">
        <f t="shared" si="50"/>
        <v>23.40%</v>
      </c>
      <c r="E134" s="162" t="str">
        <f t="shared" si="50"/>
        <v>23.34%</v>
      </c>
      <c r="F134" s="162" t="str">
        <f t="shared" si="50"/>
        <v>23.34%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6.5" customHeight="1">
      <c r="A135" s="163" t="s">
        <v>266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64" t="s">
        <v>267</v>
      </c>
      <c r="B138" s="165"/>
      <c r="C138" s="165"/>
      <c r="D138" s="165"/>
      <c r="E138" s="166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67" t="s">
        <v>268</v>
      </c>
      <c r="B139" s="167" t="s">
        <v>269</v>
      </c>
      <c r="C139" s="167" t="s">
        <v>270</v>
      </c>
      <c r="D139" s="167" t="s">
        <v>271</v>
      </c>
      <c r="E139" s="167" t="s">
        <v>272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31">
        <v>0.0</v>
      </c>
      <c r="B140" s="31" t="s">
        <v>170</v>
      </c>
      <c r="C140" s="57">
        <v>2528262.948814711</v>
      </c>
      <c r="D140" s="57">
        <v>5051828.53925221</v>
      </c>
      <c r="E140" s="31" t="s">
        <v>170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31">
        <v>3009.0</v>
      </c>
      <c r="B141" s="117" t="str">
        <f>B128+B130+B132</f>
        <v> $ 2,523,565.59 </v>
      </c>
      <c r="C141" s="117" t="str">
        <f>B127+B129+B131</f>
        <v> $ 2,528,262.95 </v>
      </c>
      <c r="D141" s="117" t="str">
        <f>(B141+C141)</f>
        <v> $ 5,051,828.54 </v>
      </c>
      <c r="E141" s="1">
        <v>9027000.0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64" t="s">
        <v>273</v>
      </c>
      <c r="B143" s="165"/>
      <c r="C143" s="165"/>
      <c r="D143" s="165"/>
      <c r="E143" s="166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67" t="s">
        <v>268</v>
      </c>
      <c r="B144" s="167" t="s">
        <v>269</v>
      </c>
      <c r="C144" s="167" t="s">
        <v>270</v>
      </c>
      <c r="D144" s="167" t="s">
        <v>271</v>
      </c>
      <c r="E144" s="167" t="s">
        <v>272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31">
        <v>0.0</v>
      </c>
      <c r="B145" s="31">
        <v>0.0</v>
      </c>
      <c r="C145" s="1">
        <v>2530698.501980398</v>
      </c>
      <c r="D145" s="1">
        <v>5217846.092230398</v>
      </c>
      <c r="E145" s="31">
        <v>0.0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31">
        <v>4500.0</v>
      </c>
      <c r="B146" s="117" t="str">
        <f>(C128+C130+C132)</f>
        <v> $ 2,687,147.59 </v>
      </c>
      <c r="C146" s="117" t="str">
        <f>C127+C129+C131</f>
        <v> $ 2,530,698.50 </v>
      </c>
      <c r="D146" s="117" t="str">
        <f>sum(B146:C146)</f>
        <v> $ 5,217,846.09 </v>
      </c>
      <c r="E146" s="57" t="str">
        <f>4500*3000</f>
        <v>$13,500,000.00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L14:O14"/>
    <mergeCell ref="L10:L12"/>
    <mergeCell ref="A138:E138"/>
    <mergeCell ref="A143:E143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45.57"/>
    <col customWidth="1" min="2" max="7" width="14.86"/>
    <col customWidth="1" min="8" max="8" width="17.43"/>
    <col customWidth="1" min="9" max="17" width="11.43"/>
    <col customWidth="1" min="18" max="26" width="10.0"/>
  </cols>
  <sheetData>
    <row r="1" ht="14.25" customHeight="1">
      <c r="A1" s="2" t="s">
        <v>0</v>
      </c>
      <c r="B1" s="3"/>
      <c r="C1" s="3"/>
      <c r="D1" s="3"/>
      <c r="E1" s="4" t="str">
        <f>InfoInicial!E1</f>
        <v/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2"/>
      <c r="B2" s="3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10" t="s">
        <v>130</v>
      </c>
      <c r="B3" s="12"/>
      <c r="C3" s="12"/>
      <c r="D3" s="12"/>
      <c r="E3" s="12"/>
      <c r="F3" s="12"/>
      <c r="G3" s="1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.5" customHeight="1">
      <c r="A4" s="18" t="s">
        <v>30</v>
      </c>
      <c r="B4" s="24" t="s">
        <v>52</v>
      </c>
      <c r="C4" s="24" t="s">
        <v>31</v>
      </c>
      <c r="D4" s="24" t="s">
        <v>32</v>
      </c>
      <c r="E4" s="24" t="s">
        <v>33</v>
      </c>
      <c r="F4" s="24" t="s">
        <v>34</v>
      </c>
      <c r="G4" s="26" t="s">
        <v>35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80" t="s">
        <v>131</v>
      </c>
      <c r="B5" s="81"/>
      <c r="C5" s="81"/>
      <c r="D5" s="81"/>
      <c r="E5" s="81"/>
      <c r="F5" s="81"/>
      <c r="G5" s="8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80" t="s">
        <v>132</v>
      </c>
      <c r="B6" s="37"/>
      <c r="C6" s="37"/>
      <c r="D6" s="37"/>
      <c r="E6" s="37"/>
      <c r="F6" s="37"/>
      <c r="G6" s="5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80" t="s">
        <v>133</v>
      </c>
      <c r="B7" s="37"/>
      <c r="C7" s="37"/>
      <c r="D7" s="37"/>
      <c r="E7" s="37"/>
      <c r="F7" s="37"/>
      <c r="G7" s="5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84"/>
      <c r="B8" s="37"/>
      <c r="C8" s="37"/>
      <c r="D8" s="37"/>
      <c r="E8" s="37"/>
      <c r="F8" s="37"/>
      <c r="G8" s="5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80" t="s">
        <v>134</v>
      </c>
      <c r="B9" s="37"/>
      <c r="C9" s="37"/>
      <c r="D9" s="37"/>
      <c r="E9" s="37"/>
      <c r="F9" s="37"/>
      <c r="G9" s="5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84" t="s">
        <v>135</v>
      </c>
      <c r="B10" s="37"/>
      <c r="C10" s="37"/>
      <c r="D10" s="37"/>
      <c r="E10" s="37"/>
      <c r="F10" s="37"/>
      <c r="G10" s="58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84" t="s">
        <v>136</v>
      </c>
      <c r="B11" s="37"/>
      <c r="C11" s="37"/>
      <c r="D11" s="37"/>
      <c r="E11" s="37"/>
      <c r="F11" s="37"/>
      <c r="G11" s="58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84" t="s">
        <v>137</v>
      </c>
      <c r="B12" s="37"/>
      <c r="C12" s="37"/>
      <c r="D12" s="37"/>
      <c r="E12" s="37"/>
      <c r="F12" s="37"/>
      <c r="G12" s="58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84" t="s">
        <v>138</v>
      </c>
      <c r="B13" s="37"/>
      <c r="C13" s="37"/>
      <c r="D13" s="37"/>
      <c r="E13" s="37"/>
      <c r="F13" s="37"/>
      <c r="G13" s="58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84"/>
      <c r="B14" s="37"/>
      <c r="C14" s="37"/>
      <c r="D14" s="37"/>
      <c r="E14" s="37"/>
      <c r="F14" s="37"/>
      <c r="G14" s="58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80" t="s">
        <v>139</v>
      </c>
      <c r="B15" s="37"/>
      <c r="C15" s="37"/>
      <c r="D15" s="37"/>
      <c r="E15" s="37"/>
      <c r="F15" s="37"/>
      <c r="G15" s="58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80" t="s">
        <v>140</v>
      </c>
      <c r="B16" s="37"/>
      <c r="C16" s="37"/>
      <c r="D16" s="37"/>
      <c r="E16" s="37"/>
      <c r="F16" s="37"/>
      <c r="G16" s="5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84" t="s">
        <v>141</v>
      </c>
      <c r="B17" s="37"/>
      <c r="C17" s="37"/>
      <c r="D17" s="37"/>
      <c r="E17" s="37"/>
      <c r="F17" s="37"/>
      <c r="G17" s="58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84" t="s">
        <v>142</v>
      </c>
      <c r="B18" s="37"/>
      <c r="C18" s="37"/>
      <c r="D18" s="37"/>
      <c r="E18" s="37"/>
      <c r="F18" s="37"/>
      <c r="G18" s="58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84" t="s">
        <v>143</v>
      </c>
      <c r="B19" s="37"/>
      <c r="C19" s="37"/>
      <c r="D19" s="37"/>
      <c r="E19" s="37"/>
      <c r="F19" s="37"/>
      <c r="G19" s="58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84" t="s">
        <v>145</v>
      </c>
      <c r="B20" s="37"/>
      <c r="C20" s="37"/>
      <c r="D20" s="37"/>
      <c r="E20" s="37"/>
      <c r="F20" s="37"/>
      <c r="G20" s="58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84"/>
      <c r="B21" s="37"/>
      <c r="C21" s="37"/>
      <c r="D21" s="37"/>
      <c r="E21" s="37"/>
      <c r="F21" s="37"/>
      <c r="G21" s="58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80" t="s">
        <v>146</v>
      </c>
      <c r="B22" s="37"/>
      <c r="C22" s="37"/>
      <c r="D22" s="37"/>
      <c r="E22" s="37"/>
      <c r="F22" s="37"/>
      <c r="G22" s="58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84"/>
      <c r="B23" s="37"/>
      <c r="C23" s="37"/>
      <c r="D23" s="37"/>
      <c r="E23" s="37"/>
      <c r="F23" s="37"/>
      <c r="G23" s="58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80" t="s">
        <v>147</v>
      </c>
      <c r="B24" s="37"/>
      <c r="C24" s="37"/>
      <c r="D24" s="37"/>
      <c r="E24" s="37"/>
      <c r="F24" s="37"/>
      <c r="G24" s="58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80" t="s">
        <v>148</v>
      </c>
      <c r="B25" s="37"/>
      <c r="C25" s="37"/>
      <c r="D25" s="37"/>
      <c r="E25" s="37"/>
      <c r="F25" s="37"/>
      <c r="G25" s="58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84"/>
      <c r="B26" s="37"/>
      <c r="C26" s="37"/>
      <c r="D26" s="37"/>
      <c r="E26" s="37"/>
      <c r="F26" s="37"/>
      <c r="G26" s="58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80" t="s">
        <v>149</v>
      </c>
      <c r="B27" s="37"/>
      <c r="C27" s="37"/>
      <c r="D27" s="37"/>
      <c r="E27" s="37"/>
      <c r="F27" s="37"/>
      <c r="G27" s="58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84" t="s">
        <v>150</v>
      </c>
      <c r="B28" s="37"/>
      <c r="C28" s="37"/>
      <c r="D28" s="37"/>
      <c r="E28" s="37"/>
      <c r="F28" s="37"/>
      <c r="G28" s="58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84" t="s">
        <v>151</v>
      </c>
      <c r="B29" s="37"/>
      <c r="C29" s="37"/>
      <c r="D29" s="37"/>
      <c r="E29" s="37"/>
      <c r="F29" s="37"/>
      <c r="G29" s="58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84" t="s">
        <v>152</v>
      </c>
      <c r="B30" s="37"/>
      <c r="C30" s="37"/>
      <c r="D30" s="37"/>
      <c r="E30" s="37"/>
      <c r="F30" s="37"/>
      <c r="G30" s="58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84" t="s">
        <v>154</v>
      </c>
      <c r="B31" s="37"/>
      <c r="C31" s="37"/>
      <c r="D31" s="37"/>
      <c r="E31" s="37"/>
      <c r="F31" s="37"/>
      <c r="G31" s="58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84" t="s">
        <v>155</v>
      </c>
      <c r="B32" s="37"/>
      <c r="C32" s="37"/>
      <c r="D32" s="37"/>
      <c r="E32" s="37"/>
      <c r="F32" s="37"/>
      <c r="G32" s="58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84" t="s">
        <v>156</v>
      </c>
      <c r="B33" s="91"/>
      <c r="C33" s="91"/>
      <c r="D33" s="91"/>
      <c r="E33" s="91"/>
      <c r="F33" s="91"/>
      <c r="G33" s="9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80" t="s">
        <v>157</v>
      </c>
      <c r="B34" s="95"/>
      <c r="C34" s="95"/>
      <c r="D34" s="95"/>
      <c r="E34" s="95"/>
      <c r="F34" s="95"/>
      <c r="G34" s="97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84"/>
      <c r="B35" s="95"/>
      <c r="C35" s="95"/>
      <c r="D35" s="95"/>
      <c r="E35" s="95"/>
      <c r="F35" s="95"/>
      <c r="G35" s="97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00" t="s">
        <v>159</v>
      </c>
      <c r="B36" s="104"/>
      <c r="C36" s="104"/>
      <c r="D36" s="104"/>
      <c r="E36" s="104"/>
      <c r="F36" s="104"/>
      <c r="G36" s="106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28.14"/>
    <col customWidth="1" min="2" max="9" width="14.0"/>
    <col customWidth="1" min="10" max="10" width="17.43"/>
    <col customWidth="1" min="11" max="19" width="11.43"/>
    <col customWidth="1" min="20" max="26" width="10.0"/>
  </cols>
  <sheetData>
    <row r="1" ht="14.25" customHeight="1">
      <c r="A1" s="2" t="s">
        <v>0</v>
      </c>
      <c r="B1" s="3"/>
      <c r="C1" s="3"/>
      <c r="D1" s="3"/>
      <c r="E1" s="1"/>
      <c r="F1" s="1"/>
      <c r="G1" s="4" t="str">
        <f>InfoInicial!E1</f>
        <v/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10" t="s">
        <v>274</v>
      </c>
      <c r="B3" s="12"/>
      <c r="C3" s="12"/>
      <c r="D3" s="12"/>
      <c r="E3" s="12"/>
      <c r="F3" s="12"/>
      <c r="G3" s="12"/>
      <c r="H3" s="12"/>
      <c r="I3" s="1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26.25" customHeight="1">
      <c r="A4" s="18" t="s">
        <v>30</v>
      </c>
      <c r="B4" s="168" t="s">
        <v>275</v>
      </c>
      <c r="C4" s="168" t="s">
        <v>276</v>
      </c>
      <c r="D4" s="24" t="s">
        <v>31</v>
      </c>
      <c r="E4" s="24" t="s">
        <v>32</v>
      </c>
      <c r="F4" s="24" t="s">
        <v>33</v>
      </c>
      <c r="G4" s="24" t="s">
        <v>34</v>
      </c>
      <c r="H4" s="169" t="s">
        <v>35</v>
      </c>
      <c r="I4" s="26" t="s">
        <v>277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80" t="s">
        <v>278</v>
      </c>
      <c r="B5" s="81"/>
      <c r="C5" s="81"/>
      <c r="D5" s="81"/>
      <c r="E5" s="81"/>
      <c r="F5" s="81"/>
      <c r="G5" s="81"/>
      <c r="H5" s="170"/>
      <c r="I5" s="8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84" t="s">
        <v>279</v>
      </c>
      <c r="B6" s="37"/>
      <c r="C6" s="37"/>
      <c r="D6" s="37"/>
      <c r="E6" s="37"/>
      <c r="F6" s="37"/>
      <c r="G6" s="37"/>
      <c r="H6" s="171"/>
      <c r="I6" s="5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84" t="s">
        <v>280</v>
      </c>
      <c r="B7" s="37"/>
      <c r="C7" s="37"/>
      <c r="D7" s="37"/>
      <c r="E7" s="37"/>
      <c r="F7" s="37"/>
      <c r="G7" s="37"/>
      <c r="H7" s="171"/>
      <c r="I7" s="58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80" t="s">
        <v>281</v>
      </c>
      <c r="B8" s="37"/>
      <c r="C8" s="37"/>
      <c r="D8" s="37"/>
      <c r="E8" s="37"/>
      <c r="F8" s="37"/>
      <c r="G8" s="37"/>
      <c r="H8" s="171"/>
      <c r="I8" s="5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84"/>
      <c r="B9" s="37"/>
      <c r="C9" s="37"/>
      <c r="D9" s="37"/>
      <c r="E9" s="37"/>
      <c r="F9" s="37"/>
      <c r="G9" s="37"/>
      <c r="H9" s="171"/>
      <c r="I9" s="5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80" t="s">
        <v>282</v>
      </c>
      <c r="B10" s="37"/>
      <c r="C10" s="37"/>
      <c r="D10" s="37"/>
      <c r="E10" s="37"/>
      <c r="F10" s="37"/>
      <c r="G10" s="37"/>
      <c r="H10" s="171"/>
      <c r="I10" s="5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84" t="s">
        <v>283</v>
      </c>
      <c r="B11" s="37"/>
      <c r="C11" s="37"/>
      <c r="D11" s="37"/>
      <c r="E11" s="37"/>
      <c r="F11" s="37"/>
      <c r="G11" s="37"/>
      <c r="H11" s="171"/>
      <c r="I11" s="5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84" t="s">
        <v>284</v>
      </c>
      <c r="B12" s="37"/>
      <c r="C12" s="37"/>
      <c r="D12" s="37"/>
      <c r="E12" s="37"/>
      <c r="F12" s="37"/>
      <c r="G12" s="37"/>
      <c r="H12" s="171"/>
      <c r="I12" s="5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84" t="s">
        <v>285</v>
      </c>
      <c r="B13" s="37"/>
      <c r="C13" s="37"/>
      <c r="D13" s="37"/>
      <c r="E13" s="37"/>
      <c r="F13" s="37"/>
      <c r="G13" s="37"/>
      <c r="H13" s="171"/>
      <c r="I13" s="5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84" t="s">
        <v>286</v>
      </c>
      <c r="B14" s="37"/>
      <c r="C14" s="37"/>
      <c r="D14" s="37"/>
      <c r="E14" s="37"/>
      <c r="F14" s="37"/>
      <c r="G14" s="37"/>
      <c r="H14" s="171"/>
      <c r="I14" s="5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84" t="s">
        <v>287</v>
      </c>
      <c r="B15" s="37"/>
      <c r="C15" s="37"/>
      <c r="D15" s="37"/>
      <c r="E15" s="37"/>
      <c r="F15" s="37"/>
      <c r="G15" s="37"/>
      <c r="H15" s="171"/>
      <c r="I15" s="58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84" t="s">
        <v>288</v>
      </c>
      <c r="B16" s="37"/>
      <c r="C16" s="37"/>
      <c r="D16" s="37"/>
      <c r="E16" s="37"/>
      <c r="F16" s="37"/>
      <c r="G16" s="37"/>
      <c r="H16" s="171"/>
      <c r="I16" s="5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84" t="s">
        <v>289</v>
      </c>
      <c r="B17" s="37"/>
      <c r="C17" s="37"/>
      <c r="D17" s="37"/>
      <c r="E17" s="37"/>
      <c r="F17" s="37"/>
      <c r="G17" s="37"/>
      <c r="H17" s="171"/>
      <c r="I17" s="5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80" t="s">
        <v>290</v>
      </c>
      <c r="B18" s="37"/>
      <c r="C18" s="37"/>
      <c r="D18" s="37"/>
      <c r="E18" s="37"/>
      <c r="F18" s="37"/>
      <c r="G18" s="37"/>
      <c r="H18" s="171"/>
      <c r="I18" s="5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84"/>
      <c r="B19" s="37"/>
      <c r="C19" s="37"/>
      <c r="D19" s="37"/>
      <c r="E19" s="37"/>
      <c r="F19" s="37"/>
      <c r="G19" s="37"/>
      <c r="H19" s="171"/>
      <c r="I19" s="5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80" t="s">
        <v>291</v>
      </c>
      <c r="B20" s="37"/>
      <c r="C20" s="37"/>
      <c r="D20" s="37"/>
      <c r="E20" s="37"/>
      <c r="F20" s="37"/>
      <c r="G20" s="37"/>
      <c r="H20" s="171"/>
      <c r="I20" s="58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84" t="s">
        <v>292</v>
      </c>
      <c r="B21" s="37"/>
      <c r="C21" s="37"/>
      <c r="D21" s="37"/>
      <c r="E21" s="37"/>
      <c r="F21" s="37"/>
      <c r="G21" s="37"/>
      <c r="H21" s="171"/>
      <c r="I21" s="5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84" t="s">
        <v>293</v>
      </c>
      <c r="B22" s="37"/>
      <c r="C22" s="37"/>
      <c r="D22" s="37"/>
      <c r="E22" s="37"/>
      <c r="F22" s="37"/>
      <c r="G22" s="37"/>
      <c r="H22" s="171"/>
      <c r="I22" s="58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80" t="s">
        <v>294</v>
      </c>
      <c r="B23" s="37"/>
      <c r="C23" s="37"/>
      <c r="D23" s="37"/>
      <c r="E23" s="37"/>
      <c r="F23" s="37"/>
      <c r="G23" s="37"/>
      <c r="H23" s="171"/>
      <c r="I23" s="5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80"/>
      <c r="B24" s="37"/>
      <c r="C24" s="37"/>
      <c r="D24" s="37"/>
      <c r="E24" s="37"/>
      <c r="F24" s="37"/>
      <c r="G24" s="37"/>
      <c r="H24" s="171"/>
      <c r="I24" s="58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00" t="s">
        <v>295</v>
      </c>
      <c r="B25" s="104"/>
      <c r="C25" s="104"/>
      <c r="D25" s="104"/>
      <c r="E25" s="104"/>
      <c r="F25" s="104"/>
      <c r="G25" s="104"/>
      <c r="H25" s="172"/>
      <c r="I25" s="10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28.14"/>
    <col customWidth="1" min="2" max="7" width="14.0"/>
    <col customWidth="1" min="8" max="8" width="17.43"/>
    <col customWidth="1" min="9" max="17" width="11.43"/>
    <col customWidth="1" min="18" max="26" width="10.0"/>
  </cols>
  <sheetData>
    <row r="1" ht="14.25" customHeight="1">
      <c r="A1" s="2" t="s">
        <v>0</v>
      </c>
      <c r="B1" s="3"/>
      <c r="C1" s="3"/>
      <c r="D1" s="3"/>
      <c r="E1" s="1"/>
      <c r="F1" s="1"/>
      <c r="G1" s="4" t="str">
        <f>InfoInicial!E1</f>
        <v/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6.5" customHeight="1">
      <c r="A2" s="173" t="s">
        <v>296</v>
      </c>
      <c r="B2" s="12"/>
      <c r="C2" s="12"/>
      <c r="D2" s="12"/>
      <c r="E2" s="12"/>
      <c r="F2" s="12"/>
      <c r="G2" s="1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75" customHeight="1">
      <c r="A3" s="174"/>
      <c r="B3" s="175" t="s">
        <v>297</v>
      </c>
      <c r="C3" s="175"/>
      <c r="D3" s="175"/>
      <c r="E3" s="175"/>
      <c r="F3" s="175"/>
      <c r="G3" s="17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.5" customHeight="1">
      <c r="A4" s="177" t="s">
        <v>30</v>
      </c>
      <c r="B4" s="168" t="s">
        <v>52</v>
      </c>
      <c r="C4" s="24" t="s">
        <v>31</v>
      </c>
      <c r="D4" s="24" t="s">
        <v>32</v>
      </c>
      <c r="E4" s="24" t="s">
        <v>33</v>
      </c>
      <c r="F4" s="24" t="s">
        <v>34</v>
      </c>
      <c r="G4" s="26" t="s">
        <v>35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178" t="s">
        <v>298</v>
      </c>
      <c r="B5" s="179"/>
      <c r="C5" s="81"/>
      <c r="D5" s="81"/>
      <c r="E5" s="81"/>
      <c r="F5" s="81"/>
      <c r="G5" s="8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80" t="s">
        <v>299</v>
      </c>
      <c r="B6" s="181"/>
      <c r="C6" s="37"/>
      <c r="D6" s="37"/>
      <c r="E6" s="37"/>
      <c r="F6" s="37"/>
      <c r="G6" s="5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80" t="s">
        <v>97</v>
      </c>
      <c r="B7" s="181"/>
      <c r="C7" s="37"/>
      <c r="D7" s="37"/>
      <c r="E7" s="37"/>
      <c r="F7" s="37"/>
      <c r="G7" s="5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80" t="s">
        <v>100</v>
      </c>
      <c r="B8" s="181"/>
      <c r="C8" s="37"/>
      <c r="D8" s="37"/>
      <c r="E8" s="37"/>
      <c r="F8" s="37"/>
      <c r="G8" s="5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80" t="s">
        <v>108</v>
      </c>
      <c r="B9" s="181"/>
      <c r="C9" s="37"/>
      <c r="D9" s="37"/>
      <c r="E9" s="37"/>
      <c r="F9" s="37"/>
      <c r="G9" s="5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80" t="s">
        <v>300</v>
      </c>
      <c r="B10" s="181"/>
      <c r="C10" s="37"/>
      <c r="D10" s="37"/>
      <c r="E10" s="37"/>
      <c r="F10" s="37"/>
      <c r="G10" s="58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80" t="s">
        <v>208</v>
      </c>
      <c r="B11" s="181"/>
      <c r="C11" s="37"/>
      <c r="D11" s="37"/>
      <c r="E11" s="37"/>
      <c r="F11" s="37"/>
      <c r="G11" s="58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82" t="s">
        <v>169</v>
      </c>
      <c r="B12" s="181"/>
      <c r="C12" s="37"/>
      <c r="D12" s="37"/>
      <c r="E12" s="37"/>
      <c r="F12" s="37"/>
      <c r="G12" s="58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80" t="s">
        <v>301</v>
      </c>
      <c r="B13" s="181"/>
      <c r="C13" s="37"/>
      <c r="D13" s="37"/>
      <c r="E13" s="37"/>
      <c r="F13" s="37"/>
      <c r="G13" s="58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80" t="s">
        <v>302</v>
      </c>
      <c r="B14" s="181"/>
      <c r="C14" s="37"/>
      <c r="D14" s="37"/>
      <c r="E14" s="37"/>
      <c r="F14" s="37"/>
      <c r="G14" s="58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80" t="s">
        <v>303</v>
      </c>
      <c r="B15" s="181"/>
      <c r="C15" s="37"/>
      <c r="D15" s="37"/>
      <c r="E15" s="37"/>
      <c r="F15" s="37"/>
      <c r="G15" s="58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80" t="s">
        <v>304</v>
      </c>
      <c r="B16" s="181"/>
      <c r="C16" s="37"/>
      <c r="D16" s="37"/>
      <c r="E16" s="37"/>
      <c r="F16" s="37"/>
      <c r="G16" s="5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82" t="s">
        <v>305</v>
      </c>
      <c r="B17" s="181"/>
      <c r="C17" s="37"/>
      <c r="D17" s="37"/>
      <c r="E17" s="37"/>
      <c r="F17" s="37"/>
      <c r="G17" s="58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82" t="s">
        <v>306</v>
      </c>
      <c r="B18" s="181"/>
      <c r="C18" s="37"/>
      <c r="D18" s="37"/>
      <c r="E18" s="37"/>
      <c r="F18" s="37"/>
      <c r="G18" s="58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82" t="s">
        <v>307</v>
      </c>
      <c r="B19" s="181"/>
      <c r="C19" s="37"/>
      <c r="D19" s="37"/>
      <c r="E19" s="37"/>
      <c r="F19" s="37"/>
      <c r="G19" s="58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82"/>
      <c r="B20" s="181"/>
      <c r="C20" s="37"/>
      <c r="D20" s="37"/>
      <c r="E20" s="37"/>
      <c r="F20" s="37"/>
      <c r="G20" s="58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80" t="s">
        <v>308</v>
      </c>
      <c r="B21" s="181"/>
      <c r="C21" s="37"/>
      <c r="D21" s="37"/>
      <c r="E21" s="37"/>
      <c r="F21" s="37"/>
      <c r="G21" s="58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80" t="s">
        <v>309</v>
      </c>
      <c r="B22" s="181"/>
      <c r="C22" s="37"/>
      <c r="D22" s="37"/>
      <c r="E22" s="37"/>
      <c r="F22" s="37"/>
      <c r="G22" s="58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82" t="s">
        <v>310</v>
      </c>
      <c r="B23" s="181"/>
      <c r="C23" s="37"/>
      <c r="D23" s="37"/>
      <c r="E23" s="37"/>
      <c r="F23" s="37"/>
      <c r="G23" s="58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80"/>
      <c r="B24" s="181"/>
      <c r="C24" s="37"/>
      <c r="D24" s="37"/>
      <c r="E24" s="37"/>
      <c r="F24" s="37"/>
      <c r="G24" s="58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83" t="s">
        <v>311</v>
      </c>
      <c r="B25" s="181"/>
      <c r="C25" s="37"/>
      <c r="D25" s="37"/>
      <c r="E25" s="37"/>
      <c r="F25" s="37"/>
      <c r="G25" s="58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83" t="s">
        <v>312</v>
      </c>
      <c r="B26" s="181"/>
      <c r="C26" s="37"/>
      <c r="D26" s="37"/>
      <c r="E26" s="37"/>
      <c r="F26" s="37"/>
      <c r="G26" s="58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82" t="s">
        <v>313</v>
      </c>
      <c r="B27" s="181"/>
      <c r="C27" s="37"/>
      <c r="D27" s="37"/>
      <c r="E27" s="37"/>
      <c r="F27" s="37"/>
      <c r="G27" s="58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82" t="s">
        <v>314</v>
      </c>
      <c r="B28" s="181"/>
      <c r="C28" s="37"/>
      <c r="D28" s="37"/>
      <c r="E28" s="37"/>
      <c r="F28" s="37"/>
      <c r="G28" s="58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80"/>
      <c r="B29" s="181"/>
      <c r="C29" s="37"/>
      <c r="D29" s="37"/>
      <c r="E29" s="37"/>
      <c r="F29" s="37"/>
      <c r="G29" s="58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84" t="s">
        <v>315</v>
      </c>
      <c r="B30" s="185"/>
      <c r="C30" s="104"/>
      <c r="D30" s="104"/>
      <c r="E30" s="104"/>
      <c r="F30" s="104"/>
      <c r="G30" s="106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8.0"/>
    <col customWidth="1" min="2" max="13" width="14.86"/>
    <col customWidth="1" min="14" max="14" width="17.43"/>
    <col customWidth="1" min="15" max="23" width="11.43"/>
    <col customWidth="1" min="24" max="26" width="10.0"/>
  </cols>
  <sheetData>
    <row r="1" ht="14.25" customHeight="1">
      <c r="A1" s="2" t="s">
        <v>0</v>
      </c>
      <c r="B1" s="3"/>
      <c r="C1" s="3"/>
      <c r="D1" s="3"/>
      <c r="E1" s="1"/>
      <c r="F1" s="1"/>
      <c r="G1" s="1" t="str">
        <f>InfoInicial!E1</f>
        <v/>
      </c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6.5" customHeight="1">
      <c r="A2" s="173" t="s">
        <v>316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39.0" customHeight="1">
      <c r="A3" s="177" t="s">
        <v>317</v>
      </c>
      <c r="B3" s="168" t="s">
        <v>318</v>
      </c>
      <c r="C3" s="168" t="s">
        <v>319</v>
      </c>
      <c r="D3" s="168" t="s">
        <v>320</v>
      </c>
      <c r="E3" s="168" t="s">
        <v>4</v>
      </c>
      <c r="F3" s="168" t="s">
        <v>321</v>
      </c>
      <c r="G3" s="168" t="s">
        <v>322</v>
      </c>
      <c r="H3" s="168" t="s">
        <v>323</v>
      </c>
      <c r="I3" s="168" t="s">
        <v>79</v>
      </c>
      <c r="J3" s="168" t="s">
        <v>324</v>
      </c>
      <c r="K3" s="168" t="s">
        <v>325</v>
      </c>
      <c r="L3" s="186" t="s">
        <v>326</v>
      </c>
      <c r="M3" s="187" t="s">
        <v>327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.5" customHeight="1">
      <c r="A4" s="188">
        <v>0.0</v>
      </c>
      <c r="B4" s="179"/>
      <c r="C4" s="81"/>
      <c r="D4" s="81"/>
      <c r="E4" s="81"/>
      <c r="F4" s="81"/>
      <c r="G4" s="81"/>
      <c r="H4" s="81"/>
      <c r="I4" s="81"/>
      <c r="J4" s="81"/>
      <c r="K4" s="81"/>
      <c r="L4" s="170"/>
      <c r="M4" s="8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89">
        <v>1.0</v>
      </c>
      <c r="B5" s="181"/>
      <c r="C5" s="37"/>
      <c r="D5" s="37"/>
      <c r="E5" s="37"/>
      <c r="F5" s="37"/>
      <c r="G5" s="37"/>
      <c r="H5" s="37"/>
      <c r="I5" s="37"/>
      <c r="J5" s="37"/>
      <c r="K5" s="37"/>
      <c r="L5" s="171"/>
      <c r="M5" s="5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89">
        <v>2.0</v>
      </c>
      <c r="B6" s="181"/>
      <c r="C6" s="37"/>
      <c r="D6" s="37"/>
      <c r="E6" s="37"/>
      <c r="F6" s="37"/>
      <c r="G6" s="37"/>
      <c r="H6" s="37"/>
      <c r="I6" s="37"/>
      <c r="J6" s="37"/>
      <c r="K6" s="37"/>
      <c r="L6" s="171"/>
      <c r="M6" s="58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89">
        <v>3.0</v>
      </c>
      <c r="B7" s="181"/>
      <c r="C7" s="37"/>
      <c r="D7" s="37"/>
      <c r="E7" s="37"/>
      <c r="F7" s="37"/>
      <c r="G7" s="37"/>
      <c r="H7" s="37"/>
      <c r="I7" s="37"/>
      <c r="J7" s="37"/>
      <c r="K7" s="37"/>
      <c r="L7" s="171"/>
      <c r="M7" s="58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89">
        <v>4.0</v>
      </c>
      <c r="B8" s="181"/>
      <c r="C8" s="37"/>
      <c r="D8" s="37"/>
      <c r="E8" s="37"/>
      <c r="F8" s="37"/>
      <c r="G8" s="37"/>
      <c r="H8" s="37"/>
      <c r="I8" s="37"/>
      <c r="J8" s="37"/>
      <c r="K8" s="37"/>
      <c r="L8" s="171"/>
      <c r="M8" s="58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89">
        <v>5.0</v>
      </c>
      <c r="B9" s="181"/>
      <c r="C9" s="37"/>
      <c r="D9" s="37"/>
      <c r="E9" s="37"/>
      <c r="F9" s="37"/>
      <c r="G9" s="37"/>
      <c r="H9" s="37"/>
      <c r="I9" s="37"/>
      <c r="J9" s="37"/>
      <c r="K9" s="37"/>
      <c r="L9" s="171"/>
      <c r="M9" s="58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89"/>
      <c r="B10" s="181"/>
      <c r="C10" s="37"/>
      <c r="D10" s="37"/>
      <c r="E10" s="37"/>
      <c r="F10" s="37"/>
      <c r="G10" s="37"/>
      <c r="H10" s="37"/>
      <c r="I10" s="37"/>
      <c r="J10" s="37"/>
      <c r="K10" s="37"/>
      <c r="L10" s="171"/>
      <c r="M10" s="58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190" t="s">
        <v>328</v>
      </c>
      <c r="B11" s="185"/>
      <c r="C11" s="104"/>
      <c r="D11" s="104"/>
      <c r="E11" s="104"/>
      <c r="F11" s="104"/>
      <c r="G11" s="104"/>
      <c r="H11" s="104"/>
      <c r="I11" s="104"/>
      <c r="J11" s="104"/>
      <c r="K11" s="104"/>
      <c r="L11" s="172"/>
      <c r="M11" s="106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8" t="s">
        <v>329</v>
      </c>
      <c r="D13" s="19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36"/>
      <c r="B14" s="1"/>
      <c r="C14" s="8" t="s">
        <v>330</v>
      </c>
      <c r="D14" s="192"/>
      <c r="E14" s="1" t="s">
        <v>331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8" t="s">
        <v>332</v>
      </c>
      <c r="D15" s="19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27.29"/>
    <col customWidth="1" min="2" max="9" width="15.14"/>
    <col customWidth="1" min="10" max="19" width="11.43"/>
    <col customWidth="1" min="20" max="26" width="10.0"/>
  </cols>
  <sheetData>
    <row r="1" ht="14.25" customHeight="1">
      <c r="A1" s="2" t="s">
        <v>0</v>
      </c>
      <c r="B1" s="3"/>
      <c r="C1" s="3"/>
      <c r="D1" s="3"/>
      <c r="E1" s="1"/>
      <c r="F1" s="192" t="str">
        <f>InfoInicial!E1</f>
        <v/>
      </c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6.5" customHeight="1">
      <c r="A2" s="194" t="s">
        <v>333</v>
      </c>
      <c r="B2" s="147"/>
      <c r="C2" s="147"/>
      <c r="D2" s="147"/>
      <c r="E2" s="147"/>
      <c r="F2" s="147"/>
      <c r="G2" s="14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8" t="s">
        <v>30</v>
      </c>
      <c r="B3" s="195" t="s">
        <v>334</v>
      </c>
      <c r="C3" s="196"/>
      <c r="D3" s="195" t="s">
        <v>335</v>
      </c>
      <c r="E3" s="196"/>
      <c r="F3" s="195" t="s">
        <v>336</v>
      </c>
      <c r="G3" s="19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8" t="s">
        <v>121</v>
      </c>
      <c r="B4" s="20" t="s">
        <v>337</v>
      </c>
      <c r="C4" s="20" t="s">
        <v>338</v>
      </c>
      <c r="D4" s="20" t="s">
        <v>337</v>
      </c>
      <c r="E4" s="20" t="s">
        <v>338</v>
      </c>
      <c r="F4" s="20" t="s">
        <v>337</v>
      </c>
      <c r="G4" s="22" t="s">
        <v>338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56" t="s">
        <v>339</v>
      </c>
      <c r="B5" s="37"/>
      <c r="C5" s="145"/>
      <c r="D5" s="37"/>
      <c r="E5" s="145"/>
      <c r="F5" s="37"/>
      <c r="G5" s="198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46" t="s">
        <v>340</v>
      </c>
      <c r="B6" s="37"/>
      <c r="C6" s="145"/>
      <c r="D6" s="37"/>
      <c r="E6" s="145"/>
      <c r="F6" s="37"/>
      <c r="G6" s="19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46" t="s">
        <v>341</v>
      </c>
      <c r="B7" s="37"/>
      <c r="C7" s="145"/>
      <c r="D7" s="37"/>
      <c r="E7" s="199"/>
      <c r="F7" s="37"/>
      <c r="G7" s="19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74" t="s">
        <v>277</v>
      </c>
      <c r="B8" s="200"/>
      <c r="C8" s="201"/>
      <c r="D8" s="200"/>
      <c r="E8" s="201"/>
      <c r="F8" s="200"/>
      <c r="G8" s="20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4.25" customHeight="1">
      <c r="A9" s="36"/>
      <c r="B9" s="203"/>
      <c r="C9" s="204"/>
      <c r="D9" s="203"/>
      <c r="E9" s="203"/>
      <c r="F9" s="203"/>
      <c r="G9" s="20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205" t="s">
        <v>342</v>
      </c>
      <c r="B10" s="206"/>
      <c r="C10" s="206"/>
      <c r="D10" s="206"/>
      <c r="E10" s="206"/>
      <c r="F10" s="206"/>
      <c r="G10" s="206"/>
      <c r="H10" s="206"/>
      <c r="I10" s="20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208" t="s">
        <v>343</v>
      </c>
      <c r="B11" s="209" t="s">
        <v>344</v>
      </c>
      <c r="C11" s="209" t="s">
        <v>345</v>
      </c>
      <c r="D11" s="209" t="s">
        <v>346</v>
      </c>
      <c r="E11" s="209" t="s">
        <v>345</v>
      </c>
      <c r="F11" s="209" t="s">
        <v>347</v>
      </c>
      <c r="G11" s="209" t="s">
        <v>346</v>
      </c>
      <c r="H11" s="209"/>
      <c r="I11" s="210" t="s">
        <v>348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211"/>
      <c r="B12" s="212"/>
      <c r="C12" s="212" t="s">
        <v>349</v>
      </c>
      <c r="D12" s="212" t="s">
        <v>349</v>
      </c>
      <c r="E12" s="212" t="s">
        <v>59</v>
      </c>
      <c r="F12" s="212" t="s">
        <v>350</v>
      </c>
      <c r="G12" s="212" t="s">
        <v>59</v>
      </c>
      <c r="H12" s="212" t="s">
        <v>351</v>
      </c>
      <c r="I12" s="213" t="s">
        <v>352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214"/>
      <c r="B13" s="215"/>
      <c r="C13" s="215"/>
      <c r="D13" s="215"/>
      <c r="E13" s="215"/>
      <c r="F13" s="78"/>
      <c r="G13" s="215"/>
      <c r="H13" s="216"/>
      <c r="I13" s="21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218"/>
      <c r="B14" s="37"/>
      <c r="C14" s="37"/>
      <c r="D14" s="37"/>
      <c r="E14" s="37"/>
      <c r="F14" s="48"/>
      <c r="G14" s="37"/>
      <c r="H14" s="199"/>
      <c r="I14" s="5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218"/>
      <c r="B15" s="37"/>
      <c r="C15" s="37"/>
      <c r="D15" s="37"/>
      <c r="E15" s="37"/>
      <c r="F15" s="48"/>
      <c r="G15" s="37"/>
      <c r="H15" s="199"/>
      <c r="I15" s="58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218"/>
      <c r="B16" s="37"/>
      <c r="C16" s="37"/>
      <c r="D16" s="37"/>
      <c r="E16" s="37"/>
      <c r="F16" s="48"/>
      <c r="G16" s="37"/>
      <c r="H16" s="199"/>
      <c r="I16" s="5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218"/>
      <c r="B17" s="37"/>
      <c r="C17" s="37"/>
      <c r="D17" s="37"/>
      <c r="E17" s="37"/>
      <c r="F17" s="48"/>
      <c r="G17" s="37"/>
      <c r="H17" s="199"/>
      <c r="I17" s="5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218"/>
      <c r="B18" s="37"/>
      <c r="C18" s="37"/>
      <c r="D18" s="37"/>
      <c r="E18" s="37"/>
      <c r="F18" s="48"/>
      <c r="G18" s="37"/>
      <c r="H18" s="199"/>
      <c r="I18" s="5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218"/>
      <c r="B19" s="37"/>
      <c r="C19" s="37"/>
      <c r="D19" s="37"/>
      <c r="E19" s="37"/>
      <c r="F19" s="48"/>
      <c r="G19" s="37"/>
      <c r="H19" s="199"/>
      <c r="I19" s="5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219"/>
      <c r="B20" s="104"/>
      <c r="C20" s="104"/>
      <c r="D20" s="126"/>
      <c r="E20" s="104"/>
      <c r="F20" s="64"/>
      <c r="G20" s="126"/>
      <c r="H20" s="220"/>
      <c r="I20" s="127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4.25" customHeight="1">
      <c r="A21" s="5" t="s">
        <v>353</v>
      </c>
      <c r="B21" s="221"/>
      <c r="C21" s="221"/>
      <c r="D21" s="222"/>
      <c r="E21" s="221"/>
      <c r="F21" s="223"/>
      <c r="G21" s="222"/>
      <c r="H21" s="224"/>
      <c r="I21" s="22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214"/>
      <c r="B22" s="215"/>
      <c r="C22" s="215"/>
      <c r="D22" s="81"/>
      <c r="E22" s="215"/>
      <c r="F22" s="78"/>
      <c r="G22" s="81"/>
      <c r="H22" s="216"/>
      <c r="I22" s="8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218"/>
      <c r="B23" s="37"/>
      <c r="C23" s="37"/>
      <c r="D23" s="37"/>
      <c r="E23" s="37"/>
      <c r="F23" s="48"/>
      <c r="G23" s="37"/>
      <c r="H23" s="199"/>
      <c r="I23" s="5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225"/>
      <c r="B24" s="37"/>
      <c r="C24" s="37"/>
      <c r="D24" s="37"/>
      <c r="E24" s="37"/>
      <c r="F24" s="37"/>
      <c r="G24" s="37"/>
      <c r="H24" s="145"/>
      <c r="I24" s="58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225"/>
      <c r="B25" s="37"/>
      <c r="C25" s="37"/>
      <c r="D25" s="37"/>
      <c r="E25" s="37"/>
      <c r="F25" s="37"/>
      <c r="G25" s="37"/>
      <c r="H25" s="145"/>
      <c r="I25" s="5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225"/>
      <c r="B26" s="37"/>
      <c r="C26" s="37"/>
      <c r="D26" s="37"/>
      <c r="E26" s="37"/>
      <c r="F26" s="37"/>
      <c r="G26" s="37"/>
      <c r="H26" s="145"/>
      <c r="I26" s="58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225"/>
      <c r="B27" s="37"/>
      <c r="C27" s="37"/>
      <c r="D27" s="37"/>
      <c r="E27" s="37"/>
      <c r="F27" s="37"/>
      <c r="G27" s="37"/>
      <c r="H27" s="145"/>
      <c r="I27" s="58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225"/>
      <c r="B28" s="37"/>
      <c r="C28" s="37"/>
      <c r="D28" s="37"/>
      <c r="E28" s="37"/>
      <c r="F28" s="37"/>
      <c r="G28" s="37"/>
      <c r="H28" s="145"/>
      <c r="I28" s="58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225"/>
      <c r="B29" s="37"/>
      <c r="C29" s="37"/>
      <c r="D29" s="37"/>
      <c r="E29" s="37"/>
      <c r="F29" s="37"/>
      <c r="G29" s="37"/>
      <c r="H29" s="145"/>
      <c r="I29" s="58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225"/>
      <c r="B30" s="37"/>
      <c r="C30" s="37"/>
      <c r="D30" s="37"/>
      <c r="E30" s="37"/>
      <c r="F30" s="37"/>
      <c r="G30" s="37"/>
      <c r="H30" s="145"/>
      <c r="I30" s="58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225"/>
      <c r="B31" s="37"/>
      <c r="C31" s="37"/>
      <c r="D31" s="37"/>
      <c r="E31" s="37"/>
      <c r="F31" s="37"/>
      <c r="G31" s="37"/>
      <c r="H31" s="145"/>
      <c r="I31" s="58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225"/>
      <c r="B32" s="37"/>
      <c r="C32" s="37"/>
      <c r="D32" s="37"/>
      <c r="E32" s="37"/>
      <c r="F32" s="37"/>
      <c r="G32" s="37"/>
      <c r="H32" s="145"/>
      <c r="I32" s="58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225"/>
      <c r="B33" s="37"/>
      <c r="C33" s="37"/>
      <c r="D33" s="37"/>
      <c r="E33" s="37"/>
      <c r="F33" s="37"/>
      <c r="G33" s="37"/>
      <c r="H33" s="145"/>
      <c r="I33" s="58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225"/>
      <c r="B34" s="37"/>
      <c r="C34" s="37"/>
      <c r="D34" s="37"/>
      <c r="E34" s="37"/>
      <c r="F34" s="37"/>
      <c r="G34" s="37"/>
      <c r="H34" s="145"/>
      <c r="I34" s="58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225"/>
      <c r="B35" s="37"/>
      <c r="C35" s="37"/>
      <c r="D35" s="37"/>
      <c r="E35" s="37"/>
      <c r="F35" s="48"/>
      <c r="G35" s="37"/>
      <c r="H35" s="199"/>
      <c r="I35" s="58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225"/>
      <c r="B36" s="37"/>
      <c r="C36" s="37"/>
      <c r="D36" s="37"/>
      <c r="E36" s="37"/>
      <c r="F36" s="37"/>
      <c r="G36" s="37"/>
      <c r="H36" s="145"/>
      <c r="I36" s="58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225"/>
      <c r="B37" s="37"/>
      <c r="C37" s="37"/>
      <c r="D37" s="37"/>
      <c r="E37" s="37"/>
      <c r="F37" s="48"/>
      <c r="G37" s="37"/>
      <c r="H37" s="199"/>
      <c r="I37" s="58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225"/>
      <c r="B38" s="37"/>
      <c r="C38" s="37"/>
      <c r="D38" s="37"/>
      <c r="E38" s="37"/>
      <c r="F38" s="37"/>
      <c r="G38" s="37"/>
      <c r="H38" s="145"/>
      <c r="I38" s="58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225"/>
      <c r="B39" s="37"/>
      <c r="C39" s="37"/>
      <c r="D39" s="37"/>
      <c r="E39" s="37"/>
      <c r="F39" s="48"/>
      <c r="G39" s="37"/>
      <c r="H39" s="199"/>
      <c r="I39" s="58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225"/>
      <c r="B40" s="37"/>
      <c r="C40" s="37"/>
      <c r="D40" s="37"/>
      <c r="E40" s="37"/>
      <c r="F40" s="37"/>
      <c r="G40" s="37"/>
      <c r="H40" s="145"/>
      <c r="I40" s="58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225"/>
      <c r="B41" s="37"/>
      <c r="C41" s="37"/>
      <c r="D41" s="37"/>
      <c r="E41" s="37"/>
      <c r="F41" s="48"/>
      <c r="G41" s="37"/>
      <c r="H41" s="199"/>
      <c r="I41" s="58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225"/>
      <c r="B42" s="37"/>
      <c r="C42" s="37"/>
      <c r="D42" s="37"/>
      <c r="E42" s="37"/>
      <c r="F42" s="37"/>
      <c r="G42" s="37"/>
      <c r="H42" s="145"/>
      <c r="I42" s="58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225"/>
      <c r="B43" s="37"/>
      <c r="C43" s="37"/>
      <c r="D43" s="37"/>
      <c r="E43" s="37"/>
      <c r="F43" s="48"/>
      <c r="G43" s="37"/>
      <c r="H43" s="199"/>
      <c r="I43" s="58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225"/>
      <c r="B44" s="37"/>
      <c r="C44" s="37"/>
      <c r="D44" s="37"/>
      <c r="E44" s="37"/>
      <c r="F44" s="37"/>
      <c r="G44" s="37"/>
      <c r="H44" s="145"/>
      <c r="I44" s="58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225"/>
      <c r="B45" s="37"/>
      <c r="C45" s="37"/>
      <c r="D45" s="37"/>
      <c r="E45" s="37"/>
      <c r="F45" s="48"/>
      <c r="G45" s="37"/>
      <c r="H45" s="199"/>
      <c r="I45" s="58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225"/>
      <c r="B46" s="37"/>
      <c r="C46" s="37"/>
      <c r="D46" s="37"/>
      <c r="E46" s="37"/>
      <c r="F46" s="37"/>
      <c r="G46" s="37"/>
      <c r="H46" s="145"/>
      <c r="I46" s="58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225"/>
      <c r="B47" s="37"/>
      <c r="C47" s="37"/>
      <c r="D47" s="37"/>
      <c r="E47" s="37"/>
      <c r="F47" s="48"/>
      <c r="G47" s="37"/>
      <c r="H47" s="199"/>
      <c r="I47" s="58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225"/>
      <c r="B48" s="37"/>
      <c r="C48" s="37"/>
      <c r="D48" s="37"/>
      <c r="E48" s="37"/>
      <c r="F48" s="37"/>
      <c r="G48" s="37"/>
      <c r="H48" s="145"/>
      <c r="I48" s="58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225"/>
      <c r="B49" s="37"/>
      <c r="C49" s="37"/>
      <c r="D49" s="37"/>
      <c r="E49" s="37"/>
      <c r="F49" s="48"/>
      <c r="G49" s="37"/>
      <c r="H49" s="199"/>
      <c r="I49" s="58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225"/>
      <c r="B50" s="37"/>
      <c r="C50" s="37"/>
      <c r="D50" s="37"/>
      <c r="E50" s="37"/>
      <c r="F50" s="37"/>
      <c r="G50" s="37"/>
      <c r="H50" s="145"/>
      <c r="I50" s="58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225"/>
      <c r="B51" s="37"/>
      <c r="C51" s="37"/>
      <c r="D51" s="37"/>
      <c r="E51" s="37"/>
      <c r="F51" s="48"/>
      <c r="G51" s="37"/>
      <c r="H51" s="199"/>
      <c r="I51" s="58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225"/>
      <c r="B52" s="37"/>
      <c r="C52" s="37"/>
      <c r="D52" s="37"/>
      <c r="E52" s="37"/>
      <c r="F52" s="37"/>
      <c r="G52" s="37"/>
      <c r="H52" s="145"/>
      <c r="I52" s="58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218"/>
      <c r="B53" s="37"/>
      <c r="C53" s="37"/>
      <c r="D53" s="37"/>
      <c r="E53" s="37"/>
      <c r="F53" s="48"/>
      <c r="G53" s="37"/>
      <c r="H53" s="199"/>
      <c r="I53" s="58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30" t="s">
        <v>354</v>
      </c>
      <c r="B54" s="200"/>
      <c r="C54" s="200"/>
      <c r="D54" s="200"/>
      <c r="E54" s="200"/>
      <c r="F54" s="226"/>
      <c r="G54" s="200"/>
      <c r="H54" s="227"/>
      <c r="I54" s="228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B3:C3"/>
    <mergeCell ref="D3:E3"/>
    <mergeCell ref="F3:G3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2.14"/>
    <col customWidth="1" min="2" max="7" width="14.0"/>
    <col customWidth="1" min="8" max="8" width="17.43"/>
    <col customWidth="1" min="9" max="17" width="11.43"/>
    <col customWidth="1" min="18" max="26" width="10.0"/>
  </cols>
  <sheetData>
    <row r="1" ht="14.25" customHeight="1">
      <c r="A1" s="2" t="s">
        <v>0</v>
      </c>
      <c r="B1" s="3"/>
      <c r="C1" s="3"/>
      <c r="D1" s="3"/>
      <c r="E1" s="192"/>
      <c r="F1" s="4" t="str">
        <f>InfoInicial!E1</f>
        <v/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6.5" customHeight="1">
      <c r="A2" s="173" t="s">
        <v>355</v>
      </c>
      <c r="B2" s="12"/>
      <c r="C2" s="12"/>
      <c r="D2" s="12"/>
      <c r="E2" s="12"/>
      <c r="F2" s="12"/>
      <c r="G2" s="1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18" t="s">
        <v>30</v>
      </c>
      <c r="B3" s="24" t="s">
        <v>31</v>
      </c>
      <c r="C3" s="24" t="s">
        <v>32</v>
      </c>
      <c r="D3" s="24" t="s">
        <v>33</v>
      </c>
      <c r="E3" s="24" t="s">
        <v>34</v>
      </c>
      <c r="F3" s="169" t="s">
        <v>35</v>
      </c>
      <c r="G3" s="26" t="s">
        <v>277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.5" customHeight="1">
      <c r="A4" s="1" t="s">
        <v>356</v>
      </c>
      <c r="B4" s="37"/>
      <c r="C4" s="37"/>
      <c r="D4" s="37"/>
      <c r="E4" s="37"/>
      <c r="F4" s="171"/>
      <c r="G4" s="5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357</v>
      </c>
      <c r="B5" s="37"/>
      <c r="C5" s="37"/>
      <c r="D5" s="37"/>
      <c r="E5" s="37"/>
      <c r="F5" s="171"/>
      <c r="G5" s="58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358</v>
      </c>
      <c r="B6" s="37"/>
      <c r="C6" s="37"/>
      <c r="D6" s="37"/>
      <c r="E6" s="37"/>
      <c r="F6" s="171"/>
      <c r="G6" s="5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189</v>
      </c>
      <c r="B7" s="37"/>
      <c r="C7" s="37"/>
      <c r="D7" s="37"/>
      <c r="E7" s="37"/>
      <c r="F7" s="171"/>
      <c r="G7" s="5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359</v>
      </c>
      <c r="B8" s="37"/>
      <c r="C8" s="37"/>
      <c r="D8" s="37"/>
      <c r="E8" s="37"/>
      <c r="F8" s="171"/>
      <c r="G8" s="5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360</v>
      </c>
      <c r="B9" s="37"/>
      <c r="C9" s="37"/>
      <c r="D9" s="37"/>
      <c r="E9" s="37"/>
      <c r="F9" s="171"/>
      <c r="G9" s="5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361</v>
      </c>
      <c r="B10" s="37"/>
      <c r="C10" s="37"/>
      <c r="D10" s="37"/>
      <c r="E10" s="37"/>
      <c r="F10" s="171"/>
      <c r="G10" s="58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36" t="s">
        <v>362</v>
      </c>
      <c r="B11" s="37"/>
      <c r="C11" s="37"/>
      <c r="D11" s="37"/>
      <c r="E11" s="37"/>
      <c r="F11" s="171"/>
      <c r="G11" s="58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363</v>
      </c>
      <c r="B12" s="37"/>
      <c r="C12" s="37"/>
      <c r="D12" s="37"/>
      <c r="E12" s="37"/>
      <c r="F12" s="171"/>
      <c r="G12" s="58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229" t="s">
        <v>364</v>
      </c>
      <c r="B13" s="37"/>
      <c r="C13" s="37"/>
      <c r="D13" s="37"/>
      <c r="E13" s="37"/>
      <c r="F13" s="171"/>
      <c r="G13" s="58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3.5" customHeight="1">
      <c r="A14" s="100" t="s">
        <v>365</v>
      </c>
      <c r="B14" s="104"/>
      <c r="C14" s="104"/>
      <c r="D14" s="104"/>
      <c r="E14" s="104"/>
      <c r="F14" s="172"/>
      <c r="G14" s="10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