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 kalousek\Desktop\"/>
    </mc:Choice>
  </mc:AlternateContent>
  <bookViews>
    <workbookView xWindow="0" yWindow="0" windowWidth="24000" windowHeight="9735" activeTab="2"/>
  </bookViews>
  <sheets>
    <sheet name="InfoInicial" sheetId="1" r:id="rId1"/>
    <sheet name="E-Inv AF y Am" sheetId="2" r:id="rId2"/>
    <sheet name="E-Costos" sheetId="3" r:id="rId3"/>
    <sheet name="E-InvAT" sheetId="4" r:id="rId4"/>
    <sheet name="E-IVA " sheetId="5" r:id="rId5"/>
    <sheet name="E-Cal Inv." sheetId="6" r:id="rId6"/>
    <sheet name="E-Form" sheetId="7" r:id="rId7"/>
    <sheet name="F-Cred" sheetId="8" r:id="rId8"/>
    <sheet name="F-CRes" sheetId="9" r:id="rId9"/>
    <sheet name="F-2 Estructura" sheetId="10" r:id="rId10"/>
    <sheet name="F-IVA" sheetId="11" r:id="rId11"/>
    <sheet name="F- CFyU" sheetId="12" r:id="rId12"/>
    <sheet name="F-Balance" sheetId="13" r:id="rId13"/>
    <sheet name="F- Form" sheetId="14" r:id="rId14"/>
  </sheets>
  <calcPr calcId="152511"/>
</workbook>
</file>

<file path=xl/calcChain.xml><?xml version="1.0" encoding="utf-8"?>
<calcChain xmlns="http://schemas.openxmlformats.org/spreadsheetml/2006/main">
  <c r="C40" i="3" l="1"/>
  <c r="L36" i="14"/>
  <c r="L34" i="14"/>
  <c r="L33" i="14"/>
  <c r="L32" i="14"/>
  <c r="L31" i="14"/>
  <c r="L30" i="14"/>
  <c r="L28" i="14"/>
  <c r="L27" i="14"/>
  <c r="L26" i="14"/>
  <c r="L25" i="14"/>
  <c r="G1" i="14"/>
  <c r="G38" i="13"/>
  <c r="F38" i="13"/>
  <c r="E38" i="13"/>
  <c r="D38" i="13"/>
  <c r="C38" i="13"/>
  <c r="B38" i="13"/>
  <c r="E1" i="13"/>
  <c r="E1" i="12"/>
  <c r="E1" i="11"/>
  <c r="D1" i="10"/>
  <c r="F1" i="9"/>
  <c r="F1" i="8"/>
  <c r="K4" i="7"/>
  <c r="F4" i="7"/>
  <c r="E4" i="7"/>
  <c r="G1" i="7"/>
  <c r="G21" i="6"/>
  <c r="D14" i="6"/>
  <c r="H8" i="6"/>
  <c r="H21" i="6" s="1"/>
  <c r="G8" i="6"/>
  <c r="F8" i="6"/>
  <c r="E8" i="6"/>
  <c r="B7" i="6"/>
  <c r="G1" i="6"/>
  <c r="G1" i="5"/>
  <c r="B30" i="4"/>
  <c r="C30" i="4" s="1"/>
  <c r="D13" i="4"/>
  <c r="C13" i="4"/>
  <c r="C10" i="4"/>
  <c r="B10" i="4"/>
  <c r="E1" i="4"/>
  <c r="M134" i="3"/>
  <c r="M133" i="3"/>
  <c r="L127" i="3"/>
  <c r="M127" i="3" s="1"/>
  <c r="B58" i="3" s="1"/>
  <c r="B76" i="3" s="1"/>
  <c r="U114" i="3"/>
  <c r="T114" i="3"/>
  <c r="U106" i="3"/>
  <c r="U107" i="3" s="1"/>
  <c r="B71" i="3" s="1"/>
  <c r="U105" i="3"/>
  <c r="N105" i="3"/>
  <c r="U104" i="3"/>
  <c r="N104" i="3"/>
  <c r="C104" i="3"/>
  <c r="D104" i="3" s="1"/>
  <c r="E104" i="3" s="1"/>
  <c r="F104" i="3" s="1"/>
  <c r="B104" i="3"/>
  <c r="D89" i="3"/>
  <c r="E89" i="3" s="1"/>
  <c r="C89" i="3"/>
  <c r="B89" i="3"/>
  <c r="K81" i="3"/>
  <c r="K85" i="3" s="1"/>
  <c r="K86" i="3" s="1"/>
  <c r="K87" i="3" s="1"/>
  <c r="C32" i="3" s="1"/>
  <c r="D32" i="3" s="1"/>
  <c r="E32" i="3" s="1"/>
  <c r="F32" i="3" s="1"/>
  <c r="F77" i="3"/>
  <c r="C77" i="3"/>
  <c r="B77" i="3"/>
  <c r="S76" i="3"/>
  <c r="U76" i="3" s="1"/>
  <c r="Q76" i="3"/>
  <c r="R76" i="3" s="1"/>
  <c r="C71" i="3"/>
  <c r="F59" i="3"/>
  <c r="E59" i="3"/>
  <c r="E77" i="3" s="1"/>
  <c r="D59" i="3"/>
  <c r="D77" i="3" s="1"/>
  <c r="C59" i="3"/>
  <c r="B59" i="3"/>
  <c r="C58" i="3"/>
  <c r="V57" i="3"/>
  <c r="L49" i="3"/>
  <c r="L46" i="3"/>
  <c r="W42" i="3"/>
  <c r="W41" i="3"/>
  <c r="W40" i="3"/>
  <c r="W39" i="3"/>
  <c r="W38" i="3"/>
  <c r="W43" i="3" s="1"/>
  <c r="T48" i="3" s="1"/>
  <c r="B26" i="3"/>
  <c r="T24" i="3"/>
  <c r="T22" i="3"/>
  <c r="T26" i="3" s="1"/>
  <c r="C26" i="3" s="1"/>
  <c r="T20" i="3"/>
  <c r="T16" i="3"/>
  <c r="T17" i="3" s="1"/>
  <c r="C15" i="3"/>
  <c r="D15" i="3" s="1"/>
  <c r="B15" i="3"/>
  <c r="T14" i="3"/>
  <c r="T15" i="3" s="1"/>
  <c r="T21" i="3" s="1"/>
  <c r="T13" i="3"/>
  <c r="C7" i="3"/>
  <c r="C93" i="3" s="1"/>
  <c r="D6" i="5" s="1"/>
  <c r="B7" i="3"/>
  <c r="O4" i="3"/>
  <c r="E3" i="3"/>
  <c r="C53" i="2"/>
  <c r="C50" i="2"/>
  <c r="C49" i="2"/>
  <c r="C48" i="2"/>
  <c r="C47" i="2"/>
  <c r="C46" i="2"/>
  <c r="Y45" i="2"/>
  <c r="D45" i="2"/>
  <c r="C45" i="2"/>
  <c r="Y44" i="2"/>
  <c r="L44" i="2"/>
  <c r="C44" i="2"/>
  <c r="Y43" i="2"/>
  <c r="L43" i="2"/>
  <c r="G43" i="2"/>
  <c r="Y42" i="2"/>
  <c r="Y41" i="2"/>
  <c r="Y40" i="2"/>
  <c r="L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B27" i="2"/>
  <c r="Y26" i="2"/>
  <c r="Y25" i="2"/>
  <c r="Y24" i="2"/>
  <c r="I24" i="2"/>
  <c r="B24" i="2"/>
  <c r="Y23" i="2"/>
  <c r="Y22" i="2"/>
  <c r="Y21" i="2"/>
  <c r="Y20" i="2"/>
  <c r="Y19" i="2"/>
  <c r="H19" i="2"/>
  <c r="Y18" i="2"/>
  <c r="H18" i="2"/>
  <c r="Y17" i="2"/>
  <c r="H17" i="2"/>
  <c r="Y16" i="2"/>
  <c r="Y15" i="2"/>
  <c r="B15" i="2"/>
  <c r="B47" i="2" s="1"/>
  <c r="Y14" i="2"/>
  <c r="Y13" i="2"/>
  <c r="Y12" i="2"/>
  <c r="H12" i="2"/>
  <c r="B9" i="2" s="1"/>
  <c r="B45" i="2" s="1"/>
  <c r="B12" i="2"/>
  <c r="Y11" i="2"/>
  <c r="Y10" i="2"/>
  <c r="Y9" i="2"/>
  <c r="Y8" i="2"/>
  <c r="N8" i="2"/>
  <c r="L60" i="3" s="1"/>
  <c r="B8" i="2"/>
  <c r="Y7" i="2"/>
  <c r="Y6" i="2"/>
  <c r="Y5" i="2"/>
  <c r="Y4" i="2"/>
  <c r="Y46" i="2" s="1"/>
  <c r="B16" i="2" s="1"/>
  <c r="B48" i="2" s="1"/>
  <c r="Y3" i="2"/>
  <c r="E1" i="2"/>
  <c r="E48" i="2" l="1"/>
  <c r="D48" i="2"/>
  <c r="G48" i="2"/>
  <c r="M131" i="3"/>
  <c r="O85" i="3"/>
  <c r="B44" i="2"/>
  <c r="O86" i="3"/>
  <c r="M130" i="3"/>
  <c r="C9" i="5"/>
  <c r="T49" i="3"/>
  <c r="T50" i="3" s="1"/>
  <c r="B30" i="3" s="1"/>
  <c r="B12" i="3"/>
  <c r="L62" i="3"/>
  <c r="B54" i="3" s="1"/>
  <c r="C54" i="3" s="1"/>
  <c r="D54" i="3" s="1"/>
  <c r="E54" i="3" s="1"/>
  <c r="F54" i="3" s="1"/>
  <c r="L61" i="3"/>
  <c r="B10" i="3" s="1"/>
  <c r="C10" i="3" s="1"/>
  <c r="D10" i="3" s="1"/>
  <c r="E10" i="3" s="1"/>
  <c r="F10" i="3" s="1"/>
  <c r="L63" i="3"/>
  <c r="B72" i="3" s="1"/>
  <c r="C72" i="3" s="1"/>
  <c r="D72" i="3" s="1"/>
  <c r="E72" i="3" s="1"/>
  <c r="F72" i="3" s="1"/>
  <c r="P4" i="3"/>
  <c r="Q4" i="3" s="1"/>
  <c r="R4" i="3" s="1"/>
  <c r="S4" i="3" s="1"/>
  <c r="B90" i="3"/>
  <c r="C90" i="3" s="1"/>
  <c r="D90" i="3" s="1"/>
  <c r="E9" i="5"/>
  <c r="E15" i="3"/>
  <c r="L25" i="4"/>
  <c r="D26" i="3"/>
  <c r="L34" i="4"/>
  <c r="V59" i="3"/>
  <c r="M20" i="2"/>
  <c r="K20" i="2"/>
  <c r="H21" i="2"/>
  <c r="M14" i="2" s="1"/>
  <c r="B14" i="2" s="1"/>
  <c r="E45" i="2"/>
  <c r="G45" i="2" s="1"/>
  <c r="D47" i="2"/>
  <c r="G47" i="2" s="1"/>
  <c r="E47" i="2"/>
  <c r="T25" i="3"/>
  <c r="T23" i="3"/>
  <c r="T27" i="3" s="1"/>
  <c r="G26" i="3" s="1"/>
  <c r="F89" i="3"/>
  <c r="K34" i="4"/>
  <c r="C14" i="3"/>
  <c r="W44" i="3"/>
  <c r="W45" i="3" s="1"/>
  <c r="C30" i="3" s="1"/>
  <c r="D30" i="3" s="1"/>
  <c r="E30" i="3" s="1"/>
  <c r="F30" i="3" s="1"/>
  <c r="C91" i="3"/>
  <c r="K25" i="4"/>
  <c r="L85" i="3"/>
  <c r="B93" i="3"/>
  <c r="C6" i="5" s="1"/>
  <c r="S127" i="3"/>
  <c r="D9" i="5"/>
  <c r="F21" i="6"/>
  <c r="L50" i="3"/>
  <c r="L53" i="3"/>
  <c r="D71" i="3"/>
  <c r="B8" i="6"/>
  <c r="V58" i="3"/>
  <c r="T76" i="3"/>
  <c r="B33" i="3" s="1"/>
  <c r="C12" i="3"/>
  <c r="D12" i="3" s="1"/>
  <c r="E12" i="3" s="1"/>
  <c r="F12" i="3" s="1"/>
  <c r="D7" i="3"/>
  <c r="C8" i="3"/>
  <c r="C76" i="3"/>
  <c r="D58" i="3"/>
  <c r="N106" i="3"/>
  <c r="C14" i="6"/>
  <c r="D10" i="4"/>
  <c r="E13" i="4"/>
  <c r="E21" i="6"/>
  <c r="L121" i="3" l="1"/>
  <c r="C53" i="3"/>
  <c r="N107" i="3"/>
  <c r="B53" i="3" s="1"/>
  <c r="E71" i="3"/>
  <c r="L56" i="3"/>
  <c r="B27" i="3" s="1"/>
  <c r="L55" i="3"/>
  <c r="K28" i="4"/>
  <c r="C33" i="3"/>
  <c r="D22" i="5"/>
  <c r="D7" i="4"/>
  <c r="D6" i="4"/>
  <c r="C6" i="4"/>
  <c r="B153" i="3"/>
  <c r="B152" i="3"/>
  <c r="B151" i="3"/>
  <c r="B150" i="3"/>
  <c r="B149" i="3"/>
  <c r="B148" i="3"/>
  <c r="B147" i="3"/>
  <c r="B146" i="3"/>
  <c r="B145" i="3"/>
  <c r="B144" i="3"/>
  <c r="K21" i="2"/>
  <c r="B50" i="2" s="1"/>
  <c r="D11" i="2"/>
  <c r="E90" i="3"/>
  <c r="D91" i="3"/>
  <c r="F13" i="4"/>
  <c r="L86" i="3"/>
  <c r="L42" i="2"/>
  <c r="L45" i="2" s="1"/>
  <c r="B14" i="3"/>
  <c r="E44" i="2"/>
  <c r="D44" i="2"/>
  <c r="G44" i="2" s="1"/>
  <c r="S125" i="3"/>
  <c r="L119" i="3"/>
  <c r="M25" i="4"/>
  <c r="E26" i="3"/>
  <c r="V76" i="3"/>
  <c r="G33" i="3" s="1"/>
  <c r="K37" i="4" s="1"/>
  <c r="C94" i="3"/>
  <c r="D8" i="3"/>
  <c r="B91" i="3"/>
  <c r="E10" i="4"/>
  <c r="E14" i="6"/>
  <c r="D30" i="4"/>
  <c r="D76" i="3"/>
  <c r="E58" i="3"/>
  <c r="D93" i="3"/>
  <c r="E6" i="5" s="1"/>
  <c r="M34" i="4"/>
  <c r="E7" i="3"/>
  <c r="B21" i="6"/>
  <c r="B8" i="3"/>
  <c r="D8" i="5"/>
  <c r="L27" i="4"/>
  <c r="L36" i="4"/>
  <c r="M36" i="4" s="1"/>
  <c r="N36" i="4" s="1"/>
  <c r="O36" i="4" s="1"/>
  <c r="C57" i="3"/>
  <c r="D14" i="3"/>
  <c r="F9" i="5"/>
  <c r="F15" i="3"/>
  <c r="G9" i="5" s="1"/>
  <c r="M136" i="3"/>
  <c r="B60" i="3" s="1"/>
  <c r="C60" i="3" s="1"/>
  <c r="D60" i="3" s="1"/>
  <c r="E60" i="3" s="1"/>
  <c r="F60" i="3" s="1"/>
  <c r="T115" i="3"/>
  <c r="O87" i="3"/>
  <c r="F90" i="3" l="1"/>
  <c r="F91" i="3" s="1"/>
  <c r="E91" i="3"/>
  <c r="E11" i="6"/>
  <c r="L28" i="4"/>
  <c r="D33" i="3"/>
  <c r="L37" i="4"/>
  <c r="M37" i="4" s="1"/>
  <c r="N37" i="4" s="1"/>
  <c r="O37" i="4" s="1"/>
  <c r="F14" i="6"/>
  <c r="E30" i="4"/>
  <c r="F10" i="4"/>
  <c r="E22" i="5"/>
  <c r="E7" i="4"/>
  <c r="E6" i="4"/>
  <c r="B6" i="4"/>
  <c r="C27" i="3"/>
  <c r="L57" i="3"/>
  <c r="G27" i="3" s="1"/>
  <c r="N34" i="4"/>
  <c r="E93" i="3"/>
  <c r="F6" i="5" s="1"/>
  <c r="F7" i="3"/>
  <c r="O92" i="3"/>
  <c r="O88" i="3"/>
  <c r="O89" i="3" s="1"/>
  <c r="C34" i="3" s="1"/>
  <c r="D34" i="3" s="1"/>
  <c r="E34" i="3" s="1"/>
  <c r="F34" i="3" s="1"/>
  <c r="C16" i="3"/>
  <c r="D16" i="3" s="1"/>
  <c r="E16" i="3" s="1"/>
  <c r="F16" i="3" s="1"/>
  <c r="E8" i="5"/>
  <c r="M27" i="4"/>
  <c r="E14" i="3"/>
  <c r="F58" i="3"/>
  <c r="F76" i="3" s="1"/>
  <c r="E76" i="3"/>
  <c r="C8" i="5"/>
  <c r="K27" i="4"/>
  <c r="D18" i="2"/>
  <c r="D20" i="2" s="1"/>
  <c r="D33" i="2" s="1"/>
  <c r="D36" i="2" s="1"/>
  <c r="B13" i="2"/>
  <c r="B46" i="2"/>
  <c r="D53" i="3"/>
  <c r="B94" i="3"/>
  <c r="D94" i="3"/>
  <c r="E8" i="3"/>
  <c r="L87" i="3"/>
  <c r="L88" i="3"/>
  <c r="U115" i="3"/>
  <c r="U116" i="3" s="1"/>
  <c r="U117" i="3" s="1"/>
  <c r="B78" i="3" s="1"/>
  <c r="T116" i="3"/>
  <c r="T117" i="3" s="1"/>
  <c r="C78" i="3" s="1"/>
  <c r="D78" i="3" s="1"/>
  <c r="E78" i="3" s="1"/>
  <c r="F78" i="3" s="1"/>
  <c r="D57" i="3"/>
  <c r="C75" i="3"/>
  <c r="B57" i="3"/>
  <c r="B75" i="3" s="1"/>
  <c r="B23" i="6"/>
  <c r="B166" i="3"/>
  <c r="B165" i="3"/>
  <c r="B164" i="3"/>
  <c r="B163" i="3"/>
  <c r="C22" i="5"/>
  <c r="B161" i="3"/>
  <c r="B162" i="3"/>
  <c r="B158" i="3"/>
  <c r="B157" i="3"/>
  <c r="B160" i="3"/>
  <c r="C7" i="4"/>
  <c r="B159" i="3"/>
  <c r="N25" i="4"/>
  <c r="F26" i="3"/>
  <c r="I28" i="2"/>
  <c r="B25" i="2"/>
  <c r="G13" i="4"/>
  <c r="D50" i="2"/>
  <c r="X17" i="3" s="1"/>
  <c r="F71" i="3"/>
  <c r="B32" i="3" l="1"/>
  <c r="K36" i="4" s="1"/>
  <c r="L89" i="3"/>
  <c r="G32" i="3" s="1"/>
  <c r="D46" i="2"/>
  <c r="E46" i="2"/>
  <c r="F8" i="5"/>
  <c r="N27" i="4"/>
  <c r="F14" i="3"/>
  <c r="C11" i="6"/>
  <c r="F11" i="6"/>
  <c r="G22" i="5"/>
  <c r="G7" i="4"/>
  <c r="G6" i="4"/>
  <c r="B29" i="2"/>
  <c r="B31" i="2" s="1"/>
  <c r="G50" i="2"/>
  <c r="E53" i="3"/>
  <c r="O93" i="3"/>
  <c r="O94" i="3" s="1"/>
  <c r="B34" i="3" s="1"/>
  <c r="B16" i="3"/>
  <c r="D11" i="6"/>
  <c r="G14" i="6"/>
  <c r="F30" i="4"/>
  <c r="G10" i="4"/>
  <c r="D75" i="3"/>
  <c r="E57" i="3"/>
  <c r="E94" i="3"/>
  <c r="F8" i="3"/>
  <c r="F94" i="3" s="1"/>
  <c r="V56" i="3"/>
  <c r="V60" i="3" s="1"/>
  <c r="B18" i="2"/>
  <c r="B49" i="2" s="1"/>
  <c r="B51" i="2" s="1"/>
  <c r="F93" i="3"/>
  <c r="O34" i="4"/>
  <c r="D27" i="3"/>
  <c r="O25" i="4"/>
  <c r="B25" i="6"/>
  <c r="M28" i="4"/>
  <c r="E33" i="3"/>
  <c r="F22" i="5"/>
  <c r="F6" i="4"/>
  <c r="F7" i="4"/>
  <c r="G11" i="6" l="1"/>
  <c r="N28" i="4"/>
  <c r="F33" i="3"/>
  <c r="O28" i="4" s="1"/>
  <c r="H14" i="6"/>
  <c r="I14" i="6" s="1"/>
  <c r="G30" i="4"/>
  <c r="C7" i="6"/>
  <c r="D49" i="2"/>
  <c r="G49" i="2" s="1"/>
  <c r="E49" i="2"/>
  <c r="G8" i="5"/>
  <c r="O27" i="4"/>
  <c r="E51" i="2"/>
  <c r="B20" i="2"/>
  <c r="C6" i="6" s="1"/>
  <c r="E75" i="3"/>
  <c r="F57" i="3"/>
  <c r="F75" i="3" s="1"/>
  <c r="H11" i="6"/>
  <c r="I11" i="6" s="1"/>
  <c r="G46" i="2"/>
  <c r="E27" i="3"/>
  <c r="G6" i="5"/>
  <c r="U65" i="3"/>
  <c r="U60" i="3"/>
  <c r="T65" i="3" s="1"/>
  <c r="F53" i="3"/>
  <c r="D51" i="2"/>
  <c r="F27" i="3" l="1"/>
  <c r="I6" i="6"/>
  <c r="C8" i="6"/>
  <c r="B33" i="2"/>
  <c r="U66" i="3"/>
  <c r="C13" i="3"/>
  <c r="B13" i="3"/>
  <c r="T66" i="3"/>
  <c r="G51" i="2"/>
  <c r="U68" i="3" l="1"/>
  <c r="U67" i="3"/>
  <c r="C31" i="3" s="1"/>
  <c r="D7" i="5"/>
  <c r="D12" i="5" s="1"/>
  <c r="L35" i="4"/>
  <c r="D13" i="3"/>
  <c r="C21" i="6"/>
  <c r="C7" i="5"/>
  <c r="C12" i="5" s="1"/>
  <c r="T67" i="3"/>
  <c r="T68" i="3"/>
  <c r="B4" i="7"/>
  <c r="M35" i="4" l="1"/>
  <c r="L39" i="4"/>
  <c r="L26" i="4"/>
  <c r="L30" i="4" s="1"/>
  <c r="D31" i="3"/>
  <c r="E7" i="5"/>
  <c r="E12" i="5" s="1"/>
  <c r="E13" i="3"/>
  <c r="B31" i="3"/>
  <c r="T69" i="3"/>
  <c r="G31" i="3" s="1"/>
  <c r="M26" i="4" l="1"/>
  <c r="M30" i="4" s="1"/>
  <c r="M31" i="4" s="1"/>
  <c r="E32" i="4" s="1"/>
  <c r="E15" i="5" s="1"/>
  <c r="E31" i="3"/>
  <c r="C13" i="5"/>
  <c r="G36" i="3"/>
  <c r="F7" i="5"/>
  <c r="F12" i="5" s="1"/>
  <c r="F13" i="3"/>
  <c r="K26" i="4"/>
  <c r="K30" i="4" s="1"/>
  <c r="K31" i="4" s="1"/>
  <c r="C32" i="4" s="1"/>
  <c r="C15" i="5" s="1"/>
  <c r="K35" i="4"/>
  <c r="K39" i="4" s="1"/>
  <c r="K40" i="4" s="1"/>
  <c r="C33" i="4" s="1"/>
  <c r="C16" i="5" s="1"/>
  <c r="N35" i="4"/>
  <c r="M39" i="4"/>
  <c r="M40" i="4" s="1"/>
  <c r="E33" i="4" s="1"/>
  <c r="E16" i="5" s="1"/>
  <c r="E17" i="5" s="1"/>
  <c r="C17" i="5" l="1"/>
  <c r="L31" i="4"/>
  <c r="D32" i="4" s="1"/>
  <c r="D15" i="5" s="1"/>
  <c r="F17" i="5"/>
  <c r="N26" i="4"/>
  <c r="N30" i="4" s="1"/>
  <c r="N31" i="4" s="1"/>
  <c r="F32" i="4" s="1"/>
  <c r="F15" i="5" s="1"/>
  <c r="F31" i="3"/>
  <c r="O26" i="4" s="1"/>
  <c r="O30" i="4" s="1"/>
  <c r="O31" i="4" s="1"/>
  <c r="G32" i="4" s="1"/>
  <c r="G15" i="5" s="1"/>
  <c r="G7" i="5"/>
  <c r="G12" i="5" s="1"/>
  <c r="O35" i="4"/>
  <c r="O39" i="4" s="1"/>
  <c r="N39" i="4"/>
  <c r="N40" i="4" s="1"/>
  <c r="F33" i="4" s="1"/>
  <c r="F16" i="5" s="1"/>
  <c r="L40" i="4"/>
  <c r="D33" i="4" s="1"/>
  <c r="D16" i="5" s="1"/>
  <c r="B42" i="3"/>
  <c r="B100" i="3"/>
  <c r="C26" i="2"/>
  <c r="D7" i="6" l="1"/>
  <c r="I29" i="2"/>
  <c r="C31" i="2"/>
  <c r="D17" i="5"/>
  <c r="O40" i="4"/>
  <c r="G33" i="4" s="1"/>
  <c r="G16" i="5" s="1"/>
  <c r="G17" i="5" s="1"/>
  <c r="C33" i="2" l="1"/>
  <c r="B53" i="2"/>
  <c r="D8" i="6"/>
  <c r="I7" i="6"/>
  <c r="D21" i="6" l="1"/>
  <c r="I8" i="6"/>
  <c r="E53" i="2"/>
  <c r="E56" i="2" s="1"/>
  <c r="D53" i="2"/>
  <c r="D56" i="2" s="1"/>
  <c r="B56" i="2"/>
  <c r="B5" i="7"/>
  <c r="C36" i="2"/>
  <c r="B34" i="2"/>
  <c r="B36" i="2" s="1"/>
  <c r="I8" i="7" l="1"/>
  <c r="I9" i="7"/>
  <c r="K114" i="3"/>
  <c r="M114" i="3" s="1"/>
  <c r="E55" i="3" s="1"/>
  <c r="Z14" i="3"/>
  <c r="X14" i="3" s="1"/>
  <c r="I6" i="7"/>
  <c r="I7" i="7"/>
  <c r="I5" i="7"/>
  <c r="K113" i="3"/>
  <c r="M113" i="3" s="1"/>
  <c r="B55" i="3" s="1"/>
  <c r="Z16" i="3"/>
  <c r="X16" i="3" s="1"/>
  <c r="X18" i="3" s="1"/>
  <c r="G53" i="2"/>
  <c r="G56" i="2" s="1"/>
  <c r="B9" i="7" s="1"/>
  <c r="I21" i="6"/>
  <c r="E11" i="3" l="1"/>
  <c r="X15" i="3"/>
  <c r="AA15" i="3" s="1"/>
  <c r="E73" i="3"/>
  <c r="F55" i="3"/>
  <c r="B11" i="7"/>
  <c r="B73" i="3"/>
  <c r="C55" i="3"/>
  <c r="X20" i="3"/>
  <c r="AA20" i="3" s="1"/>
  <c r="B29" i="3" s="1"/>
  <c r="X19" i="3"/>
  <c r="AA19" i="3" s="1"/>
  <c r="B11" i="3"/>
  <c r="I11" i="7"/>
  <c r="G21" i="7" s="1"/>
  <c r="C18" i="4" l="1"/>
  <c r="M14" i="6" s="1"/>
  <c r="D17" i="6" s="1"/>
  <c r="B128" i="3"/>
  <c r="C11" i="3"/>
  <c r="B17" i="3"/>
  <c r="B18" i="3"/>
  <c r="C29" i="3"/>
  <c r="D29" i="3"/>
  <c r="C73" i="3"/>
  <c r="D55" i="3"/>
  <c r="F29" i="3"/>
  <c r="E29" i="3"/>
  <c r="M18" i="7"/>
  <c r="C17" i="4"/>
  <c r="B35" i="3"/>
  <c r="B36" i="3" s="1"/>
  <c r="F73" i="3"/>
  <c r="E128" i="3"/>
  <c r="F11" i="3"/>
  <c r="E17" i="3"/>
  <c r="C12" i="4" l="1"/>
  <c r="M11" i="6" s="1"/>
  <c r="D16" i="6" s="1"/>
  <c r="B43" i="3"/>
  <c r="B101" i="3" s="1"/>
  <c r="E21" i="3"/>
  <c r="D17" i="4"/>
  <c r="C35" i="3"/>
  <c r="C36" i="3" s="1"/>
  <c r="B97" i="3"/>
  <c r="B103" i="3" s="1"/>
  <c r="B40" i="3"/>
  <c r="B95" i="3"/>
  <c r="G17" i="4"/>
  <c r="F35" i="3"/>
  <c r="F36" i="3" s="1"/>
  <c r="G12" i="4" s="1"/>
  <c r="Q11" i="6" s="1"/>
  <c r="B20" i="3"/>
  <c r="B21" i="3"/>
  <c r="G18" i="4"/>
  <c r="Q14" i="6" s="1"/>
  <c r="H17" i="6" s="1"/>
  <c r="F128" i="3"/>
  <c r="F17" i="3"/>
  <c r="F18" i="3" s="1"/>
  <c r="F17" i="4"/>
  <c r="F20" i="4" s="1"/>
  <c r="E35" i="3"/>
  <c r="E36" i="3" s="1"/>
  <c r="D73" i="3"/>
  <c r="E18" i="3"/>
  <c r="E20" i="3" s="1"/>
  <c r="F18" i="4"/>
  <c r="P14" i="6" s="1"/>
  <c r="C20" i="4"/>
  <c r="E17" i="4"/>
  <c r="D35" i="3"/>
  <c r="D36" i="3"/>
  <c r="D18" i="4"/>
  <c r="N14" i="6" s="1"/>
  <c r="E17" i="6" s="1"/>
  <c r="C128" i="3"/>
  <c r="D11" i="3"/>
  <c r="C17" i="3"/>
  <c r="F95" i="3" l="1"/>
  <c r="F97" i="3" s="1"/>
  <c r="F40" i="3"/>
  <c r="F12" i="4"/>
  <c r="P11" i="6" s="1"/>
  <c r="G16" i="6" s="1"/>
  <c r="F43" i="3"/>
  <c r="F101" i="3" s="1"/>
  <c r="E43" i="3"/>
  <c r="E101" i="3" s="1"/>
  <c r="C43" i="3"/>
  <c r="C101" i="3" s="1"/>
  <c r="D12" i="4"/>
  <c r="N11" i="6" s="1"/>
  <c r="E16" i="6" s="1"/>
  <c r="B105" i="3"/>
  <c r="B108" i="3" s="1"/>
  <c r="B110" i="3"/>
  <c r="C18" i="3"/>
  <c r="C21" i="3" s="1"/>
  <c r="E12" i="4"/>
  <c r="O11" i="6" s="1"/>
  <c r="D43" i="3"/>
  <c r="D101" i="3" s="1"/>
  <c r="G17" i="6"/>
  <c r="E18" i="4"/>
  <c r="O14" i="6" s="1"/>
  <c r="F17" i="6" s="1"/>
  <c r="D128" i="3"/>
  <c r="D17" i="3"/>
  <c r="D18" i="3"/>
  <c r="E95" i="3"/>
  <c r="E40" i="3"/>
  <c r="E97" i="3"/>
  <c r="E103" i="3" s="1"/>
  <c r="F20" i="3"/>
  <c r="F21" i="3"/>
  <c r="E20" i="4"/>
  <c r="G20" i="4"/>
  <c r="B48" i="3"/>
  <c r="B44" i="3"/>
  <c r="B45" i="3" s="1"/>
  <c r="B131" i="3"/>
  <c r="B47" i="3"/>
  <c r="G46" i="3" s="1"/>
  <c r="B132" i="3"/>
  <c r="D20" i="4"/>
  <c r="E48" i="3" l="1"/>
  <c r="E132" i="3" s="1"/>
  <c r="E44" i="3"/>
  <c r="E45" i="3" s="1"/>
  <c r="E47" i="3"/>
  <c r="E131" i="3" s="1"/>
  <c r="H16" i="6"/>
  <c r="D97" i="3"/>
  <c r="D103" i="3" s="1"/>
  <c r="D95" i="3"/>
  <c r="D40" i="3"/>
  <c r="F16" i="6"/>
  <c r="I16" i="6" s="1"/>
  <c r="F48" i="3"/>
  <c r="F44" i="3"/>
  <c r="F45" i="3" s="1"/>
  <c r="F132" i="3"/>
  <c r="F47" i="3"/>
  <c r="G47" i="3" s="1"/>
  <c r="E110" i="3"/>
  <c r="E105" i="3"/>
  <c r="E108" i="3" s="1"/>
  <c r="D20" i="3"/>
  <c r="D21" i="3"/>
  <c r="C97" i="3"/>
  <c r="C103" i="3" s="1"/>
  <c r="C95" i="3"/>
  <c r="C20" i="3"/>
  <c r="F103" i="3"/>
  <c r="C131" i="3" l="1"/>
  <c r="C47" i="3"/>
  <c r="C44" i="3"/>
  <c r="C48" i="3"/>
  <c r="C132" i="3"/>
  <c r="F131" i="3"/>
  <c r="D47" i="3"/>
  <c r="D48" i="3"/>
  <c r="D132" i="3" s="1"/>
  <c r="D131" i="3"/>
  <c r="D44" i="3"/>
  <c r="F105" i="3"/>
  <c r="F108" i="3" s="1"/>
  <c r="F110" i="3"/>
  <c r="C110" i="3"/>
  <c r="C105" i="3"/>
  <c r="C108" i="3" s="1"/>
  <c r="D110" i="3"/>
  <c r="D105" i="3"/>
  <c r="D108" i="3" s="1"/>
  <c r="D45" i="3" l="1"/>
  <c r="S126" i="3"/>
  <c r="C45" i="3"/>
  <c r="L120" i="3"/>
  <c r="L122" i="3" s="1"/>
  <c r="S130" i="3" l="1"/>
  <c r="C74" i="3" s="1"/>
  <c r="S129" i="3"/>
  <c r="B74" i="3" s="1"/>
  <c r="C56" i="3"/>
  <c r="L123" i="3"/>
  <c r="B56" i="3" s="1"/>
  <c r="C19" i="5" l="1"/>
  <c r="B79" i="3"/>
  <c r="C18" i="5"/>
  <c r="C21" i="5" s="1"/>
  <c r="C23" i="5" s="1"/>
  <c r="C11" i="4"/>
  <c r="B61" i="3"/>
  <c r="B63" i="3" s="1"/>
  <c r="D18" i="5"/>
  <c r="D56" i="3"/>
  <c r="C61" i="3"/>
  <c r="C63" i="3" s="1"/>
  <c r="D19" i="5"/>
  <c r="D74" i="3"/>
  <c r="C79" i="3"/>
  <c r="C83" i="3" s="1"/>
  <c r="C81" i="3"/>
  <c r="C112" i="3" l="1"/>
  <c r="C65" i="3"/>
  <c r="C133" i="3" s="1"/>
  <c r="C66" i="3"/>
  <c r="C134" i="3" s="1"/>
  <c r="B133" i="3"/>
  <c r="B112" i="3"/>
  <c r="B65" i="3"/>
  <c r="B66" i="3"/>
  <c r="B134" i="3" s="1"/>
  <c r="B81" i="3"/>
  <c r="E74" i="3"/>
  <c r="E19" i="5"/>
  <c r="D81" i="3"/>
  <c r="D83" i="3" s="1"/>
  <c r="D79" i="3"/>
  <c r="E18" i="5"/>
  <c r="E21" i="5" s="1"/>
  <c r="E23" i="5" s="1"/>
  <c r="E56" i="3"/>
  <c r="D61" i="3"/>
  <c r="D63" i="3" s="1"/>
  <c r="B11" i="4"/>
  <c r="C31" i="4"/>
  <c r="C34" i="4" s="1"/>
  <c r="D22" i="6" s="1"/>
  <c r="D23" i="6" s="1"/>
  <c r="D11" i="4"/>
  <c r="C9" i="4"/>
  <c r="C15" i="4" s="1"/>
  <c r="C136" i="3"/>
  <c r="C113" i="3"/>
  <c r="C135" i="3"/>
  <c r="C84" i="3"/>
  <c r="D21" i="5"/>
  <c r="D23" i="5" s="1"/>
  <c r="D112" i="3" l="1"/>
  <c r="D65" i="3"/>
  <c r="D133" i="3" s="1"/>
  <c r="D66" i="3"/>
  <c r="D134" i="3" s="1"/>
  <c r="D137" i="3" s="1"/>
  <c r="D149" i="3"/>
  <c r="D146" i="3"/>
  <c r="E146" i="3" s="1"/>
  <c r="C137" i="3"/>
  <c r="C138" i="3" s="1"/>
  <c r="D150" i="3"/>
  <c r="D147" i="3"/>
  <c r="D152" i="3"/>
  <c r="D153" i="3"/>
  <c r="E153" i="3" s="1"/>
  <c r="D148" i="3"/>
  <c r="E148" i="3" s="1"/>
  <c r="D144" i="3"/>
  <c r="D145" i="3"/>
  <c r="D151" i="3"/>
  <c r="E151" i="3" s="1"/>
  <c r="C150" i="3"/>
  <c r="C146" i="3"/>
  <c r="C153" i="3"/>
  <c r="C149" i="3"/>
  <c r="C145" i="3"/>
  <c r="C148" i="3"/>
  <c r="C152" i="3"/>
  <c r="C144" i="3"/>
  <c r="C151" i="3"/>
  <c r="C147" i="3"/>
  <c r="D5" i="7"/>
  <c r="C26" i="5"/>
  <c r="B113" i="3"/>
  <c r="B84" i="3"/>
  <c r="B136" i="3" s="1"/>
  <c r="F18" i="5"/>
  <c r="F56" i="3"/>
  <c r="E61" i="3"/>
  <c r="E63" i="3" s="1"/>
  <c r="C115" i="3"/>
  <c r="C15" i="6"/>
  <c r="B31" i="4"/>
  <c r="B34" i="4" s="1"/>
  <c r="C22" i="6" s="1"/>
  <c r="B9" i="4"/>
  <c r="B15" i="4" s="1"/>
  <c r="D135" i="3"/>
  <c r="D113" i="3"/>
  <c r="D136" i="3"/>
  <c r="D84" i="3"/>
  <c r="D15" i="6"/>
  <c r="D31" i="4"/>
  <c r="D34" i="4" s="1"/>
  <c r="E22" i="6" s="1"/>
  <c r="E23" i="6" s="1"/>
  <c r="E11" i="4"/>
  <c r="E15" i="6"/>
  <c r="D9" i="4"/>
  <c r="D15" i="4" s="1"/>
  <c r="F19" i="5"/>
  <c r="F74" i="3"/>
  <c r="E81" i="3"/>
  <c r="E79" i="3"/>
  <c r="B115" i="3"/>
  <c r="B83" i="3"/>
  <c r="B135" i="3" s="1"/>
  <c r="D158" i="3" l="1"/>
  <c r="D160" i="3"/>
  <c r="D159" i="3"/>
  <c r="D162" i="3"/>
  <c r="D163" i="3"/>
  <c r="D164" i="3"/>
  <c r="D157" i="3"/>
  <c r="D165" i="3"/>
  <c r="D166" i="3"/>
  <c r="D161" i="3"/>
  <c r="B137" i="3"/>
  <c r="E66" i="3"/>
  <c r="E134" i="3" s="1"/>
  <c r="E137" i="3" s="1"/>
  <c r="E65" i="3"/>
  <c r="E133" i="3"/>
  <c r="E112" i="3"/>
  <c r="C165" i="3"/>
  <c r="C160" i="3"/>
  <c r="C159" i="3"/>
  <c r="C166" i="3"/>
  <c r="C161" i="3"/>
  <c r="B138" i="3"/>
  <c r="C157" i="3"/>
  <c r="C164" i="3"/>
  <c r="C162" i="3"/>
  <c r="C163" i="3"/>
  <c r="C158" i="3"/>
  <c r="D138" i="3"/>
  <c r="B22" i="4"/>
  <c r="B25" i="4" s="1"/>
  <c r="B24" i="4"/>
  <c r="E150" i="3"/>
  <c r="D24" i="4"/>
  <c r="C23" i="6"/>
  <c r="B117" i="3"/>
  <c r="B119" i="3"/>
  <c r="G19" i="5"/>
  <c r="F79" i="3"/>
  <c r="F81" i="3" s="1"/>
  <c r="F15" i="6"/>
  <c r="F11" i="4"/>
  <c r="E31" i="4"/>
  <c r="E34" i="4" s="1"/>
  <c r="F22" i="6" s="1"/>
  <c r="F23" i="6" s="1"/>
  <c r="E9" i="4"/>
  <c r="E15" i="4" s="1"/>
  <c r="C18" i="6"/>
  <c r="G18" i="5"/>
  <c r="G21" i="5" s="1"/>
  <c r="G23" i="5" s="1"/>
  <c r="F61" i="3"/>
  <c r="F63" i="3" s="1"/>
  <c r="E145" i="3"/>
  <c r="E152" i="3"/>
  <c r="D115" i="3"/>
  <c r="E113" i="3"/>
  <c r="E136" i="3"/>
  <c r="E84" i="3"/>
  <c r="E83" i="3"/>
  <c r="E135" i="3" s="1"/>
  <c r="C24" i="4"/>
  <c r="D6" i="7"/>
  <c r="D26" i="5"/>
  <c r="C117" i="3"/>
  <c r="C119" i="3"/>
  <c r="F21" i="5"/>
  <c r="F23" i="5" s="1"/>
  <c r="E144" i="3"/>
  <c r="E147" i="3"/>
  <c r="E149" i="3"/>
  <c r="F112" i="3" l="1"/>
  <c r="F66" i="3"/>
  <c r="F134" i="3" s="1"/>
  <c r="F137" i="3" s="1"/>
  <c r="F65" i="3"/>
  <c r="F133" i="3" s="1"/>
  <c r="F138" i="3" s="1"/>
  <c r="F136" i="3"/>
  <c r="F113" i="3"/>
  <c r="F135" i="3"/>
  <c r="F84" i="3"/>
  <c r="E26" i="5"/>
  <c r="D7" i="7"/>
  <c r="E115" i="3"/>
  <c r="E165" i="3"/>
  <c r="E162" i="3"/>
  <c r="H6" i="7"/>
  <c r="C121" i="3"/>
  <c r="C120" i="3"/>
  <c r="C123" i="3"/>
  <c r="C25" i="6"/>
  <c r="G15" i="6"/>
  <c r="G11" i="4"/>
  <c r="F31" i="4"/>
  <c r="F34" i="4" s="1"/>
  <c r="G22" i="6" s="1"/>
  <c r="G23" i="6" s="1"/>
  <c r="F9" i="4"/>
  <c r="F15" i="4" s="1"/>
  <c r="F83" i="3"/>
  <c r="D4" i="7"/>
  <c r="B26" i="5"/>
  <c r="B27" i="5" s="1"/>
  <c r="C25" i="5" s="1"/>
  <c r="E138" i="3"/>
  <c r="E157" i="3"/>
  <c r="E159" i="3"/>
  <c r="E161" i="3"/>
  <c r="E164" i="3"/>
  <c r="E160" i="3"/>
  <c r="D117" i="3"/>
  <c r="D119" i="3"/>
  <c r="E24" i="4"/>
  <c r="H5" i="7"/>
  <c r="B120" i="3"/>
  <c r="B123" i="3"/>
  <c r="B121" i="3"/>
  <c r="B36" i="4"/>
  <c r="C4" i="7"/>
  <c r="E166" i="3"/>
  <c r="E163" i="3"/>
  <c r="E158" i="3"/>
  <c r="C124" i="3" l="1"/>
  <c r="D19" i="4" s="1"/>
  <c r="C127" i="3"/>
  <c r="C129" i="3" s="1"/>
  <c r="G4" i="7"/>
  <c r="D121" i="3"/>
  <c r="H7" i="7"/>
  <c r="D120" i="3"/>
  <c r="D123" i="3" s="1"/>
  <c r="F5" i="7"/>
  <c r="E5" i="7"/>
  <c r="C27" i="5"/>
  <c r="D25" i="5" s="1"/>
  <c r="F24" i="4"/>
  <c r="E117" i="3"/>
  <c r="E119" i="3"/>
  <c r="F115" i="3"/>
  <c r="B124" i="3"/>
  <c r="C19" i="4" s="1"/>
  <c r="B127" i="3"/>
  <c r="B129" i="3" s="1"/>
  <c r="G31" i="4"/>
  <c r="G34" i="4" s="1"/>
  <c r="H22" i="6" s="1"/>
  <c r="H15" i="6"/>
  <c r="I15" i="6" s="1"/>
  <c r="G9" i="4"/>
  <c r="G15" i="4" s="1"/>
  <c r="F26" i="5"/>
  <c r="D8" i="7"/>
  <c r="E6" i="7"/>
  <c r="F6" i="7"/>
  <c r="D127" i="3" l="1"/>
  <c r="D129" i="3" s="1"/>
  <c r="D124" i="3"/>
  <c r="E19" i="4" s="1"/>
  <c r="L4" i="7"/>
  <c r="D27" i="5"/>
  <c r="E25" i="5" s="1"/>
  <c r="C28" i="5"/>
  <c r="F117" i="3"/>
  <c r="F119" i="3"/>
  <c r="H23" i="6"/>
  <c r="I22" i="6"/>
  <c r="H8" i="7"/>
  <c r="E123" i="3"/>
  <c r="E120" i="3"/>
  <c r="E121" i="3"/>
  <c r="F7" i="7"/>
  <c r="E7" i="7"/>
  <c r="G24" i="4"/>
  <c r="M7" i="6"/>
  <c r="D12" i="6" s="1"/>
  <c r="C22" i="4"/>
  <c r="C25" i="4" s="1"/>
  <c r="N7" i="6"/>
  <c r="D22" i="4"/>
  <c r="D25" i="4" s="1"/>
  <c r="D36" i="4" l="1"/>
  <c r="C6" i="7"/>
  <c r="G6" i="7" s="1"/>
  <c r="E27" i="5"/>
  <c r="F25" i="5" s="1"/>
  <c r="M4" i="7"/>
  <c r="J5" i="7"/>
  <c r="C30" i="5"/>
  <c r="D18" i="6"/>
  <c r="E127" i="3"/>
  <c r="E129" i="3" s="1"/>
  <c r="E124" i="3"/>
  <c r="F19" i="4" s="1"/>
  <c r="F120" i="3"/>
  <c r="F123" i="3" s="1"/>
  <c r="H9" i="7"/>
  <c r="F121" i="3"/>
  <c r="E12" i="6"/>
  <c r="E18" i="6" s="1"/>
  <c r="E25" i="6" s="1"/>
  <c r="F8" i="7"/>
  <c r="E8" i="7"/>
  <c r="O7" i="6"/>
  <c r="F12" i="6" s="1"/>
  <c r="F18" i="6" s="1"/>
  <c r="F25" i="6" s="1"/>
  <c r="E22" i="4"/>
  <c r="E25" i="4" s="1"/>
  <c r="C5" i="7"/>
  <c r="C36" i="4"/>
  <c r="G26" i="5"/>
  <c r="D9" i="7"/>
  <c r="D11" i="7" s="1"/>
  <c r="I23" i="6"/>
  <c r="D28" i="5"/>
  <c r="F124" i="3" l="1"/>
  <c r="G19" i="4" s="1"/>
  <c r="F127" i="3"/>
  <c r="F129" i="3" s="1"/>
  <c r="J6" i="7"/>
  <c r="K6" i="7" s="1"/>
  <c r="L6" i="7" s="1"/>
  <c r="D30" i="5"/>
  <c r="P7" i="6"/>
  <c r="G12" i="6" s="1"/>
  <c r="G18" i="6" s="1"/>
  <c r="G25" i="6" s="1"/>
  <c r="F22" i="4"/>
  <c r="F25" i="4" s="1"/>
  <c r="G5" i="7"/>
  <c r="F27" i="5"/>
  <c r="G25" i="5" s="1"/>
  <c r="K5" i="7"/>
  <c r="C7" i="7"/>
  <c r="G7" i="7" s="1"/>
  <c r="E36" i="4"/>
  <c r="F9" i="7"/>
  <c r="F11" i="7" s="1"/>
  <c r="E9" i="7"/>
  <c r="E11" i="7" s="1"/>
  <c r="H11" i="7"/>
  <c r="D25" i="6"/>
  <c r="E28" i="5"/>
  <c r="G27" i="5" l="1"/>
  <c r="G28" i="5" s="1"/>
  <c r="D13" i="7"/>
  <c r="F28" i="5"/>
  <c r="J7" i="7"/>
  <c r="E30" i="5"/>
  <c r="Q7" i="6"/>
  <c r="H12" i="6" s="1"/>
  <c r="G22" i="4"/>
  <c r="L5" i="7"/>
  <c r="C8" i="7"/>
  <c r="G8" i="7" s="1"/>
  <c r="F36" i="4"/>
  <c r="J9" i="7" l="1"/>
  <c r="K9" i="7" s="1"/>
  <c r="G30" i="5"/>
  <c r="D14" i="7"/>
  <c r="M5" i="7"/>
  <c r="M6" i="7" s="1"/>
  <c r="G25" i="4"/>
  <c r="G36" i="4" s="1"/>
  <c r="K7" i="7"/>
  <c r="J11" i="7"/>
  <c r="M19" i="7" s="1"/>
  <c r="H18" i="6"/>
  <c r="I12" i="6"/>
  <c r="J8" i="7"/>
  <c r="K8" i="7" s="1"/>
  <c r="L8" i="7" s="1"/>
  <c r="F30" i="5"/>
  <c r="H25" i="6" l="1"/>
  <c r="I18" i="6"/>
  <c r="I25" i="6" s="1"/>
  <c r="C9" i="7"/>
  <c r="L7" i="7"/>
  <c r="K11" i="7"/>
  <c r="G9" i="7" l="1"/>
  <c r="C11" i="7"/>
  <c r="M20" i="7" s="1"/>
  <c r="M7" i="7"/>
  <c r="M8" i="7" s="1"/>
  <c r="G11" i="7" l="1"/>
  <c r="L9" i="7"/>
  <c r="D15" i="7" l="1"/>
  <c r="L11" i="7"/>
  <c r="M9" i="7"/>
  <c r="M21" i="7" l="1"/>
</calcChain>
</file>

<file path=xl/sharedStrings.xml><?xml version="1.0" encoding="utf-8"?>
<sst xmlns="http://schemas.openxmlformats.org/spreadsheetml/2006/main" count="1079" uniqueCount="694">
  <si>
    <t>ESTA PLANILLA PUEDE SER UTILIZADA SOLAMENTE PARA EL TRABAJO PRACTICO:</t>
  </si>
  <si>
    <t>Reglas y consideraciones a tener en cuenta antes de entregar para corregir</t>
  </si>
  <si>
    <t>ESTA PLANILLA PUEDE SER UTILIZADA SOLAMENTE PARA EL TRABAJO PRACTICO</t>
  </si>
  <si>
    <t xml:space="preserve">Mueble y Utiles </t>
  </si>
  <si>
    <t>Tasa porcentual de IVA</t>
  </si>
  <si>
    <t>Cantidad de Unidades</t>
  </si>
  <si>
    <t>$ Unid</t>
  </si>
  <si>
    <r>
      <rPr>
        <sz val="10"/>
        <color rgb="FFFFFFFF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</si>
  <si>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Precio Total</t>
  </si>
  <si>
    <t>Inversión Inicial en Activo Fijo</t>
  </si>
  <si>
    <t>Gasto interno (en $)</t>
  </si>
  <si>
    <t>Tasa porcentual de Impuesto a las Ganancias</t>
  </si>
  <si>
    <t>Gasto Externo (en $)</t>
  </si>
  <si>
    <t>Zapatos de Seguridad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</si>
  <si>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</si>
  <si>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</si>
  <si>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</si>
  <si>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</si>
  <si>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</si>
  <si>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>Año 0</t>
  </si>
  <si>
    <t>Año 1</t>
  </si>
  <si>
    <t xml:space="preserve">    edificios y obras complementarias</t>
  </si>
  <si>
    <t>valor dolar</t>
  </si>
  <si>
    <t>Guantes de latex Flexible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</si>
  <si>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</si>
  <si>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</si>
  <si>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</si>
  <si>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>Escritorios</t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</si>
  <si>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</si>
  <si>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</si>
  <si>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>a) Bienes de Uso</t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</si>
  <si>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</si>
  <si>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</si>
  <si>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</si>
  <si>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Sillas de escritorio</t>
  </si>
  <si>
    <t>Terreno y sus mejoras</t>
  </si>
  <si>
    <t xml:space="preserve">    repuestos iniciales</t>
  </si>
  <si>
    <t>Otros Activos y Cargos Diferidos</t>
  </si>
  <si>
    <t>Imprevistos</t>
  </si>
  <si>
    <t>Nombre del Producto</t>
  </si>
  <si>
    <t>Juice Now</t>
  </si>
  <si>
    <t>Alquiler terreno</t>
  </si>
  <si>
    <t>https://inmueble.mercadolibre.com.ar/MLA-748721714-deposito-vlynch-_JM</t>
  </si>
  <si>
    <t>Ventas Anuales Promedio</t>
  </si>
  <si>
    <t>en Unidades</t>
  </si>
  <si>
    <t>Precio Promedio</t>
  </si>
  <si>
    <t>en $</t>
  </si>
  <si>
    <t xml:space="preserve">Cantidad de personal total </t>
  </si>
  <si>
    <t>por mes</t>
  </si>
  <si>
    <t>en Producción</t>
  </si>
  <si>
    <t>Computadoras acer</t>
  </si>
  <si>
    <t>personas</t>
  </si>
  <si>
    <t>en Comercialización</t>
  </si>
  <si>
    <t>en Administración</t>
  </si>
  <si>
    <t>Tamaño de la planta en metros cuadrados</t>
  </si>
  <si>
    <t>576.18</t>
  </si>
  <si>
    <t>m2</t>
  </si>
  <si>
    <t>Periodo de Instalación</t>
  </si>
  <si>
    <t>en meses</t>
  </si>
  <si>
    <t>Período de Puesta en Marcha</t>
  </si>
  <si>
    <t>Edificio y obras complementarias</t>
  </si>
  <si>
    <t>Tasa de Cambio</t>
  </si>
  <si>
    <t>39.42</t>
  </si>
  <si>
    <t>por año</t>
  </si>
  <si>
    <t>Telefono</t>
  </si>
  <si>
    <t>Instalaciones industriales</t>
  </si>
  <si>
    <t>$ por cada</t>
  </si>
  <si>
    <t>U$S</t>
  </si>
  <si>
    <t>Ampliacion de Instalacion de Agua</t>
  </si>
  <si>
    <t>Cesto de Basura</t>
  </si>
  <si>
    <t>Máquinas operativas</t>
  </si>
  <si>
    <t>Tasa de Credito Bancario</t>
  </si>
  <si>
    <t>instalacion electrica</t>
  </si>
  <si>
    <t>anual</t>
  </si>
  <si>
    <t>Año 6</t>
  </si>
  <si>
    <t>Incluido</t>
  </si>
  <si>
    <t>Lapices y Lapiceras</t>
  </si>
  <si>
    <t xml:space="preserve">    importadas, valor FOB, con repuestos</t>
  </si>
  <si>
    <t>Rubro a financiar</t>
  </si>
  <si>
    <t>Instalacion de gas</t>
  </si>
  <si>
    <t>Resmas de Hojas A4</t>
  </si>
  <si>
    <t xml:space="preserve">    nacionales, precio en fábrica del proveedor</t>
  </si>
  <si>
    <t>Instalaciones Industriales</t>
  </si>
  <si>
    <t>Luces de Emergencia</t>
  </si>
  <si>
    <t>Gastos conexos a la importación de maquinaria</t>
  </si>
  <si>
    <t>Gasto Conexos</t>
  </si>
  <si>
    <t>% sobre el total del Rubro</t>
  </si>
  <si>
    <t>del valor total de la maquina</t>
  </si>
  <si>
    <t>Transporte y montaje de la maquinaria</t>
  </si>
  <si>
    <t>Trasnsporte</t>
  </si>
  <si>
    <t>Dias de Financiación de Proveedores</t>
  </si>
  <si>
    <t>2 camiones + montaje</t>
  </si>
  <si>
    <t>http://www.fletespuntocom.com.ar/Tarifas/</t>
  </si>
  <si>
    <t>% sobre Compras</t>
  </si>
  <si>
    <t>Tasa de financiación</t>
  </si>
  <si>
    <t>Rodados y equipos auxiliares</t>
  </si>
  <si>
    <t>Impresora</t>
  </si>
  <si>
    <t>Gallardo</t>
  </si>
  <si>
    <t>Muebles y útiles</t>
  </si>
  <si>
    <t>Lavadora de frtas 300 Kg</t>
  </si>
  <si>
    <t>Nacional</t>
  </si>
  <si>
    <t>https://articulo.mercadolibre.com.ar/MLA-686012302-lavadora-industrial-pulma-de-300kg-_JM</t>
  </si>
  <si>
    <t>Mueble de Impresora</t>
  </si>
  <si>
    <t>Infraestructura en predio propio</t>
  </si>
  <si>
    <t xml:space="preserve">Pasteurizador </t>
  </si>
  <si>
    <t>Internacional</t>
  </si>
  <si>
    <t>https://spanish.alibaba.com/product-detail/USF-100A-Small-Semi-Automatic-Aluminum-60791553603.html?spm=a2700.galleryofferlist.normalList.32.8d3e5a6dvF01T9&amp;s=p</t>
  </si>
  <si>
    <t>Productos de Limpieza</t>
  </si>
  <si>
    <t xml:space="preserve">Exprimidor </t>
  </si>
  <si>
    <t>https://spanish.alibaba.com/product-detail/neweek-factory-supply-industrial-stainless-steel-fruit-citrus-juicer-60543814165.html?spm=a2700.8699010.normalList.18.760d68d6D0hiit</t>
  </si>
  <si>
    <t>Botiquin de Primeros Auxilios</t>
  </si>
  <si>
    <t>Llenadora semiautomatica</t>
  </si>
  <si>
    <t>Total Bienes de uso</t>
  </si>
  <si>
    <t>Selladora semiautomatica</t>
  </si>
  <si>
    <t xml:space="preserve">Internacionales </t>
  </si>
  <si>
    <t>Modem</t>
  </si>
  <si>
    <t>Maquinas Operativas</t>
  </si>
  <si>
    <t>Repuestos</t>
  </si>
  <si>
    <t>Percheros</t>
  </si>
  <si>
    <t>b) Gastos asimilables o cargos diferidos</t>
  </si>
  <si>
    <t>Tomacorriente para oficinas</t>
  </si>
  <si>
    <t>Investigaciones y estudios</t>
  </si>
  <si>
    <t>1 Autoelevador</t>
  </si>
  <si>
    <t>https://articulo.mercadolibre.com.ar/MLA-743529125-autoelevador-toyota-diesel-25tn-cdesplazador-torre-triple-_JM</t>
  </si>
  <si>
    <t>Aire Acondicionado</t>
  </si>
  <si>
    <t>Constitución y organización de la empresa</t>
  </si>
  <si>
    <t>2 carros</t>
  </si>
  <si>
    <t>https://articulo.mercadolibre.com.ar/MLA-703996151-carro-y-plataforma-acero-stanley-mt519-zorra-hasta-200-kg-_JM</t>
  </si>
  <si>
    <t>Lockers</t>
  </si>
  <si>
    <t>Gastos de Admin. e Ing. En en período de Instalación</t>
  </si>
  <si>
    <t>Termotanque</t>
  </si>
  <si>
    <t>Gastos de puesta en marcha (AL AÑO 1)</t>
  </si>
  <si>
    <t>Matafuegos</t>
  </si>
  <si>
    <t>Patentes y Licencias</t>
  </si>
  <si>
    <t>http://portalsocietario.com.ar/constitucionsrl-ciudad.html</t>
  </si>
  <si>
    <t>Mesa de cocina</t>
  </si>
  <si>
    <t>Infraestructura en predio ajeno</t>
  </si>
  <si>
    <t>Sueldos+energia+Imp y seguros+capacitacion de MO y Manteniemiento</t>
  </si>
  <si>
    <t>sillas de cocina</t>
  </si>
  <si>
    <t>Microondas</t>
  </si>
  <si>
    <t xml:space="preserve">inicio del tramite de patentamiento </t>
  </si>
  <si>
    <t>Pava Electrica</t>
  </si>
  <si>
    <t>Total gastos asimilables o cargos diferidos</t>
  </si>
  <si>
    <t>Heladera</t>
  </si>
  <si>
    <t>Cafetera</t>
  </si>
  <si>
    <t>c) Total Inversiones iniciales Activo Fijo, sin IVA</t>
  </si>
  <si>
    <t>INVERSIONES EN ACTIVO DE TRABAJO</t>
  </si>
  <si>
    <t>Televisor</t>
  </si>
  <si>
    <t xml:space="preserve">d) IVA </t>
  </si>
  <si>
    <t>Utensillos</t>
  </si>
  <si>
    <t>Platos</t>
  </si>
  <si>
    <t>e) TOTAL INVERSIONES INICIALES ACTIVO FIJO</t>
  </si>
  <si>
    <t xml:space="preserve"> Caja y Bancos:</t>
  </si>
  <si>
    <t>Rubros</t>
  </si>
  <si>
    <t>Vasos</t>
  </si>
  <si>
    <t>Dispenser agua fria y caliente</t>
  </si>
  <si>
    <t>Año 2</t>
  </si>
  <si>
    <t>Año 3</t>
  </si>
  <si>
    <t>Año 4</t>
  </si>
  <si>
    <t>Año 5</t>
  </si>
  <si>
    <t>año 1/5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</si>
  <si>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</si>
  <si>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>persianas</t>
  </si>
  <si>
    <t>Rubro</t>
  </si>
  <si>
    <t>Inversión</t>
  </si>
  <si>
    <t>Coeficiente</t>
  </si>
  <si>
    <t>Alícuotas de amortización</t>
  </si>
  <si>
    <t>año 0</t>
  </si>
  <si>
    <t xml:space="preserve">   a) Disponibilidad Mínima en Caja y Bancos:</t>
  </si>
  <si>
    <t>Valor residual</t>
  </si>
  <si>
    <t>Gastos de adm e ing en instalacion 12 meses</t>
  </si>
  <si>
    <t>Llave termica</t>
  </si>
  <si>
    <t>original</t>
  </si>
  <si>
    <t>Años 1/3</t>
  </si>
  <si>
    <t>Años 4/5</t>
  </si>
  <si>
    <t>sueldos (gerentes)</t>
  </si>
  <si>
    <t xml:space="preserve">   b) Crédito por Ventas</t>
  </si>
  <si>
    <t>Proyector</t>
  </si>
  <si>
    <t>Bienes de Uso</t>
  </si>
  <si>
    <t>capacitacion MOD</t>
  </si>
  <si>
    <t>Cajones plasticos</t>
  </si>
  <si>
    <t xml:space="preserve">   c) Bienes de cambio:</t>
  </si>
  <si>
    <t>energia</t>
  </si>
  <si>
    <t xml:space="preserve">    Stock de materias prima:</t>
  </si>
  <si>
    <t>Cuadernos</t>
  </si>
  <si>
    <t>tasas e imp</t>
  </si>
  <si>
    <t>Estanteria metalica</t>
  </si>
  <si>
    <t>seguros</t>
  </si>
  <si>
    <t xml:space="preserve">Estantes </t>
  </si>
  <si>
    <t>total</t>
  </si>
  <si>
    <t>Calculadoras</t>
  </si>
  <si>
    <t xml:space="preserve">   Stock de materiales:</t>
  </si>
  <si>
    <t>Total</t>
  </si>
  <si>
    <t xml:space="preserve">   Mercadería en curso y semielaborada</t>
  </si>
  <si>
    <t xml:space="preserve">   Stock de elaborados</t>
  </si>
  <si>
    <t>Subtotal</t>
  </si>
  <si>
    <t xml:space="preserve">   d) Total Activo de Trabajo, sin IVA:</t>
  </si>
  <si>
    <t>2. Menos:</t>
  </si>
  <si>
    <t xml:space="preserve">    Amortizaciones en Mercadería en proceso</t>
  </si>
  <si>
    <t>-</t>
  </si>
  <si>
    <t xml:space="preserve">    Amortizaciones en Stock de elaborado</t>
  </si>
  <si>
    <t xml:space="preserve">Cargos Diferidos </t>
  </si>
  <si>
    <t xml:space="preserve">    Utilidades en Crédito por ventas</t>
  </si>
  <si>
    <t>Totales, s/IVA</t>
  </si>
  <si>
    <t xml:space="preserve">    Amortizaciones en Crédito por ventas</t>
  </si>
  <si>
    <t>3. Inversiones en Activo de Trabajo, sin IVA</t>
  </si>
  <si>
    <t>4. Incrementos de Activo de Trabajo</t>
  </si>
  <si>
    <t>Mercadería en proceso</t>
  </si>
  <si>
    <t xml:space="preserve">    Incrementos de Inversión en Activo de Trabajo</t>
  </si>
  <si>
    <t>Materia prima</t>
  </si>
  <si>
    <t>Materiales</t>
  </si>
  <si>
    <t>5. Incrementos IVA sobre Inversiones</t>
  </si>
  <si>
    <t>Energía eléctrica</t>
  </si>
  <si>
    <t xml:space="preserve">    Crédito por Ventas                             </t>
  </si>
  <si>
    <t>Combustibles</t>
  </si>
  <si>
    <t>Plan de Ventas</t>
  </si>
  <si>
    <t xml:space="preserve">    Bienes de cambio:</t>
  </si>
  <si>
    <t xml:space="preserve">               Stock de materia prima</t>
  </si>
  <si>
    <t>año 1</t>
  </si>
  <si>
    <t>año 2</t>
  </si>
  <si>
    <t>año 3</t>
  </si>
  <si>
    <t>año 4</t>
  </si>
  <si>
    <t>año 5</t>
  </si>
  <si>
    <t xml:space="preserve">               Stock de materiales</t>
  </si>
  <si>
    <t>precio</t>
  </si>
  <si>
    <t>Cant en envases</t>
  </si>
  <si>
    <t>COSTO TOTAL DE PRODUCCION</t>
  </si>
  <si>
    <t>Precio</t>
  </si>
  <si>
    <t>Incrementos</t>
  </si>
  <si>
    <t xml:space="preserve">               Mercadería en proceso</t>
  </si>
  <si>
    <t>Gastos en el Area de Producción</t>
  </si>
  <si>
    <t xml:space="preserve">               Stock de elaborados</t>
  </si>
  <si>
    <t xml:space="preserve"> Stock de elaborados</t>
  </si>
  <si>
    <t>consumo de materia prima en el año 1</t>
  </si>
  <si>
    <t xml:space="preserve">   Total incrementos IVA sobre inversiones</t>
  </si>
  <si>
    <t>ciclos de fabricacion</t>
  </si>
  <si>
    <t>Precio xKG de naranja</t>
  </si>
  <si>
    <t>http://www.mercadocentral.gob.ar/servicios/precios-y-vol%C3%BAmenes/precios-mayoristas</t>
  </si>
  <si>
    <t>Mano de obra directa</t>
  </si>
  <si>
    <t>6. Incrementos Inversiones en Activo de Trabajo</t>
  </si>
  <si>
    <t>primeros 3 meses</t>
  </si>
  <si>
    <t>kg</t>
  </si>
  <si>
    <t>Gastos de fabricación:</t>
  </si>
  <si>
    <t>8,5 meses restantes</t>
  </si>
  <si>
    <t>Gasto anual de materia prima</t>
  </si>
  <si>
    <t>Alquiler</t>
  </si>
  <si>
    <t>Amortizaciones</t>
  </si>
  <si>
    <t>total mp produccion</t>
  </si>
  <si>
    <t>Personal indirecto</t>
  </si>
  <si>
    <t>Volumen de prod año 1</t>
  </si>
  <si>
    <t>litros</t>
  </si>
  <si>
    <t>Años 2-5</t>
  </si>
  <si>
    <t>Desp no recuperable</t>
  </si>
  <si>
    <t>Consumo de MP</t>
  </si>
  <si>
    <t>Gasto de fabricación: Amort. del AF</t>
  </si>
  <si>
    <t>Porcentaje</t>
  </si>
  <si>
    <t>Alicuota</t>
  </si>
  <si>
    <t>Amort. Imputada MC y SE (*)</t>
  </si>
  <si>
    <t>Produccion programada</t>
  </si>
  <si>
    <t>Alicuotas años 4 y 5</t>
  </si>
  <si>
    <t>Consumo de materia prima en la mercadería en progreso</t>
  </si>
  <si>
    <t>Consumo Especifico</t>
  </si>
  <si>
    <t>Kg/litro</t>
  </si>
  <si>
    <t>Imputación específica</t>
  </si>
  <si>
    <t>Tasas e impuestos</t>
  </si>
  <si>
    <t>Gasto anual</t>
  </si>
  <si>
    <t>pesos</t>
  </si>
  <si>
    <t>Alicuotas años 1 al 3</t>
  </si>
  <si>
    <t>Volumen de materia prima requerido:</t>
  </si>
  <si>
    <t>Gasto especifico</t>
  </si>
  <si>
    <t>$/litro</t>
  </si>
  <si>
    <t>Alicuota de repuestos</t>
  </si>
  <si>
    <t>Gastos Total de Producción</t>
  </si>
  <si>
    <t>Producto elaborado</t>
  </si>
  <si>
    <t>Total Alicuota anual años 1 a 3</t>
  </si>
  <si>
    <t>Desperdicio no recuperable</t>
  </si>
  <si>
    <t>Imputación específica años 2 y 3</t>
  </si>
  <si>
    <t>% Gasto Constante</t>
  </si>
  <si>
    <t>Desperdicio recuperable</t>
  </si>
  <si>
    <t>Consumo total de MP</t>
  </si>
  <si>
    <t>Imputación específica año 1</t>
  </si>
  <si>
    <t>% Gasto Variable</t>
  </si>
  <si>
    <t>consumo de MP por PT</t>
  </si>
  <si>
    <t>Consumo total de materia prima en el año 1:</t>
  </si>
  <si>
    <t>cons de MP en curso y semi</t>
  </si>
  <si>
    <t>Gastos a activar</t>
  </si>
  <si>
    <t>exces en cons debido puesta marcha</t>
  </si>
  <si>
    <t>Mercadería en Curso y Semielaborada</t>
  </si>
  <si>
    <t>Puesta en marcha</t>
  </si>
  <si>
    <t>Para los productos elaborados</t>
  </si>
  <si>
    <t>Para la mercadería en curso y semielaborados</t>
  </si>
  <si>
    <t>Cost de MP requerida x prod realizad</t>
  </si>
  <si>
    <t>Total consumo de materia prima año</t>
  </si>
  <si>
    <t>Cost de MP por merc en curso y semi</t>
  </si>
  <si>
    <t>Cost exceso de Mp puesta en marcha</t>
  </si>
  <si>
    <t>Año 2 al 5</t>
  </si>
  <si>
    <t>Consumo de materia prima</t>
  </si>
  <si>
    <t>Producción anual</t>
  </si>
  <si>
    <t xml:space="preserve">  Energía eléctrica</t>
  </si>
  <si>
    <t>Desperdicios no recuperables</t>
  </si>
  <si>
    <t xml:space="preserve">  Combustibles</t>
  </si>
  <si>
    <t xml:space="preserve">  Tasas e impuestos</t>
  </si>
  <si>
    <t>Gasto de personal MOI</t>
  </si>
  <si>
    <t xml:space="preserve">  Imprevistos</t>
  </si>
  <si>
    <t xml:space="preserve">Calculo MOD </t>
  </si>
  <si>
    <t>Total gastos a activar</t>
  </si>
  <si>
    <t>cantidad de operarios</t>
  </si>
  <si>
    <t>cant secciones operativas</t>
  </si>
  <si>
    <t>Tipo de persona requerida</t>
  </si>
  <si>
    <t>Sueldo mensual</t>
  </si>
  <si>
    <t xml:space="preserve">Cantidad </t>
  </si>
  <si>
    <t>Cargas soc y adicion</t>
  </si>
  <si>
    <t>Gasto anual total</t>
  </si>
  <si>
    <t>Costo en el Area de Producción</t>
  </si>
  <si>
    <t>cantidad de turnos (8hrs)</t>
  </si>
  <si>
    <t>gerente</t>
  </si>
  <si>
    <t>jornal basico ($/hr)</t>
  </si>
  <si>
    <t>Gerente produccion</t>
  </si>
  <si>
    <t>Cargas sociales</t>
  </si>
  <si>
    <t>Encargado de calidad</t>
  </si>
  <si>
    <t>Menos:</t>
  </si>
  <si>
    <t>Adicionales</t>
  </si>
  <si>
    <t>Encargado de deposito/logistica</t>
  </si>
  <si>
    <t>Gasto de puesta en marcha</t>
  </si>
  <si>
    <t>gasto año 1 = 85% del año2</t>
  </si>
  <si>
    <t>Encargado de mantenimiento</t>
  </si>
  <si>
    <t>Variación Mercadería en proceso</t>
  </si>
  <si>
    <t>Gasto Anual MOI</t>
  </si>
  <si>
    <t>Costo de producción anual</t>
  </si>
  <si>
    <t>Cant total de operarios</t>
  </si>
  <si>
    <t>Gasto específico</t>
  </si>
  <si>
    <t>Costo de prod. Unitario Promedio</t>
  </si>
  <si>
    <t>horas año/operario</t>
  </si>
  <si>
    <t>Gastos en mercadería en curso y SE</t>
  </si>
  <si>
    <t>Jornal ($/hr)</t>
  </si>
  <si>
    <t>Año 1 (85% del año 2)</t>
  </si>
  <si>
    <t>Año 2-5</t>
  </si>
  <si>
    <t>Gasto total Anual</t>
  </si>
  <si>
    <t>Gasto Especifico Año 1</t>
  </si>
  <si>
    <t>Gs en mercadería en curso y SE</t>
  </si>
  <si>
    <t>Gastos en el Area de Administración</t>
  </si>
  <si>
    <t>Personal</t>
  </si>
  <si>
    <t>Amortizaciones de A. Fijo</t>
  </si>
  <si>
    <t>Gasto en Prod Termi</t>
  </si>
  <si>
    <t>Costo unitario</t>
  </si>
  <si>
    <t>Años 2 al 5</t>
  </si>
  <si>
    <t>Gasto en merc curso y semi</t>
  </si>
  <si>
    <t>Electricidad</t>
  </si>
  <si>
    <t xml:space="preserve">Exceso en gasto de mod por puesta en marcha </t>
  </si>
  <si>
    <t>Producción</t>
  </si>
  <si>
    <t>Combustible</t>
  </si>
  <si>
    <t>Varios</t>
  </si>
  <si>
    <t>Mantenimiento</t>
  </si>
  <si>
    <t>Alquiler x Año</t>
  </si>
  <si>
    <t>produccion (50%)</t>
  </si>
  <si>
    <t>Administracion (40%)</t>
  </si>
  <si>
    <t>Costo total de Admistración</t>
  </si>
  <si>
    <t>comercializacion (10%)</t>
  </si>
  <si>
    <t>Gasto Anual</t>
  </si>
  <si>
    <t>*Año 1=85% Año 2</t>
  </si>
  <si>
    <t>Gs en MCySE</t>
  </si>
  <si>
    <t>Gs Pt</t>
  </si>
  <si>
    <t>Gastos en el Area de Comercialización</t>
  </si>
  <si>
    <t>Exceso puesta en marcha</t>
  </si>
  <si>
    <t>Amortizaciones de A.Fijo</t>
  </si>
  <si>
    <t>consumo de EE (Kw)</t>
  </si>
  <si>
    <t>Energía Eléctrica</t>
  </si>
  <si>
    <t>Consumo en m3/mes</t>
  </si>
  <si>
    <t>Precio mt. Cúbico ($)</t>
  </si>
  <si>
    <t>Total año 2-5</t>
  </si>
  <si>
    <t>Total Año 1</t>
  </si>
  <si>
    <t>Gs especifico Años 1-5</t>
  </si>
  <si>
    <t>Gs MCySE</t>
  </si>
  <si>
    <t>Gs PT año 1</t>
  </si>
  <si>
    <t>Gas envasado</t>
  </si>
  <si>
    <t>Gastos de Fabricación: pago de tasas e impuestos</t>
  </si>
  <si>
    <t>U de medida</t>
  </si>
  <si>
    <t>periodo de instalación</t>
  </si>
  <si>
    <t>Año 2 a 5</t>
  </si>
  <si>
    <t>cargo fijo</t>
  </si>
  <si>
    <t>Ventas</t>
  </si>
  <si>
    <t>U. PT</t>
  </si>
  <si>
    <t>Costo total de Comercialización</t>
  </si>
  <si>
    <t>horas activas por año</t>
  </si>
  <si>
    <t>tasa municipal anual</t>
  </si>
  <si>
    <t>Stock promedio elaborado</t>
  </si>
  <si>
    <t>precio del KW/h</t>
  </si>
  <si>
    <t>impuesto inm. anual</t>
  </si>
  <si>
    <t>Desperdicio NR</t>
  </si>
  <si>
    <t>Kg MP</t>
  </si>
  <si>
    <t>En curso y Semielaborado</t>
  </si>
  <si>
    <t>tasa municipal</t>
  </si>
  <si>
    <t>Consumo MP</t>
  </si>
  <si>
    <t>impuesto inmobiliario</t>
  </si>
  <si>
    <t>Stock MP</t>
  </si>
  <si>
    <t>COSTO TOTAL Y RESULTADO A NIVEL ECONOMICO</t>
  </si>
  <si>
    <t>IVA plan de Explotación, Cancelación del Credito Fiscal y pago al Fisco por IVA</t>
  </si>
  <si>
    <t>Gasto anual producción</t>
  </si>
  <si>
    <t>TOTALES PARA LAS TRES AREAS</t>
  </si>
  <si>
    <t>Compra MP</t>
  </si>
  <si>
    <t>Rubros que abonan IVA</t>
  </si>
  <si>
    <t>Gs PT</t>
  </si>
  <si>
    <t>Materia Prima</t>
  </si>
  <si>
    <t>gasto especifico</t>
  </si>
  <si>
    <t>Venta anual, en Unidades Producto 1</t>
  </si>
  <si>
    <t>Exceso puesta marcha</t>
  </si>
  <si>
    <t>gasto en MeP y SE</t>
  </si>
  <si>
    <t>Precio de venta Producto 1</t>
  </si>
  <si>
    <t>Seguros</t>
  </si>
  <si>
    <t>Antes no hablaba de seguros</t>
  </si>
  <si>
    <t>no hay gastos varios en produccion si en ADM y COM</t>
  </si>
  <si>
    <t>VENTAS ANUALES</t>
  </si>
  <si>
    <t>Menos: Puesta en marcha</t>
  </si>
  <si>
    <t xml:space="preserve">Consumo de materia prima </t>
  </si>
  <si>
    <t xml:space="preserve">   (s/mano de obra directa)</t>
  </si>
  <si>
    <t>gasto específico</t>
  </si>
  <si>
    <t>Merc. en proceso</t>
  </si>
  <si>
    <t>Stock elaborados</t>
  </si>
  <si>
    <t>Total Area Producción</t>
  </si>
  <si>
    <t>Total Area Administración</t>
  </si>
  <si>
    <t>Gastos de fabricación</t>
  </si>
  <si>
    <t>Gastos de Producción</t>
  </si>
  <si>
    <t>Total Area Comercialización</t>
  </si>
  <si>
    <t>IVA total abonado por insumos</t>
  </si>
  <si>
    <t>IVA total cobrado por ventas</t>
  </si>
  <si>
    <t>personal administrativo</t>
  </si>
  <si>
    <t>Personal comercial</t>
  </si>
  <si>
    <t>Tipo de personal requerido</t>
  </si>
  <si>
    <t>a) IVA diferencia</t>
  </si>
  <si>
    <t>b) Crédito Fiscal Anterior</t>
  </si>
  <si>
    <t>Carga social</t>
  </si>
  <si>
    <t>Gasto total</t>
  </si>
  <si>
    <t>COSTO DE PRODUCCION ANUAL</t>
  </si>
  <si>
    <t>c) Crédito Fiscal del Año</t>
  </si>
  <si>
    <t>d) Crédito Fiscal Final Año</t>
  </si>
  <si>
    <t>Producción anual en Unidades</t>
  </si>
  <si>
    <t>Gerente administrativo</t>
  </si>
  <si>
    <t>e) Recuepro de Credito Fiscal</t>
  </si>
  <si>
    <t xml:space="preserve">    Pago al Fisco por IVA</t>
  </si>
  <si>
    <t>Gerente comercial</t>
  </si>
  <si>
    <t>Costo de producción unitario Promedio</t>
  </si>
  <si>
    <t>Gerente gral (1/3)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</si>
  <si>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</si>
  <si>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</si>
  <si>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</si>
  <si>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</si>
  <si>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</si>
  <si>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</si>
  <si>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Amortizaciones </t>
  </si>
  <si>
    <t xml:space="preserve">Se supone gasto igual a administracion </t>
  </si>
  <si>
    <t xml:space="preserve">    Asimilables</t>
  </si>
  <si>
    <t>Variación de Stock de Elaborado</t>
  </si>
  <si>
    <t>credito por ventas:</t>
  </si>
  <si>
    <t>Energia Electrica</t>
  </si>
  <si>
    <t>idem</t>
  </si>
  <si>
    <t>COSTO DE PRODUCCION DE LO VENDIDO</t>
  </si>
  <si>
    <t>Amortizaciones ADM</t>
  </si>
  <si>
    <t>Imputación de amortización del activo fijo</t>
  </si>
  <si>
    <t xml:space="preserve">    Subtotal Activo Fijo</t>
  </si>
  <si>
    <t>GASTO DE ADMINISTRACION</t>
  </si>
  <si>
    <t>Inversiones en A. de Trabajo</t>
  </si>
  <si>
    <t>Total Anual</t>
  </si>
  <si>
    <t xml:space="preserve">   Disp. mínimas C y B</t>
  </si>
  <si>
    <t>Gastos por el pago de tasas e impuestos: (municipal, inmobiliario y automotor, idem a adm)</t>
  </si>
  <si>
    <t xml:space="preserve">GASTO DE COMERCIALIZACION </t>
  </si>
  <si>
    <t>Años 1-3</t>
  </si>
  <si>
    <t>merc en proc</t>
  </si>
  <si>
    <t>Tasa</t>
  </si>
  <si>
    <t xml:space="preserve">   Crédito por ventas</t>
  </si>
  <si>
    <t>Años 4-5</t>
  </si>
  <si>
    <t>Impuesto ing. Bruto</t>
  </si>
  <si>
    <t xml:space="preserve">   Bienes de cambio:</t>
  </si>
  <si>
    <t xml:space="preserve">     Stock de Materia Prima</t>
  </si>
  <si>
    <t>COSTO ANUAL DE LO VENDIDO</t>
  </si>
  <si>
    <t>Tasa municipal</t>
  </si>
  <si>
    <t>stock elaborados</t>
  </si>
  <si>
    <t>Materiales ADM</t>
  </si>
  <si>
    <t>Costo total unitario promedio</t>
  </si>
  <si>
    <t xml:space="preserve">     Stock de Materiales</t>
  </si>
  <si>
    <t>Descripción</t>
  </si>
  <si>
    <t>Costo anual</t>
  </si>
  <si>
    <t>UTILIDAD ECONOMICA (a/H. D. e Impuesto)</t>
  </si>
  <si>
    <t xml:space="preserve">     Mercadería en proceso</t>
  </si>
  <si>
    <t xml:space="preserve">     Stock de Elaborados</t>
  </si>
  <si>
    <t>5% mantenimiento produccion</t>
  </si>
  <si>
    <t xml:space="preserve">    Subtotal Activo Trabajo</t>
  </si>
  <si>
    <t>Papelería y útiles</t>
  </si>
  <si>
    <t>1% costo prod anual</t>
  </si>
  <si>
    <t>IVA:</t>
  </si>
  <si>
    <t xml:space="preserve">Impuesto a la ganancia </t>
  </si>
  <si>
    <t xml:space="preserve">    por inversión A. Fijo</t>
  </si>
  <si>
    <t>Artículos de limpieza y tocador</t>
  </si>
  <si>
    <t>3% de los sueldos</t>
  </si>
  <si>
    <t xml:space="preserve">    por inversión A. T.</t>
  </si>
  <si>
    <t xml:space="preserve">   Subtotal IVA Inversión</t>
  </si>
  <si>
    <t>UTILIDAD ECONOMICA (d/H.D. e Impuesto)</t>
  </si>
  <si>
    <t>Inversiones Totales</t>
  </si>
  <si>
    <t>% sobre VENTAS</t>
  </si>
  <si>
    <t>Combustible: gas</t>
  </si>
  <si>
    <t>Total anual</t>
  </si>
  <si>
    <t>FONDOS AUTOGENERADOS</t>
  </si>
  <si>
    <t>Consumo (m3 bimestrales)</t>
  </si>
  <si>
    <t>Precio ($/m3)</t>
  </si>
  <si>
    <t>Utilidad Económica (d/H.D. e Impuesto)</t>
  </si>
  <si>
    <t>Amortización anual</t>
  </si>
  <si>
    <t>Empaque y embalaje</t>
  </si>
  <si>
    <t>0.75 pesos por unidad</t>
  </si>
  <si>
    <t>Gastos por tasas e impuestos</t>
  </si>
  <si>
    <t>Adm</t>
  </si>
  <si>
    <t>Total Año 2-5</t>
  </si>
  <si>
    <t>Costo Constante Sector de Producción</t>
  </si>
  <si>
    <t>imp. Inmobiliario</t>
  </si>
  <si>
    <t>Costo Variable Sector de Producción</t>
  </si>
  <si>
    <t>imp. Automotor</t>
  </si>
  <si>
    <t>Costo Constante Sector de Administración</t>
  </si>
  <si>
    <t>imp sellos</t>
  </si>
  <si>
    <t>Costo Variable Sector de Administración</t>
  </si>
  <si>
    <t>imp débitos y créditos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</si>
  <si>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</si>
  <si>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</si>
  <si>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</si>
  <si>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</si>
  <si>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</si>
  <si>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% de ventas esperado</t>
  </si>
  <si>
    <t>Monto del % de ventas</t>
  </si>
  <si>
    <t>Costo fijo</t>
  </si>
  <si>
    <t>Costo Variable</t>
  </si>
  <si>
    <t>Costo total</t>
  </si>
  <si>
    <t xml:space="preserve">  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</si>
  <si>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</si>
  <si>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</si>
  <si>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</si>
  <si>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</si>
  <si>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</si>
  <si>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</si>
  <si>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</si>
  <si>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</si>
  <si>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</si>
  <si>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</si>
  <si>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</si>
  <si>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</si>
  <si>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</si>
  <si>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</si>
  <si>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</si>
  <si>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</si>
  <si>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</si>
  <si>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</si>
  <si>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</si>
  <si>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</si>
  <si>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</si>
  <si>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</si>
  <si>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 xml:space="preserve"> 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</si>
  <si>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</si>
  <si>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</si>
  <si>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</si>
  <si>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</si>
  <si>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</si>
  <si>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</si>
  <si>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</si>
  <si>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</si>
  <si>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</si>
  <si>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</si>
  <si>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</si>
  <si>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</si>
  <si>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CUADRO DE RESULTADOS PROFORMA</t>
  </si>
  <si>
    <t>amortización</t>
  </si>
  <si>
    <t>interés</t>
  </si>
  <si>
    <t xml:space="preserve">deuda </t>
  </si>
  <si>
    <t>gasto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</si>
  <si>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</si>
  <si>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</si>
  <si>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</si>
  <si>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</si>
  <si>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</si>
  <si>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</si>
  <si>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semestral</t>
  </si>
  <si>
    <t>prom. anual</t>
  </si>
  <si>
    <t>kd</t>
  </si>
  <si>
    <t>bancario</t>
  </si>
  <si>
    <t>RESULTADO (a/Hon. e Imp.)</t>
  </si>
  <si>
    <t>Menos: Honorarios al Direct.</t>
  </si>
  <si>
    <t>Menos: Impuesto a la Ganancia</t>
  </si>
  <si>
    <t>RESULTADO (d/Hon. e Imp.)</t>
  </si>
  <si>
    <t>gastos preoperativos:</t>
  </si>
  <si>
    <t>Totales: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</si>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</sst>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0\ %"/>
    <numFmt numFmtId="165" formatCode="_(\$* #,##0.00_);_(\$* \(#,##0.00\);_(\$* \-??_);_(@_)"/>
    <numFmt numFmtId="166" formatCode="_(\$* #,##0.00_);_(\$* \(#,##0.00\);_(\$* \-??.00_);_(@_)"/>
    <numFmt numFmtId="167" formatCode="_(\$* #,##0.000_);_(\$* \(#,##0.000\);_(\$* \-??.0_);_(@_)"/>
    <numFmt numFmtId="168" formatCode="0.0"/>
    <numFmt numFmtId="169" formatCode="0.000%"/>
    <numFmt numFmtId="170" formatCode="#,##0.000"/>
    <numFmt numFmtId="171" formatCode="0.000"/>
    <numFmt numFmtId="172" formatCode="d/m"/>
    <numFmt numFmtId="173" formatCode="#,##0.0"/>
    <numFmt numFmtId="174" formatCode="#,##0.00\ [$€-1]"/>
    <numFmt numFmtId="175" formatCode="_(* #,##0.00_);_(* \(#,##0.00\);_(* \-??_);_(@_)"/>
    <numFmt numFmtId="176" formatCode="#,##0.0000"/>
    <numFmt numFmtId="177" formatCode="_(\$* #,##0.0_);_(\$* \(#,##0.0\);_(\$* \-??_);_(@_)"/>
    <numFmt numFmtId="178" formatCode="0.0%"/>
    <numFmt numFmtId="179" formatCode="[$ $]#,##0.00"/>
    <numFmt numFmtId="180" formatCode="[$ $]#,##0"/>
    <numFmt numFmtId="181" formatCode="d&quot; de &quot;mmm&quot; de &quot;yy"/>
    <numFmt numFmtId="182" formatCode="&quot;$&quot;\ #,##0"/>
  </numFmts>
  <fonts count="22">
    <font>
      <sz val="10"/>
      <color rgb="FF00000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z val="11"/>
      <color rgb="FF000000"/>
      <name val="Inconsolata"/>
    </font>
    <font>
      <u/>
      <sz val="10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u/>
      <sz val="11"/>
      <name val="Calibri"/>
      <family val="2"/>
    </font>
    <font>
      <sz val="8"/>
      <name val="Arial"/>
      <family val="2"/>
    </font>
    <font>
      <sz val="12"/>
      <name val="Noto Sans Symbols"/>
    </font>
  </fonts>
  <fills count="14">
    <fill>
      <patternFill patternType="none"/>
    </fill>
    <fill>
      <patternFill patternType="gray125"/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DDEBF7"/>
        <bgColor rgb="FFDDEBF7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91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hair">
        <color rgb="FF000000"/>
      </top>
      <bottom/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hair">
        <color rgb="FF000000"/>
      </left>
      <right/>
      <top/>
      <bottom/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 style="thin">
        <color rgb="FF3333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00"/>
      </bottom>
      <diagonal/>
    </border>
    <border>
      <left/>
      <right style="thin">
        <color rgb="FF000000"/>
      </right>
      <top style="thin">
        <color rgb="FF0000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/>
      <right style="thin">
        <color rgb="FF333300"/>
      </right>
      <top/>
      <bottom style="thin">
        <color rgb="FF333300"/>
      </bottom>
      <diagonal/>
    </border>
    <border>
      <left/>
      <right/>
      <top/>
      <bottom style="thin">
        <color rgb="FF333300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/>
      <top/>
      <bottom style="thin">
        <color rgb="FF333300"/>
      </bottom>
      <diagonal/>
    </border>
    <border>
      <left style="thin">
        <color rgb="FF333300"/>
      </left>
      <right/>
      <top/>
      <bottom/>
      <diagonal/>
    </border>
    <border>
      <left/>
      <right style="thin">
        <color rgb="FF3333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2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5" fillId="0" borderId="0" xfId="0" applyFont="1" applyAlignment="1"/>
    <xf numFmtId="0" fontId="6" fillId="0" borderId="5" xfId="0" applyFont="1" applyBorder="1" applyAlignment="1"/>
    <xf numFmtId="0" fontId="2" fillId="0" borderId="0" xfId="0" applyFont="1" applyAlignment="1">
      <alignment horizontal="right"/>
    </xf>
    <xf numFmtId="0" fontId="6" fillId="0" borderId="6" xfId="0" applyFont="1" applyBorder="1" applyAlignment="1"/>
    <xf numFmtId="9" fontId="2" fillId="3" borderId="1" xfId="0" applyNumberFormat="1" applyFont="1" applyFill="1" applyBorder="1" applyAlignment="1"/>
    <xf numFmtId="0" fontId="6" fillId="0" borderId="5" xfId="0" applyFont="1" applyBorder="1" applyAlignment="1"/>
    <xf numFmtId="0" fontId="8" fillId="0" borderId="8" xfId="0" applyFont="1" applyBorder="1" applyAlignment="1"/>
    <xf numFmtId="0" fontId="9" fillId="0" borderId="16" xfId="0" applyFont="1" applyBorder="1" applyAlignment="1"/>
    <xf numFmtId="10" fontId="2" fillId="3" borderId="1" xfId="0" applyNumberFormat="1" applyFont="1" applyFill="1" applyBorder="1" applyAlignment="1"/>
    <xf numFmtId="0" fontId="9" fillId="0" borderId="17" xfId="0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/>
    <xf numFmtId="0" fontId="8" fillId="0" borderId="21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4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5" fillId="0" borderId="24" xfId="0" applyFont="1" applyBorder="1" applyAlignment="1"/>
    <xf numFmtId="0" fontId="5" fillId="0" borderId="25" xfId="0" applyFont="1" applyBorder="1" applyAlignment="1"/>
    <xf numFmtId="0" fontId="9" fillId="0" borderId="17" xfId="0" applyFont="1" applyBorder="1" applyAlignment="1">
      <alignment horizontal="center"/>
    </xf>
    <xf numFmtId="0" fontId="2" fillId="0" borderId="26" xfId="0" applyFont="1" applyBorder="1" applyAlignment="1"/>
    <xf numFmtId="0" fontId="5" fillId="0" borderId="27" xfId="0" applyFont="1" applyBorder="1" applyAlignment="1"/>
    <xf numFmtId="0" fontId="5" fillId="0" borderId="26" xfId="0" applyFont="1" applyBorder="1" applyAlignment="1"/>
    <xf numFmtId="164" fontId="2" fillId="3" borderId="1" xfId="0" applyNumberFormat="1" applyFont="1" applyFill="1" applyBorder="1" applyAlignment="1">
      <alignment horizontal="center"/>
    </xf>
    <xf numFmtId="165" fontId="5" fillId="0" borderId="27" xfId="0" applyNumberFormat="1" applyFont="1" applyBorder="1" applyAlignment="1"/>
    <xf numFmtId="0" fontId="5" fillId="5" borderId="28" xfId="0" applyFont="1" applyFill="1" applyBorder="1" applyAlignment="1"/>
    <xf numFmtId="165" fontId="5" fillId="0" borderId="27" xfId="0" applyNumberFormat="1" applyFont="1" applyBorder="1" applyAlignment="1"/>
    <xf numFmtId="0" fontId="5" fillId="5" borderId="29" xfId="0" applyFont="1" applyFill="1" applyBorder="1" applyAlignment="1"/>
    <xf numFmtId="0" fontId="2" fillId="0" borderId="0" xfId="0" applyFont="1" applyAlignment="1"/>
    <xf numFmtId="0" fontId="5" fillId="5" borderId="30" xfId="0" applyFont="1" applyFill="1" applyBorder="1" applyAlignment="1"/>
    <xf numFmtId="0" fontId="11" fillId="0" borderId="0" xfId="0" applyFont="1" applyAlignment="1"/>
    <xf numFmtId="0" fontId="5" fillId="5" borderId="1" xfId="0" applyFont="1" applyFill="1" applyBorder="1" applyAlignment="1"/>
    <xf numFmtId="0" fontId="5" fillId="0" borderId="0" xfId="0" applyFont="1" applyAlignment="1"/>
    <xf numFmtId="0" fontId="9" fillId="0" borderId="16" xfId="0" applyFont="1" applyBorder="1" applyAlignment="1"/>
    <xf numFmtId="4" fontId="5" fillId="5" borderId="1" xfId="0" applyNumberFormat="1" applyFont="1" applyFill="1" applyBorder="1" applyAlignment="1"/>
    <xf numFmtId="0" fontId="2" fillId="0" borderId="0" xfId="0" applyFont="1" applyAlignment="1"/>
    <xf numFmtId="0" fontId="5" fillId="5" borderId="31" xfId="0" applyFont="1" applyFill="1" applyBorder="1" applyAlignment="1"/>
    <xf numFmtId="0" fontId="4" fillId="0" borderId="0" xfId="0" applyFont="1" applyAlignment="1"/>
    <xf numFmtId="0" fontId="7" fillId="0" borderId="0" xfId="0" applyFont="1" applyAlignment="1"/>
    <xf numFmtId="0" fontId="5" fillId="0" borderId="26" xfId="0" applyFont="1" applyBorder="1" applyAlignment="1">
      <alignment horizontal="left"/>
    </xf>
    <xf numFmtId="9" fontId="5" fillId="0" borderId="0" xfId="0" applyNumberFormat="1" applyFont="1" applyAlignment="1"/>
    <xf numFmtId="0" fontId="5" fillId="5" borderId="35" xfId="0" applyFont="1" applyFill="1" applyBorder="1" applyAlignment="1"/>
    <xf numFmtId="0" fontId="5" fillId="5" borderId="1" xfId="0" applyFont="1" applyFill="1" applyBorder="1" applyAlignment="1"/>
    <xf numFmtId="166" fontId="5" fillId="0" borderId="27" xfId="0" applyNumberFormat="1" applyFont="1" applyBorder="1" applyAlignment="1"/>
    <xf numFmtId="1" fontId="5" fillId="0" borderId="0" xfId="0" applyNumberFormat="1" applyFont="1" applyAlignment="1"/>
    <xf numFmtId="3" fontId="2" fillId="0" borderId="0" xfId="0" applyNumberFormat="1" applyFont="1" applyAlignment="1"/>
    <xf numFmtId="4" fontId="5" fillId="0" borderId="0" xfId="0" applyNumberFormat="1" applyFont="1" applyAlignment="1"/>
    <xf numFmtId="0" fontId="5" fillId="6" borderId="5" xfId="0" applyFont="1" applyFill="1" applyBorder="1" applyAlignment="1"/>
    <xf numFmtId="165" fontId="5" fillId="0" borderId="0" xfId="0" applyNumberFormat="1" applyFont="1" applyAlignment="1"/>
    <xf numFmtId="0" fontId="5" fillId="6" borderId="0" xfId="0" applyFont="1" applyFill="1" applyAlignment="1"/>
    <xf numFmtId="0" fontId="5" fillId="6" borderId="0" xfId="0" applyFont="1" applyFill="1" applyAlignment="1"/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/>
    <xf numFmtId="165" fontId="5" fillId="0" borderId="22" xfId="0" applyNumberFormat="1" applyFont="1" applyBorder="1" applyAlignment="1"/>
    <xf numFmtId="0" fontId="2" fillId="0" borderId="26" xfId="0" applyFont="1" applyBorder="1" applyAlignment="1">
      <alignment horizontal="center"/>
    </xf>
    <xf numFmtId="0" fontId="12" fillId="0" borderId="16" xfId="0" applyFont="1" applyBorder="1" applyAlignment="1"/>
    <xf numFmtId="0" fontId="12" fillId="0" borderId="17" xfId="0" applyFont="1" applyBorder="1" applyAlignment="1">
      <alignment horizontal="center"/>
    </xf>
    <xf numFmtId="0" fontId="2" fillId="0" borderId="38" xfId="0" applyFont="1" applyBorder="1" applyAlignment="1"/>
    <xf numFmtId="0" fontId="2" fillId="0" borderId="8" xfId="0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5" fontId="5" fillId="0" borderId="40" xfId="0" applyNumberFormat="1" applyFont="1" applyBorder="1" applyAlignment="1">
      <alignment horizontal="center"/>
    </xf>
    <xf numFmtId="0" fontId="2" fillId="0" borderId="41" xfId="0" applyFont="1" applyBorder="1" applyAlignment="1"/>
    <xf numFmtId="165" fontId="5" fillId="0" borderId="27" xfId="0" applyNumberFormat="1" applyFont="1" applyBorder="1" applyAlignment="1">
      <alignment horizontal="center"/>
    </xf>
    <xf numFmtId="0" fontId="2" fillId="0" borderId="21" xfId="0" applyFont="1" applyBorder="1" applyAlignment="1"/>
    <xf numFmtId="0" fontId="2" fillId="0" borderId="23" xfId="0" applyFont="1" applyBorder="1" applyAlignment="1"/>
    <xf numFmtId="0" fontId="2" fillId="0" borderId="8" xfId="0" applyFont="1" applyBorder="1" applyAlignment="1"/>
    <xf numFmtId="165" fontId="5" fillId="0" borderId="39" xfId="0" applyNumberFormat="1" applyFont="1" applyBorder="1" applyAlignment="1"/>
    <xf numFmtId="0" fontId="5" fillId="0" borderId="39" xfId="0" applyFont="1" applyBorder="1" applyAlignment="1">
      <alignment horizontal="center"/>
    </xf>
    <xf numFmtId="0" fontId="13" fillId="6" borderId="0" xfId="0" applyFont="1" applyFill="1" applyAlignment="1"/>
    <xf numFmtId="0" fontId="5" fillId="0" borderId="41" xfId="0" applyFont="1" applyBorder="1" applyAlignment="1"/>
    <xf numFmtId="0" fontId="5" fillId="0" borderId="38" xfId="0" applyFont="1" applyBorder="1" applyAlignment="1"/>
    <xf numFmtId="0" fontId="2" fillId="0" borderId="24" xfId="0" applyFont="1" applyBorder="1" applyAlignment="1"/>
    <xf numFmtId="165" fontId="5" fillId="0" borderId="42" xfId="0" applyNumberFormat="1" applyFont="1" applyBorder="1" applyAlignment="1">
      <alignment horizontal="center"/>
    </xf>
    <xf numFmtId="165" fontId="5" fillId="0" borderId="25" xfId="0" applyNumberFormat="1" applyFont="1" applyBorder="1" applyAlignment="1"/>
    <xf numFmtId="0" fontId="5" fillId="0" borderId="25" xfId="0" applyFont="1" applyBorder="1" applyAlignment="1">
      <alignment horizontal="center"/>
    </xf>
    <xf numFmtId="0" fontId="5" fillId="0" borderId="40" xfId="0" applyFont="1" applyBorder="1" applyAlignment="1"/>
    <xf numFmtId="3" fontId="5" fillId="0" borderId="0" xfId="0" applyNumberFormat="1" applyFont="1" applyAlignment="1"/>
    <xf numFmtId="165" fontId="5" fillId="0" borderId="42" xfId="0" applyNumberFormat="1" applyFont="1" applyBorder="1" applyAlignment="1"/>
    <xf numFmtId="167" fontId="5" fillId="0" borderId="27" xfId="0" applyNumberFormat="1" applyFont="1" applyBorder="1" applyAlignment="1"/>
    <xf numFmtId="0" fontId="4" fillId="4" borderId="5" xfId="0" applyFont="1" applyFill="1" applyBorder="1" applyAlignment="1"/>
    <xf numFmtId="0" fontId="4" fillId="4" borderId="5" xfId="0" applyFont="1" applyFill="1" applyBorder="1"/>
    <xf numFmtId="0" fontId="5" fillId="4" borderId="5" xfId="0" applyFont="1" applyFill="1" applyBorder="1" applyAlignment="1"/>
    <xf numFmtId="0" fontId="12" fillId="0" borderId="5" xfId="0" applyFont="1" applyBorder="1" applyAlignment="1"/>
    <xf numFmtId="0" fontId="12" fillId="0" borderId="5" xfId="0" applyFont="1" applyBorder="1" applyAlignment="1">
      <alignment horizontal="center"/>
    </xf>
    <xf numFmtId="165" fontId="13" fillId="6" borderId="0" xfId="0" applyNumberFormat="1" applyFont="1" applyFill="1"/>
    <xf numFmtId="0" fontId="12" fillId="0" borderId="0" xfId="0" applyFont="1" applyAlignment="1"/>
    <xf numFmtId="165" fontId="5" fillId="0" borderId="2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5" fillId="6" borderId="27" xfId="0" applyNumberFormat="1" applyFont="1" applyFill="1" applyBorder="1" applyAlignment="1">
      <alignment horizontal="center"/>
    </xf>
    <xf numFmtId="167" fontId="5" fillId="0" borderId="27" xfId="0" applyNumberFormat="1" applyFont="1" applyBorder="1" applyAlignment="1"/>
    <xf numFmtId="165" fontId="5" fillId="6" borderId="4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168" fontId="5" fillId="0" borderId="27" xfId="0" applyNumberFormat="1" applyFont="1" applyBorder="1" applyAlignment="1">
      <alignment horizontal="center"/>
    </xf>
    <xf numFmtId="167" fontId="5" fillId="0" borderId="27" xfId="0" applyNumberFormat="1" applyFont="1" applyBorder="1" applyAlignment="1">
      <alignment horizontal="center"/>
    </xf>
    <xf numFmtId="168" fontId="5" fillId="0" borderId="27" xfId="0" applyNumberFormat="1" applyFont="1" applyBorder="1" applyAlignment="1"/>
    <xf numFmtId="4" fontId="5" fillId="0" borderId="27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168" fontId="5" fillId="0" borderId="0" xfId="0" applyNumberFormat="1" applyFont="1" applyAlignment="1"/>
    <xf numFmtId="167" fontId="5" fillId="0" borderId="22" xfId="0" applyNumberFormat="1" applyFont="1" applyBorder="1" applyAlignment="1"/>
    <xf numFmtId="165" fontId="5" fillId="0" borderId="23" xfId="0" applyNumberFormat="1" applyFont="1" applyBorder="1" applyAlignment="1"/>
    <xf numFmtId="168" fontId="2" fillId="0" borderId="0" xfId="0" applyNumberFormat="1" applyFont="1" applyAlignment="1">
      <alignment horizontal="center"/>
    </xf>
    <xf numFmtId="0" fontId="12" fillId="0" borderId="0" xfId="0" applyFont="1" applyAlignment="1"/>
    <xf numFmtId="0" fontId="4" fillId="0" borderId="44" xfId="0" applyFont="1" applyBorder="1"/>
    <xf numFmtId="0" fontId="15" fillId="7" borderId="5" xfId="0" applyFont="1" applyFill="1" applyBorder="1" applyAlignment="1"/>
    <xf numFmtId="0" fontId="15" fillId="7" borderId="6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3" fontId="15" fillId="8" borderId="5" xfId="0" applyNumberFormat="1" applyFont="1" applyFill="1" applyBorder="1" applyAlignment="1">
      <alignment horizontal="right"/>
    </xf>
    <xf numFmtId="3" fontId="15" fillId="8" borderId="17" xfId="0" applyNumberFormat="1" applyFont="1" applyFill="1" applyBorder="1" applyAlignment="1">
      <alignment horizontal="right"/>
    </xf>
    <xf numFmtId="0" fontId="15" fillId="8" borderId="16" xfId="0" applyFont="1" applyFill="1" applyBorder="1" applyAlignment="1"/>
    <xf numFmtId="0" fontId="15" fillId="8" borderId="17" xfId="0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168" fontId="5" fillId="0" borderId="27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9" fillId="0" borderId="44" xfId="0" applyFont="1" applyBorder="1" applyAlignment="1"/>
    <xf numFmtId="0" fontId="9" fillId="0" borderId="45" xfId="0" applyFont="1" applyBorder="1" applyAlignment="1"/>
    <xf numFmtId="4" fontId="5" fillId="0" borderId="25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168" fontId="5" fillId="0" borderId="47" xfId="0" applyNumberFormat="1" applyFont="1" applyBorder="1" applyAlignment="1">
      <alignment horizontal="center"/>
    </xf>
    <xf numFmtId="0" fontId="4" fillId="0" borderId="48" xfId="0" applyFont="1" applyBorder="1"/>
    <xf numFmtId="168" fontId="5" fillId="0" borderId="49" xfId="0" applyNumberFormat="1" applyFont="1" applyBorder="1" applyAlignment="1"/>
    <xf numFmtId="4" fontId="5" fillId="0" borderId="0" xfId="0" applyNumberFormat="1" applyFont="1" applyAlignment="1"/>
    <xf numFmtId="4" fontId="5" fillId="0" borderId="42" xfId="0" applyNumberFormat="1" applyFont="1" applyBorder="1" applyAlignment="1">
      <alignment horizontal="center"/>
    </xf>
    <xf numFmtId="0" fontId="2" fillId="0" borderId="50" xfId="0" applyFont="1" applyBorder="1" applyAlignment="1"/>
    <xf numFmtId="0" fontId="9" fillId="0" borderId="46" xfId="0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/>
    <xf numFmtId="4" fontId="5" fillId="0" borderId="42" xfId="0" applyNumberFormat="1" applyFont="1" applyBorder="1" applyAlignment="1"/>
    <xf numFmtId="0" fontId="9" fillId="0" borderId="48" xfId="0" applyFont="1" applyBorder="1" applyAlignment="1"/>
    <xf numFmtId="4" fontId="5" fillId="0" borderId="44" xfId="0" applyNumberFormat="1" applyFont="1" applyBorder="1" applyAlignment="1"/>
    <xf numFmtId="0" fontId="5" fillId="0" borderId="45" xfId="0" applyFont="1" applyBorder="1" applyAlignment="1"/>
    <xf numFmtId="0" fontId="5" fillId="0" borderId="26" xfId="0" applyFont="1" applyBorder="1" applyAlignment="1"/>
    <xf numFmtId="0" fontId="4" fillId="0" borderId="46" xfId="0" applyFont="1" applyBorder="1"/>
    <xf numFmtId="0" fontId="4" fillId="0" borderId="46" xfId="0" applyFont="1" applyBorder="1" applyAlignment="1"/>
    <xf numFmtId="4" fontId="4" fillId="0" borderId="0" xfId="0" applyNumberFormat="1" applyFont="1"/>
    <xf numFmtId="0" fontId="4" fillId="0" borderId="48" xfId="0" applyFont="1" applyBorder="1" applyAlignment="1"/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9" fillId="0" borderId="46" xfId="0" applyFont="1" applyBorder="1" applyAlignment="1"/>
    <xf numFmtId="0" fontId="17" fillId="9" borderId="46" xfId="0" applyFont="1" applyFill="1" applyBorder="1" applyAlignment="1">
      <alignment horizontal="center"/>
    </xf>
    <xf numFmtId="4" fontId="17" fillId="0" borderId="0" xfId="0" applyNumberFormat="1" applyFont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" fontId="17" fillId="0" borderId="48" xfId="0" applyNumberFormat="1" applyFont="1" applyBorder="1" applyAlignment="1">
      <alignment horizontal="center"/>
    </xf>
    <xf numFmtId="4" fontId="17" fillId="0" borderId="48" xfId="0" applyNumberFormat="1" applyFont="1" applyBorder="1" applyAlignment="1">
      <alignment horizontal="center"/>
    </xf>
    <xf numFmtId="4" fontId="13" fillId="6" borderId="0" xfId="0" applyNumberFormat="1" applyFont="1" applyFill="1"/>
    <xf numFmtId="0" fontId="9" fillId="0" borderId="0" xfId="0" applyFont="1" applyAlignment="1">
      <alignment horizontal="right"/>
    </xf>
    <xf numFmtId="0" fontId="9" fillId="0" borderId="48" xfId="0" applyFont="1" applyBorder="1" applyAlignment="1"/>
    <xf numFmtId="0" fontId="5" fillId="0" borderId="51" xfId="0" applyFont="1" applyBorder="1" applyAlignment="1"/>
    <xf numFmtId="4" fontId="5" fillId="0" borderId="47" xfId="0" applyNumberFormat="1" applyFont="1" applyBorder="1" applyAlignment="1">
      <alignment horizontal="center"/>
    </xf>
    <xf numFmtId="4" fontId="5" fillId="0" borderId="49" xfId="0" applyNumberFormat="1" applyFont="1" applyBorder="1" applyAlignment="1"/>
    <xf numFmtId="0" fontId="2" fillId="0" borderId="51" xfId="0" applyFont="1" applyBorder="1" applyAlignment="1"/>
    <xf numFmtId="169" fontId="5" fillId="0" borderId="47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169" fontId="5" fillId="0" borderId="22" xfId="0" applyNumberFormat="1" applyFont="1" applyBorder="1" applyAlignment="1">
      <alignment horizontal="center"/>
    </xf>
    <xf numFmtId="0" fontId="5" fillId="0" borderId="8" xfId="0" applyFont="1" applyBorder="1" applyAlignment="1"/>
    <xf numFmtId="0" fontId="2" fillId="0" borderId="41" xfId="0" applyFont="1" applyBorder="1" applyAlignment="1">
      <alignment horizontal="center"/>
    </xf>
    <xf numFmtId="0" fontId="5" fillId="0" borderId="46" xfId="0" applyFont="1" applyBorder="1" applyAlignment="1"/>
    <xf numFmtId="0" fontId="5" fillId="0" borderId="48" xfId="0" applyFont="1" applyBorder="1" applyAlignment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52" xfId="0" applyFont="1" applyBorder="1" applyAlignment="1"/>
    <xf numFmtId="4" fontId="4" fillId="0" borderId="53" xfId="0" applyNumberFormat="1" applyFont="1" applyBorder="1"/>
    <xf numFmtId="0" fontId="4" fillId="0" borderId="17" xfId="0" applyFont="1" applyBorder="1" applyAlignment="1"/>
    <xf numFmtId="165" fontId="5" fillId="0" borderId="42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170" fontId="4" fillId="0" borderId="48" xfId="0" applyNumberFormat="1" applyFont="1" applyBorder="1"/>
    <xf numFmtId="170" fontId="4" fillId="0" borderId="0" xfId="0" applyNumberFormat="1" applyFont="1"/>
    <xf numFmtId="0" fontId="4" fillId="0" borderId="53" xfId="0" applyFont="1" applyBorder="1"/>
    <xf numFmtId="4" fontId="9" fillId="0" borderId="53" xfId="0" applyNumberFormat="1" applyFont="1" applyBorder="1" applyAlignment="1">
      <alignment horizontal="right"/>
    </xf>
    <xf numFmtId="0" fontId="9" fillId="0" borderId="53" xfId="0" applyFont="1" applyBorder="1" applyAlignment="1"/>
    <xf numFmtId="0" fontId="9" fillId="0" borderId="53" xfId="0" applyFont="1" applyBorder="1" applyAlignment="1"/>
    <xf numFmtId="0" fontId="9" fillId="0" borderId="17" xfId="0" applyFont="1" applyBorder="1" applyAlignment="1"/>
    <xf numFmtId="0" fontId="5" fillId="0" borderId="44" xfId="0" applyFont="1" applyBorder="1" applyAlignment="1"/>
    <xf numFmtId="0" fontId="5" fillId="0" borderId="48" xfId="0" applyFont="1" applyBorder="1" applyAlignment="1"/>
    <xf numFmtId="165" fontId="5" fillId="0" borderId="23" xfId="0" applyNumberFormat="1" applyFont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17" fillId="0" borderId="0" xfId="0" applyFont="1" applyAlignment="1"/>
    <xf numFmtId="0" fontId="17" fillId="0" borderId="0" xfId="0" applyFont="1" applyAlignment="1"/>
    <xf numFmtId="0" fontId="17" fillId="0" borderId="48" xfId="0" applyFont="1" applyBorder="1" applyAlignment="1"/>
    <xf numFmtId="171" fontId="5" fillId="0" borderId="0" xfId="0" applyNumberFormat="1" applyFont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48" xfId="0" applyFont="1" applyBorder="1" applyAlignment="1">
      <alignment horizontal="center"/>
    </xf>
    <xf numFmtId="171" fontId="2" fillId="0" borderId="39" xfId="0" applyNumberFormat="1" applyFont="1" applyBorder="1" applyAlignment="1">
      <alignment horizontal="center"/>
    </xf>
    <xf numFmtId="171" fontId="2" fillId="0" borderId="41" xfId="0" applyNumberFormat="1" applyFont="1" applyBorder="1" applyAlignment="1">
      <alignment horizontal="center"/>
    </xf>
    <xf numFmtId="172" fontId="17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/>
    </xf>
    <xf numFmtId="3" fontId="17" fillId="0" borderId="4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5" fillId="0" borderId="46" xfId="0" applyFont="1" applyBorder="1" applyAlignment="1"/>
    <xf numFmtId="0" fontId="17" fillId="0" borderId="0" xfId="0" applyFont="1" applyAlignment="1">
      <alignment horizontal="center"/>
    </xf>
    <xf numFmtId="171" fontId="17" fillId="0" borderId="48" xfId="0" applyNumberFormat="1" applyFont="1" applyBorder="1" applyAlignment="1">
      <alignment horizontal="center"/>
    </xf>
    <xf numFmtId="165" fontId="5" fillId="0" borderId="47" xfId="0" applyNumberFormat="1" applyFont="1" applyBorder="1" applyAlignment="1">
      <alignment horizontal="center"/>
    </xf>
    <xf numFmtId="165" fontId="5" fillId="0" borderId="49" xfId="0" applyNumberFormat="1" applyFont="1" applyBorder="1" applyAlignment="1">
      <alignment horizontal="center"/>
    </xf>
    <xf numFmtId="173" fontId="17" fillId="0" borderId="48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5" fillId="0" borderId="0" xfId="0" applyNumberFormat="1" applyFont="1" applyAlignment="1"/>
    <xf numFmtId="0" fontId="17" fillId="0" borderId="52" xfId="0" applyFont="1" applyBorder="1" applyAlignment="1">
      <alignment horizontal="center"/>
    </xf>
    <xf numFmtId="2" fontId="17" fillId="0" borderId="53" xfId="0" applyNumberFormat="1" applyFont="1" applyBorder="1" applyAlignment="1">
      <alignment horizontal="center"/>
    </xf>
    <xf numFmtId="0" fontId="5" fillId="0" borderId="53" xfId="0" applyFont="1" applyBorder="1" applyAlignment="1"/>
    <xf numFmtId="0" fontId="5" fillId="0" borderId="17" xfId="0" applyFont="1" applyBorder="1" applyAlignment="1"/>
    <xf numFmtId="0" fontId="2" fillId="0" borderId="21" xfId="0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0" fontId="5" fillId="0" borderId="24" xfId="0" applyFont="1" applyBorder="1" applyAlignment="1"/>
    <xf numFmtId="165" fontId="5" fillId="0" borderId="40" xfId="0" applyNumberFormat="1" applyFont="1" applyBorder="1" applyAlignment="1"/>
    <xf numFmtId="0" fontId="16" fillId="11" borderId="0" xfId="0" applyFont="1" applyFill="1" applyAlignment="1"/>
    <xf numFmtId="0" fontId="17" fillId="11" borderId="0" xfId="0" applyFont="1" applyFill="1" applyAlignment="1"/>
    <xf numFmtId="0" fontId="17" fillId="11" borderId="0" xfId="0" applyFont="1" applyFill="1" applyAlignment="1">
      <alignment horizontal="center"/>
    </xf>
    <xf numFmtId="0" fontId="16" fillId="11" borderId="5" xfId="0" applyFont="1" applyFill="1" applyBorder="1" applyAlignment="1"/>
    <xf numFmtId="0" fontId="17" fillId="11" borderId="6" xfId="0" applyFont="1" applyFill="1" applyBorder="1" applyAlignment="1"/>
    <xf numFmtId="0" fontId="17" fillId="11" borderId="6" xfId="0" applyFont="1" applyFill="1" applyBorder="1" applyAlignment="1">
      <alignment horizontal="center"/>
    </xf>
    <xf numFmtId="0" fontId="17" fillId="0" borderId="5" xfId="0" applyFont="1" applyBorder="1" applyAlignment="1"/>
    <xf numFmtId="10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0" fontId="5" fillId="0" borderId="52" xfId="0" applyFont="1" applyBorder="1" applyAlignment="1"/>
    <xf numFmtId="4" fontId="5" fillId="0" borderId="53" xfId="0" applyNumberFormat="1" applyFont="1" applyBorder="1" applyAlignment="1"/>
    <xf numFmtId="0" fontId="5" fillId="0" borderId="17" xfId="0" applyFont="1" applyBorder="1" applyAlignment="1"/>
    <xf numFmtId="0" fontId="17" fillId="0" borderId="16" xfId="0" applyFont="1" applyBorder="1" applyAlignment="1"/>
    <xf numFmtId="0" fontId="17" fillId="0" borderId="5" xfId="0" applyFont="1" applyBorder="1" applyAlignment="1">
      <alignment horizontal="center"/>
    </xf>
    <xf numFmtId="0" fontId="4" fillId="0" borderId="16" xfId="0" applyFont="1" applyBorder="1" applyAlignment="1"/>
    <xf numFmtId="10" fontId="4" fillId="0" borderId="17" xfId="0" applyNumberFormat="1" applyFont="1" applyBorder="1" applyAlignment="1"/>
    <xf numFmtId="0" fontId="4" fillId="0" borderId="17" xfId="0" applyFont="1" applyBorder="1"/>
    <xf numFmtId="4" fontId="4" fillId="0" borderId="17" xfId="0" applyNumberFormat="1" applyFont="1" applyBorder="1"/>
    <xf numFmtId="4" fontId="5" fillId="0" borderId="6" xfId="0" applyNumberFormat="1" applyFont="1" applyBorder="1" applyAlignment="1"/>
    <xf numFmtId="0" fontId="17" fillId="0" borderId="17" xfId="0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173" fontId="17" fillId="0" borderId="17" xfId="0" applyNumberFormat="1" applyFont="1" applyBorder="1" applyAlignment="1">
      <alignment horizontal="center"/>
    </xf>
    <xf numFmtId="168" fontId="5" fillId="0" borderId="42" xfId="0" applyNumberFormat="1" applyFont="1" applyBorder="1" applyAlignment="1"/>
    <xf numFmtId="0" fontId="16" fillId="11" borderId="5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173" fontId="17" fillId="0" borderId="17" xfId="0" applyNumberFormat="1" applyFont="1" applyBorder="1" applyAlignment="1">
      <alignment horizontal="center"/>
    </xf>
    <xf numFmtId="0" fontId="17" fillId="0" borderId="0" xfId="0" applyFont="1" applyAlignment="1"/>
    <xf numFmtId="9" fontId="5" fillId="0" borderId="22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70" fontId="17" fillId="0" borderId="5" xfId="0" applyNumberFormat="1" applyFont="1" applyBorder="1" applyAlignment="1">
      <alignment horizontal="center"/>
    </xf>
    <xf numFmtId="170" fontId="17" fillId="0" borderId="17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4" fontId="17" fillId="0" borderId="17" xfId="0" applyNumberFormat="1" applyFont="1" applyBorder="1" applyAlignment="1"/>
    <xf numFmtId="0" fontId="16" fillId="6" borderId="0" xfId="0" applyFont="1" applyFill="1" applyAlignment="1"/>
    <xf numFmtId="0" fontId="17" fillId="6" borderId="0" xfId="0" applyFont="1" applyFill="1" applyAlignment="1"/>
    <xf numFmtId="0" fontId="5" fillId="0" borderId="43" xfId="0" applyFont="1" applyBorder="1" applyAlignment="1"/>
    <xf numFmtId="4" fontId="4" fillId="0" borderId="48" xfId="0" applyNumberFormat="1" applyFont="1" applyBorder="1" applyAlignment="1"/>
    <xf numFmtId="3" fontId="17" fillId="0" borderId="0" xfId="0" applyNumberFormat="1" applyFont="1" applyAlignment="1">
      <alignment horizontal="right"/>
    </xf>
    <xf numFmtId="0" fontId="16" fillId="11" borderId="55" xfId="0" applyFont="1" applyFill="1" applyBorder="1" applyAlignment="1">
      <alignment horizontal="center"/>
    </xf>
    <xf numFmtId="0" fontId="17" fillId="11" borderId="56" xfId="0" applyFont="1" applyFill="1" applyBorder="1" applyAlignment="1">
      <alignment horizontal="center"/>
    </xf>
    <xf numFmtId="174" fontId="17" fillId="11" borderId="57" xfId="0" applyNumberFormat="1" applyFont="1" applyFill="1" applyBorder="1" applyAlignment="1">
      <alignment horizontal="center"/>
    </xf>
    <xf numFmtId="0" fontId="17" fillId="11" borderId="58" xfId="0" applyFont="1" applyFill="1" applyBorder="1" applyAlignment="1">
      <alignment horizontal="center"/>
    </xf>
    <xf numFmtId="0" fontId="17" fillId="11" borderId="59" xfId="0" applyFont="1" applyFill="1" applyBorder="1" applyAlignment="1">
      <alignment horizontal="center"/>
    </xf>
    <xf numFmtId="0" fontId="17" fillId="0" borderId="60" xfId="0" applyFont="1" applyBorder="1" applyAlignment="1">
      <alignment horizontal="center"/>
    </xf>
    <xf numFmtId="4" fontId="17" fillId="0" borderId="61" xfId="0" applyNumberFormat="1" applyFont="1" applyBorder="1" applyAlignment="1">
      <alignment horizontal="center"/>
    </xf>
    <xf numFmtId="173" fontId="17" fillId="0" borderId="62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170" fontId="17" fillId="0" borderId="17" xfId="0" applyNumberFormat="1" applyFont="1" applyBorder="1" applyAlignment="1">
      <alignment horizontal="center"/>
    </xf>
    <xf numFmtId="4" fontId="17" fillId="0" borderId="61" xfId="0" applyNumberFormat="1" applyFont="1" applyBorder="1" applyAlignment="1">
      <alignment horizontal="center"/>
    </xf>
    <xf numFmtId="0" fontId="16" fillId="11" borderId="55" xfId="0" applyFont="1" applyFill="1" applyBorder="1" applyAlignment="1"/>
    <xf numFmtId="0" fontId="17" fillId="11" borderId="56" xfId="0" applyFont="1" applyFill="1" applyBorder="1" applyAlignment="1"/>
    <xf numFmtId="0" fontId="17" fillId="11" borderId="56" xfId="0" applyFont="1" applyFill="1" applyBorder="1" applyAlignment="1"/>
    <xf numFmtId="0" fontId="9" fillId="6" borderId="43" xfId="0" applyFont="1" applyFill="1" applyBorder="1" applyAlignment="1"/>
    <xf numFmtId="0" fontId="9" fillId="6" borderId="44" xfId="0" applyFont="1" applyFill="1" applyBorder="1" applyAlignment="1"/>
    <xf numFmtId="0" fontId="9" fillId="6" borderId="44" xfId="0" applyFont="1" applyFill="1" applyBorder="1" applyAlignment="1">
      <alignment horizontal="center"/>
    </xf>
    <xf numFmtId="0" fontId="9" fillId="6" borderId="45" xfId="0" applyFont="1" applyFill="1" applyBorder="1" applyAlignment="1">
      <alignment horizontal="center"/>
    </xf>
    <xf numFmtId="0" fontId="17" fillId="0" borderId="60" xfId="0" applyFont="1" applyBorder="1" applyAlignment="1"/>
    <xf numFmtId="0" fontId="17" fillId="0" borderId="55" xfId="0" applyFont="1" applyBorder="1" applyAlignment="1"/>
    <xf numFmtId="0" fontId="17" fillId="0" borderId="55" xfId="0" applyFont="1" applyBorder="1" applyAlignment="1"/>
    <xf numFmtId="0" fontId="17" fillId="0" borderId="61" xfId="0" applyFont="1" applyBorder="1" applyAlignment="1"/>
    <xf numFmtId="0" fontId="9" fillId="6" borderId="46" xfId="0" applyFont="1" applyFill="1" applyBorder="1" applyAlignment="1"/>
    <xf numFmtId="0" fontId="9" fillId="6" borderId="0" xfId="0" applyFont="1" applyFill="1" applyAlignment="1"/>
    <xf numFmtId="0" fontId="9" fillId="6" borderId="0" xfId="0" applyFont="1" applyFill="1" applyAlignment="1">
      <alignment horizontal="center"/>
    </xf>
    <xf numFmtId="3" fontId="9" fillId="6" borderId="0" xfId="0" applyNumberFormat="1" applyFont="1" applyFill="1" applyAlignment="1">
      <alignment horizontal="center"/>
    </xf>
    <xf numFmtId="3" fontId="9" fillId="6" borderId="48" xfId="0" applyNumberFormat="1" applyFont="1" applyFill="1" applyBorder="1" applyAlignment="1">
      <alignment horizontal="center"/>
    </xf>
    <xf numFmtId="0" fontId="17" fillId="0" borderId="60" xfId="0" applyFont="1" applyBorder="1" applyAlignment="1"/>
    <xf numFmtId="10" fontId="17" fillId="0" borderId="55" xfId="0" applyNumberFormat="1" applyFont="1" applyBorder="1" applyAlignment="1">
      <alignment horizontal="right"/>
    </xf>
    <xf numFmtId="0" fontId="17" fillId="0" borderId="61" xfId="0" applyFont="1" applyBorder="1" applyAlignment="1"/>
    <xf numFmtId="9" fontId="17" fillId="0" borderId="55" xfId="0" applyNumberFormat="1" applyFont="1" applyBorder="1" applyAlignment="1">
      <alignment horizontal="right"/>
    </xf>
    <xf numFmtId="4" fontId="9" fillId="6" borderId="0" xfId="0" applyNumberFormat="1" applyFont="1" applyFill="1" applyAlignment="1">
      <alignment horizontal="center"/>
    </xf>
    <xf numFmtId="4" fontId="9" fillId="6" borderId="48" xfId="0" applyNumberFormat="1" applyFont="1" applyFill="1" applyBorder="1" applyAlignment="1">
      <alignment horizontal="center"/>
    </xf>
    <xf numFmtId="0" fontId="17" fillId="11" borderId="5" xfId="0" applyFont="1" applyFill="1" applyBorder="1" applyAlignment="1"/>
    <xf numFmtId="0" fontId="18" fillId="0" borderId="60" xfId="0" applyFont="1" applyBorder="1" applyAlignment="1"/>
    <xf numFmtId="0" fontId="17" fillId="0" borderId="61" xfId="0" applyFont="1" applyBorder="1" applyAlignment="1">
      <alignment horizontal="center"/>
    </xf>
    <xf numFmtId="0" fontId="17" fillId="0" borderId="16" xfId="0" applyFont="1" applyBorder="1" applyAlignment="1"/>
    <xf numFmtId="4" fontId="17" fillId="0" borderId="5" xfId="0" applyNumberFormat="1" applyFont="1" applyBorder="1" applyAlignment="1"/>
    <xf numFmtId="0" fontId="17" fillId="0" borderId="55" xfId="0" applyFont="1" applyBorder="1" applyAlignment="1">
      <alignment horizontal="right"/>
    </xf>
    <xf numFmtId="9" fontId="17" fillId="0" borderId="61" xfId="0" applyNumberFormat="1" applyFont="1" applyBorder="1" applyAlignment="1">
      <alignment horizontal="center"/>
    </xf>
    <xf numFmtId="170" fontId="17" fillId="0" borderId="5" xfId="0" applyNumberFormat="1" applyFont="1" applyBorder="1" applyAlignment="1"/>
    <xf numFmtId="170" fontId="17" fillId="0" borderId="17" xfId="0" applyNumberFormat="1" applyFont="1" applyBorder="1" applyAlignment="1"/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16" fillId="0" borderId="55" xfId="0" applyFont="1" applyBorder="1" applyAlignment="1">
      <alignment horizontal="right"/>
    </xf>
    <xf numFmtId="0" fontId="9" fillId="6" borderId="52" xfId="0" applyFont="1" applyFill="1" applyBorder="1" applyAlignment="1"/>
    <xf numFmtId="0" fontId="9" fillId="6" borderId="53" xfId="0" applyFont="1" applyFill="1" applyBorder="1" applyAlignment="1"/>
    <xf numFmtId="0" fontId="8" fillId="0" borderId="38" xfId="0" applyFont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9" fillId="6" borderId="5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4" fontId="9" fillId="6" borderId="17" xfId="0" applyNumberFormat="1" applyFont="1" applyFill="1" applyBorder="1" applyAlignment="1">
      <alignment horizontal="center"/>
    </xf>
    <xf numFmtId="0" fontId="2" fillId="0" borderId="65" xfId="0" applyFont="1" applyBorder="1" applyAlignment="1"/>
    <xf numFmtId="165" fontId="5" fillId="0" borderId="66" xfId="0" applyNumberFormat="1" applyFont="1" applyBorder="1" applyAlignment="1">
      <alignment horizontal="center"/>
    </xf>
    <xf numFmtId="0" fontId="5" fillId="0" borderId="67" xfId="0" applyFont="1" applyBorder="1" applyAlignment="1"/>
    <xf numFmtId="4" fontId="17" fillId="0" borderId="17" xfId="0" applyNumberFormat="1" applyFont="1" applyBorder="1" applyAlignment="1">
      <alignment horizontal="right"/>
    </xf>
    <xf numFmtId="165" fontId="5" fillId="0" borderId="68" xfId="0" applyNumberFormat="1" applyFont="1" applyBorder="1" applyAlignment="1">
      <alignment horizontal="center"/>
    </xf>
    <xf numFmtId="170" fontId="17" fillId="0" borderId="55" xfId="0" applyNumberFormat="1" applyFont="1" applyBorder="1" applyAlignment="1">
      <alignment horizontal="right"/>
    </xf>
    <xf numFmtId="0" fontId="19" fillId="0" borderId="61" xfId="0" applyFont="1" applyBorder="1" applyAlignment="1"/>
    <xf numFmtId="175" fontId="5" fillId="0" borderId="27" xfId="0" applyNumberFormat="1" applyFont="1" applyBorder="1" applyAlignment="1">
      <alignment horizontal="center"/>
    </xf>
    <xf numFmtId="175" fontId="5" fillId="0" borderId="42" xfId="0" applyNumberFormat="1" applyFont="1" applyBorder="1" applyAlignment="1">
      <alignment horizontal="center"/>
    </xf>
    <xf numFmtId="0" fontId="2" fillId="0" borderId="67" xfId="0" applyFont="1" applyBorder="1" applyAlignment="1"/>
    <xf numFmtId="176" fontId="17" fillId="0" borderId="55" xfId="0" applyNumberFormat="1" applyFont="1" applyBorder="1" applyAlignment="1">
      <alignment horizontal="right"/>
    </xf>
    <xf numFmtId="170" fontId="17" fillId="0" borderId="61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0" fontId="2" fillId="0" borderId="67" xfId="0" applyFont="1" applyBorder="1" applyAlignment="1">
      <alignment horizontal="left"/>
    </xf>
    <xf numFmtId="165" fontId="5" fillId="0" borderId="68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9" fontId="17" fillId="0" borderId="5" xfId="0" applyNumberFormat="1" applyFont="1" applyBorder="1" applyAlignment="1">
      <alignment horizontal="center"/>
    </xf>
    <xf numFmtId="0" fontId="2" fillId="0" borderId="70" xfId="0" applyFont="1" applyBorder="1" applyAlignment="1"/>
    <xf numFmtId="165" fontId="5" fillId="0" borderId="71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9" fontId="17" fillId="0" borderId="17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165" fontId="5" fillId="0" borderId="73" xfId="0" applyNumberFormat="1" applyFont="1" applyBorder="1" applyAlignment="1">
      <alignment horizontal="center"/>
    </xf>
    <xf numFmtId="0" fontId="17" fillId="0" borderId="46" xfId="0" applyFont="1" applyBorder="1" applyAlignment="1"/>
    <xf numFmtId="4" fontId="17" fillId="0" borderId="16" xfId="0" applyNumberFormat="1" applyFont="1" applyBorder="1" applyAlignment="1">
      <alignment horizontal="center"/>
    </xf>
    <xf numFmtId="177" fontId="5" fillId="0" borderId="27" xfId="0" applyNumberFormat="1" applyFont="1" applyBorder="1" applyAlignment="1">
      <alignment horizontal="center"/>
    </xf>
    <xf numFmtId="9" fontId="17" fillId="0" borderId="0" xfId="0" applyNumberFormat="1" applyFont="1" applyAlignment="1">
      <alignment horizontal="center"/>
    </xf>
    <xf numFmtId="165" fontId="5" fillId="0" borderId="74" xfId="0" applyNumberFormat="1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right"/>
    </xf>
    <xf numFmtId="0" fontId="17" fillId="9" borderId="16" xfId="0" applyFont="1" applyFill="1" applyBorder="1" applyAlignment="1"/>
    <xf numFmtId="165" fontId="5" fillId="0" borderId="74" xfId="0" applyNumberFormat="1" applyFont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165" fontId="17" fillId="0" borderId="5" xfId="0" applyNumberFormat="1" applyFont="1" applyBorder="1" applyAlignment="1">
      <alignment horizontal="right"/>
    </xf>
    <xf numFmtId="4" fontId="17" fillId="0" borderId="17" xfId="0" applyNumberFormat="1" applyFont="1" applyBorder="1" applyAlignment="1"/>
    <xf numFmtId="0" fontId="17" fillId="9" borderId="5" xfId="0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178" fontId="17" fillId="0" borderId="17" xfId="0" applyNumberFormat="1" applyFont="1" applyBorder="1" applyAlignment="1">
      <alignment horizontal="center"/>
    </xf>
    <xf numFmtId="9" fontId="5" fillId="0" borderId="5" xfId="0" applyNumberFormat="1" applyFont="1" applyBorder="1" applyAlignment="1"/>
    <xf numFmtId="4" fontId="4" fillId="0" borderId="0" xfId="0" applyNumberFormat="1" applyFont="1" applyAlignment="1"/>
    <xf numFmtId="165" fontId="20" fillId="0" borderId="25" xfId="0" applyNumberFormat="1" applyFont="1" applyBorder="1" applyAlignment="1">
      <alignment horizontal="center"/>
    </xf>
    <xf numFmtId="0" fontId="17" fillId="0" borderId="17" xfId="0" applyFont="1" applyBorder="1" applyAlignment="1"/>
    <xf numFmtId="0" fontId="17" fillId="0" borderId="76" xfId="0" applyFont="1" applyBorder="1" applyAlignment="1"/>
    <xf numFmtId="0" fontId="17" fillId="0" borderId="62" xfId="0" applyFont="1" applyBorder="1" applyAlignment="1"/>
    <xf numFmtId="4" fontId="17" fillId="0" borderId="61" xfId="0" applyNumberFormat="1" applyFont="1" applyBorder="1" applyAlignment="1"/>
    <xf numFmtId="9" fontId="5" fillId="0" borderId="27" xfId="0" applyNumberFormat="1" applyFont="1" applyBorder="1" applyAlignment="1"/>
    <xf numFmtId="9" fontId="5" fillId="0" borderId="42" xfId="0" applyNumberFormat="1" applyFont="1" applyBorder="1" applyAlignment="1"/>
    <xf numFmtId="0" fontId="17" fillId="9" borderId="16" xfId="0" applyFont="1" applyFill="1" applyBorder="1" applyAlignment="1"/>
    <xf numFmtId="0" fontId="17" fillId="9" borderId="5" xfId="0" applyFont="1" applyFill="1" applyBorder="1" applyAlignment="1"/>
    <xf numFmtId="0" fontId="17" fillId="9" borderId="17" xfId="0" applyFont="1" applyFill="1" applyBorder="1" applyAlignment="1"/>
    <xf numFmtId="4" fontId="5" fillId="0" borderId="27" xfId="0" applyNumberFormat="1" applyFont="1" applyBorder="1" applyAlignment="1"/>
    <xf numFmtId="0" fontId="17" fillId="0" borderId="16" xfId="0" applyFont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7" fillId="0" borderId="77" xfId="0" applyFont="1" applyBorder="1" applyAlignment="1"/>
    <xf numFmtId="4" fontId="17" fillId="0" borderId="78" xfId="0" applyNumberFormat="1" applyFont="1" applyBorder="1" applyAlignment="1"/>
    <xf numFmtId="0" fontId="16" fillId="9" borderId="5" xfId="0" applyFont="1" applyFill="1" applyBorder="1" applyAlignment="1"/>
    <xf numFmtId="0" fontId="17" fillId="9" borderId="6" xfId="0" applyFont="1" applyFill="1" applyBorder="1" applyAlignment="1"/>
    <xf numFmtId="0" fontId="17" fillId="9" borderId="6" xfId="0" applyFont="1" applyFill="1" applyBorder="1" applyAlignment="1">
      <alignment horizontal="center"/>
    </xf>
    <xf numFmtId="0" fontId="17" fillId="9" borderId="6" xfId="0" applyFont="1" applyFill="1" applyBorder="1" applyAlignment="1"/>
    <xf numFmtId="0" fontId="17" fillId="0" borderId="5" xfId="0" applyFont="1" applyBorder="1" applyAlignment="1"/>
    <xf numFmtId="4" fontId="17" fillId="0" borderId="5" xfId="0" applyNumberFormat="1" applyFont="1" applyBorder="1" applyAlignment="1"/>
    <xf numFmtId="10" fontId="17" fillId="0" borderId="5" xfId="0" applyNumberFormat="1" applyFont="1" applyBorder="1" applyAlignment="1">
      <alignment horizontal="right"/>
    </xf>
    <xf numFmtId="9" fontId="17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/>
    <xf numFmtId="0" fontId="17" fillId="0" borderId="16" xfId="0" applyFont="1" applyBorder="1" applyAlignment="1"/>
    <xf numFmtId="0" fontId="17" fillId="0" borderId="17" xfId="0" applyFont="1" applyBorder="1" applyAlignment="1"/>
    <xf numFmtId="10" fontId="5" fillId="0" borderId="22" xfId="0" applyNumberFormat="1" applyFont="1" applyBorder="1" applyAlignment="1"/>
    <xf numFmtId="0" fontId="8" fillId="0" borderId="0" xfId="0" applyFont="1" applyAlignment="1"/>
    <xf numFmtId="0" fontId="17" fillId="0" borderId="43" xfId="0" applyFont="1" applyBorder="1" applyAlignment="1"/>
    <xf numFmtId="0" fontId="17" fillId="0" borderId="44" xfId="0" applyFont="1" applyBorder="1" applyAlignment="1"/>
    <xf numFmtId="0" fontId="17" fillId="0" borderId="45" xfId="0" applyFont="1" applyBorder="1" applyAlignment="1"/>
    <xf numFmtId="0" fontId="17" fillId="0" borderId="48" xfId="0" applyFont="1" applyBorder="1" applyAlignment="1">
      <alignment horizontal="center"/>
    </xf>
    <xf numFmtId="10" fontId="17" fillId="0" borderId="46" xfId="0" applyNumberFormat="1" applyFont="1" applyBorder="1" applyAlignment="1">
      <alignment horizontal="right"/>
    </xf>
    <xf numFmtId="179" fontId="17" fillId="0" borderId="0" xfId="0" applyNumberFormat="1" applyFont="1" applyAlignment="1"/>
    <xf numFmtId="179" fontId="17" fillId="0" borderId="48" xfId="0" applyNumberFormat="1" applyFont="1" applyBorder="1" applyAlignment="1"/>
    <xf numFmtId="10" fontId="17" fillId="0" borderId="52" xfId="0" applyNumberFormat="1" applyFont="1" applyBorder="1" applyAlignment="1">
      <alignment horizontal="right"/>
    </xf>
    <xf numFmtId="165" fontId="17" fillId="0" borderId="0" xfId="0" applyNumberFormat="1" applyFont="1" applyAlignment="1"/>
    <xf numFmtId="180" fontId="17" fillId="0" borderId="0" xfId="0" applyNumberFormat="1" applyFont="1" applyAlignment="1"/>
    <xf numFmtId="180" fontId="17" fillId="0" borderId="48" xfId="0" applyNumberFormat="1" applyFont="1" applyBorder="1" applyAlignment="1"/>
    <xf numFmtId="0" fontId="2" fillId="0" borderId="7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65" fontId="5" fillId="0" borderId="72" xfId="0" applyNumberFormat="1" applyFont="1" applyBorder="1" applyAlignment="1">
      <alignment horizontal="center"/>
    </xf>
    <xf numFmtId="165" fontId="5" fillId="0" borderId="1" xfId="0" applyNumberFormat="1" applyFont="1" applyBorder="1" applyAlignment="1"/>
    <xf numFmtId="4" fontId="5" fillId="0" borderId="1" xfId="0" applyNumberFormat="1" applyFont="1" applyBorder="1" applyAlignment="1"/>
    <xf numFmtId="9" fontId="5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10" fillId="2" borderId="79" xfId="0" applyFont="1" applyFill="1" applyBorder="1" applyAlignment="1"/>
    <xf numFmtId="0" fontId="5" fillId="0" borderId="79" xfId="0" applyFont="1" applyBorder="1" applyAlignment="1">
      <alignment horizontal="center"/>
    </xf>
    <xf numFmtId="0" fontId="5" fillId="0" borderId="1" xfId="0" applyFont="1" applyBorder="1" applyAlignment="1"/>
    <xf numFmtId="0" fontId="8" fillId="0" borderId="8" xfId="0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9" fontId="5" fillId="0" borderId="42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9" fontId="2" fillId="0" borderId="2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80" xfId="0" applyFont="1" applyBorder="1" applyAlignment="1">
      <alignment horizontal="left"/>
    </xf>
    <xf numFmtId="0" fontId="8" fillId="0" borderId="81" xfId="0" applyFont="1" applyBorder="1" applyAlignment="1">
      <alignment horizontal="left"/>
    </xf>
    <xf numFmtId="0" fontId="8" fillId="0" borderId="82" xfId="0" applyFont="1" applyBorder="1" applyAlignment="1">
      <alignment horizontal="left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5" fillId="0" borderId="0" xfId="0" applyFont="1" applyAlignment="1">
      <alignment horizontal="left"/>
    </xf>
    <xf numFmtId="181" fontId="5" fillId="0" borderId="8" xfId="0" applyNumberFormat="1" applyFont="1" applyBorder="1" applyAlignment="1"/>
    <xf numFmtId="9" fontId="5" fillId="0" borderId="39" xfId="0" applyNumberFormat="1" applyFont="1" applyBorder="1" applyAlignment="1"/>
    <xf numFmtId="181" fontId="5" fillId="0" borderId="26" xfId="0" applyNumberFormat="1" applyFont="1" applyBorder="1" applyAlignment="1"/>
    <xf numFmtId="181" fontId="5" fillId="0" borderId="21" xfId="0" applyNumberFormat="1" applyFont="1" applyBorder="1" applyAlignment="1"/>
    <xf numFmtId="9" fontId="5" fillId="0" borderId="22" xfId="0" applyNumberFormat="1" applyFont="1" applyBorder="1" applyAlignment="1"/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/>
    <xf numFmtId="9" fontId="5" fillId="0" borderId="0" xfId="0" applyNumberFormat="1" applyFont="1" applyAlignment="1"/>
    <xf numFmtId="181" fontId="5" fillId="0" borderId="26" xfId="0" applyNumberFormat="1" applyFont="1" applyBorder="1" applyAlignment="1">
      <alignment horizontal="left"/>
    </xf>
    <xf numFmtId="165" fontId="2" fillId="0" borderId="22" xfId="0" applyNumberFormat="1" applyFont="1" applyBorder="1" applyAlignment="1"/>
    <xf numFmtId="9" fontId="2" fillId="0" borderId="22" xfId="0" applyNumberFormat="1" applyFont="1" applyBorder="1" applyAlignment="1"/>
    <xf numFmtId="165" fontId="2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89" xfId="0" applyFont="1" applyBorder="1" applyAlignment="1"/>
    <xf numFmtId="165" fontId="2" fillId="0" borderId="40" xfId="0" applyNumberFormat="1" applyFont="1" applyBorder="1" applyAlignment="1">
      <alignment horizontal="center"/>
    </xf>
    <xf numFmtId="9" fontId="5" fillId="0" borderId="23" xfId="0" applyNumberFormat="1" applyFont="1" applyBorder="1" applyAlignment="1">
      <alignment horizontal="center"/>
    </xf>
    <xf numFmtId="0" fontId="5" fillId="0" borderId="67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75" fontId="5" fillId="0" borderId="74" xfId="0" applyNumberFormat="1" applyFont="1" applyBorder="1" applyAlignment="1">
      <alignment horizontal="center"/>
    </xf>
    <xf numFmtId="175" fontId="5" fillId="0" borderId="27" xfId="0" applyNumberFormat="1" applyFont="1" applyBorder="1" applyAlignment="1"/>
    <xf numFmtId="175" fontId="5" fillId="0" borderId="74" xfId="0" applyNumberFormat="1" applyFont="1" applyBorder="1" applyAlignment="1"/>
    <xf numFmtId="175" fontId="5" fillId="0" borderId="42" xfId="0" applyNumberFormat="1" applyFont="1" applyBorder="1" applyAlignment="1"/>
    <xf numFmtId="165" fontId="2" fillId="0" borderId="74" xfId="0" applyNumberFormat="1" applyFont="1" applyBorder="1" applyAlignment="1">
      <alignment horizontal="center"/>
    </xf>
    <xf numFmtId="165" fontId="5" fillId="0" borderId="72" xfId="0" applyNumberFormat="1" applyFont="1" applyBorder="1" applyAlignment="1"/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75" fontId="5" fillId="0" borderId="39" xfId="0" applyNumberFormat="1" applyFont="1" applyBorder="1" applyAlignment="1">
      <alignment horizontal="center"/>
    </xf>
    <xf numFmtId="175" fontId="5" fillId="0" borderId="41" xfId="0" applyNumberFormat="1" applyFont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center"/>
    </xf>
    <xf numFmtId="0" fontId="21" fillId="0" borderId="0" xfId="0" applyFont="1" applyAlignment="1"/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7" fillId="2" borderId="7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11" xfId="0" applyFont="1" applyBorder="1"/>
    <xf numFmtId="0" fontId="4" fillId="0" borderId="13" xfId="0" applyFont="1" applyBorder="1"/>
    <xf numFmtId="0" fontId="0" fillId="0" borderId="0" xfId="0" applyFont="1" applyAlignment="1"/>
    <xf numFmtId="0" fontId="4" fillId="0" borderId="15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0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0" fontId="2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4" xfId="0" applyFont="1" applyBorder="1"/>
    <xf numFmtId="0" fontId="4" fillId="0" borderId="37" xfId="0" applyFont="1" applyBorder="1"/>
    <xf numFmtId="0" fontId="9" fillId="0" borderId="4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48" xfId="0" applyFont="1" applyBorder="1"/>
    <xf numFmtId="0" fontId="9" fillId="0" borderId="43" xfId="0" applyFont="1" applyBorder="1" applyAlignment="1">
      <alignment horizontal="center"/>
    </xf>
    <xf numFmtId="0" fontId="4" fillId="0" borderId="44" xfId="0" applyFont="1" applyBorder="1"/>
    <xf numFmtId="0" fontId="4" fillId="0" borderId="45" xfId="0" applyFont="1" applyBorder="1"/>
    <xf numFmtId="0" fontId="6" fillId="0" borderId="0" xfId="0" applyFont="1" applyAlignment="1">
      <alignment horizontal="center"/>
    </xf>
    <xf numFmtId="0" fontId="9" fillId="6" borderId="0" xfId="0" applyFont="1" applyFill="1" applyAlignment="1">
      <alignment horizontal="center"/>
    </xf>
    <xf numFmtId="3" fontId="9" fillId="6" borderId="0" xfId="0" applyNumberFormat="1" applyFont="1" applyFill="1" applyAlignment="1">
      <alignment horizontal="center"/>
    </xf>
    <xf numFmtId="3" fontId="9" fillId="6" borderId="53" xfId="0" applyNumberFormat="1" applyFont="1" applyFill="1" applyBorder="1" applyAlignment="1">
      <alignment horizontal="center"/>
    </xf>
    <xf numFmtId="0" fontId="4" fillId="0" borderId="53" xfId="0" applyFont="1" applyBorder="1"/>
    <xf numFmtId="0" fontId="9" fillId="6" borderId="46" xfId="0" applyFont="1" applyFill="1" applyBorder="1" applyAlignment="1"/>
    <xf numFmtId="0" fontId="9" fillId="6" borderId="44" xfId="0" applyFont="1" applyFill="1" applyBorder="1" applyAlignment="1">
      <alignment horizontal="center"/>
    </xf>
    <xf numFmtId="0" fontId="16" fillId="9" borderId="54" xfId="0" applyFont="1" applyFill="1" applyBorder="1" applyAlignment="1">
      <alignment horizontal="center"/>
    </xf>
    <xf numFmtId="0" fontId="4" fillId="0" borderId="75" xfId="0" applyFont="1" applyBorder="1"/>
    <xf numFmtId="0" fontId="4" fillId="0" borderId="6" xfId="0" applyFont="1" applyBorder="1"/>
    <xf numFmtId="0" fontId="17" fillId="9" borderId="54" xfId="0" applyFont="1" applyFill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7" fillId="9" borderId="69" xfId="0" applyFont="1" applyFill="1" applyBorder="1" applyAlignment="1">
      <alignment horizontal="center"/>
    </xf>
    <xf numFmtId="0" fontId="4" fillId="0" borderId="16" xfId="0" applyFont="1" applyBorder="1"/>
    <xf numFmtId="0" fontId="17" fillId="9" borderId="75" xfId="0" applyFont="1" applyFill="1" applyBorder="1" applyAlignment="1">
      <alignment horizontal="center"/>
    </xf>
    <xf numFmtId="0" fontId="5" fillId="0" borderId="0" xfId="0" applyFont="1" applyAlignment="1"/>
    <xf numFmtId="0" fontId="10" fillId="2" borderId="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4" fillId="0" borderId="68" xfId="0" applyFont="1" applyBorder="1"/>
    <xf numFmtId="0" fontId="4" fillId="0" borderId="64" xfId="0" applyFont="1" applyBorder="1"/>
    <xf numFmtId="0" fontId="10" fillId="2" borderId="2" xfId="0" applyFont="1" applyFill="1" applyBorder="1" applyAlignment="1">
      <alignment horizontal="center"/>
    </xf>
    <xf numFmtId="0" fontId="5" fillId="12" borderId="0" xfId="0" applyFont="1" applyFill="1" applyAlignment="1"/>
    <xf numFmtId="0" fontId="2" fillId="12" borderId="0" xfId="0" applyFont="1" applyFill="1" applyAlignment="1"/>
    <xf numFmtId="0" fontId="6" fillId="12" borderId="43" xfId="0" applyFont="1" applyFill="1" applyBorder="1" applyAlignment="1">
      <alignment horizontal="center"/>
    </xf>
    <xf numFmtId="0" fontId="4" fillId="12" borderId="44" xfId="0" applyFont="1" applyFill="1" applyBorder="1"/>
    <xf numFmtId="0" fontId="6" fillId="12" borderId="46" xfId="0" applyFont="1" applyFill="1" applyBorder="1" applyAlignment="1">
      <alignment horizontal="center"/>
    </xf>
    <xf numFmtId="0" fontId="0" fillId="12" borderId="0" xfId="0" applyFont="1" applyFill="1" applyAlignment="1"/>
    <xf numFmtId="0" fontId="2" fillId="12" borderId="43" xfId="0" applyFont="1" applyFill="1" applyBorder="1" applyAlignment="1"/>
    <xf numFmtId="0" fontId="5" fillId="12" borderId="54" xfId="0" applyFont="1" applyFill="1" applyBorder="1" applyAlignment="1"/>
    <xf numFmtId="4" fontId="5" fillId="12" borderId="0" xfId="0" applyNumberFormat="1" applyFont="1" applyFill="1" applyAlignment="1"/>
    <xf numFmtId="0" fontId="4" fillId="12" borderId="5" xfId="0" applyFont="1" applyFill="1" applyBorder="1" applyAlignment="1"/>
    <xf numFmtId="0" fontId="16" fillId="12" borderId="43" xfId="0" applyFont="1" applyFill="1" applyBorder="1" applyAlignment="1">
      <alignment horizontal="center"/>
    </xf>
    <xf numFmtId="0" fontId="16" fillId="13" borderId="45" xfId="0" applyFont="1" applyFill="1" applyBorder="1" applyAlignment="1"/>
    <xf numFmtId="0" fontId="14" fillId="0" borderId="90" xfId="0" applyFont="1" applyBorder="1" applyAlignment="1"/>
    <xf numFmtId="0" fontId="12" fillId="0" borderId="90" xfId="0" applyFont="1" applyBorder="1" applyAlignment="1"/>
    <xf numFmtId="0" fontId="12" fillId="0" borderId="90" xfId="0" applyFont="1" applyBorder="1" applyAlignment="1">
      <alignment horizontal="right"/>
    </xf>
    <xf numFmtId="0" fontId="5" fillId="0" borderId="90" xfId="0" applyFont="1" applyBorder="1" applyAlignment="1"/>
    <xf numFmtId="4" fontId="12" fillId="0" borderId="90" xfId="0" applyNumberFormat="1" applyFont="1" applyBorder="1" applyAlignment="1">
      <alignment horizontal="right"/>
    </xf>
    <xf numFmtId="0" fontId="12" fillId="12" borderId="90" xfId="0" applyFont="1" applyFill="1" applyBorder="1" applyAlignment="1"/>
    <xf numFmtId="0" fontId="5" fillId="12" borderId="90" xfId="0" applyFont="1" applyFill="1" applyBorder="1" applyAlignment="1"/>
    <xf numFmtId="3" fontId="5" fillId="0" borderId="90" xfId="0" applyNumberFormat="1" applyFont="1" applyBorder="1" applyAlignment="1"/>
    <xf numFmtId="165" fontId="5" fillId="0" borderId="90" xfId="0" applyNumberFormat="1" applyFont="1" applyBorder="1" applyAlignment="1"/>
    <xf numFmtId="165" fontId="12" fillId="12" borderId="90" xfId="0" applyNumberFormat="1" applyFont="1" applyFill="1" applyBorder="1" applyAlignment="1"/>
    <xf numFmtId="182" fontId="5" fillId="0" borderId="40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7" xfId="0" applyNumberFormat="1" applyFont="1" applyBorder="1" applyAlignment="1">
      <alignment horizontal="center"/>
    </xf>
    <xf numFmtId="182" fontId="2" fillId="0" borderId="27" xfId="0" applyNumberFormat="1" applyFont="1" applyBorder="1" applyAlignment="1">
      <alignment horizontal="center"/>
    </xf>
    <xf numFmtId="182" fontId="2" fillId="0" borderId="42" xfId="0" applyNumberFormat="1" applyFont="1" applyBorder="1" applyAlignment="1">
      <alignment horizontal="center"/>
    </xf>
    <xf numFmtId="182" fontId="5" fillId="0" borderId="27" xfId="0" applyNumberFormat="1" applyFont="1" applyBorder="1" applyAlignment="1"/>
    <xf numFmtId="182" fontId="13" fillId="6" borderId="0" xfId="0" applyNumberFormat="1" applyFont="1" applyFill="1"/>
    <xf numFmtId="182" fontId="17" fillId="0" borderId="48" xfId="0" applyNumberFormat="1" applyFont="1" applyBorder="1" applyAlignment="1"/>
  </cellXfs>
  <cellStyles count="1">
    <cellStyle name="Normal" xfId="0" builtinId="0"/>
  </cellStyles>
  <dxfs count="42"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monto del % de ventas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'E-Costos'!$A$144:$A$153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'E-Costos'!$B$144:$B$153</c:f>
              <c:numCache>
                <c:formatCode>[$ $]#,##0.00</c:formatCode>
                <c:ptCount val="10"/>
                <c:pt idx="0">
                  <c:v>3267720</c:v>
                </c:pt>
                <c:pt idx="1">
                  <c:v>6535440</c:v>
                </c:pt>
                <c:pt idx="2">
                  <c:v>9803160</c:v>
                </c:pt>
                <c:pt idx="3">
                  <c:v>13070880</c:v>
                </c:pt>
                <c:pt idx="4">
                  <c:v>16338600</c:v>
                </c:pt>
                <c:pt idx="5">
                  <c:v>19606320</c:v>
                </c:pt>
                <c:pt idx="6">
                  <c:v>22874040</c:v>
                </c:pt>
                <c:pt idx="7">
                  <c:v>26141760</c:v>
                </c:pt>
                <c:pt idx="8">
                  <c:v>29409480</c:v>
                </c:pt>
                <c:pt idx="9">
                  <c:v>32677200</c:v>
                </c:pt>
              </c:numCache>
            </c:numRef>
          </c:val>
          <c:smooth val="0"/>
        </c:ser>
        <c:ser>
          <c:idx val="1"/>
          <c:order val="1"/>
          <c:tx>
            <c:v>costo fijo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'E-Costos'!$A$144:$A$153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'E-Costos'!$C$144:$C$153</c:f>
              <c:numCache>
                <c:formatCode>[$ $]#,##0.00</c:formatCode>
                <c:ptCount val="10"/>
                <c:pt idx="0">
                  <c:v>6061735.986577685</c:v>
                </c:pt>
                <c:pt idx="1">
                  <c:v>6061735.986577685</c:v>
                </c:pt>
                <c:pt idx="2">
                  <c:v>6061735.986577685</c:v>
                </c:pt>
                <c:pt idx="3">
                  <c:v>6061735.986577685</c:v>
                </c:pt>
                <c:pt idx="4">
                  <c:v>6061735.986577685</c:v>
                </c:pt>
                <c:pt idx="5">
                  <c:v>6061735.986577685</c:v>
                </c:pt>
                <c:pt idx="6">
                  <c:v>6061735.986577685</c:v>
                </c:pt>
                <c:pt idx="7">
                  <c:v>6061735.986577685</c:v>
                </c:pt>
                <c:pt idx="8">
                  <c:v>6061735.986577685</c:v>
                </c:pt>
                <c:pt idx="9">
                  <c:v>6061735.986577685</c:v>
                </c:pt>
              </c:numCache>
            </c:numRef>
          </c:val>
          <c:smooth val="0"/>
        </c:ser>
        <c:ser>
          <c:idx val="2"/>
          <c:order val="2"/>
          <c:tx>
            <c:v>costo variable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'E-Costos'!$A$144:$A$153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'E-Costos'!$D$144:$D$153</c:f>
              <c:numCache>
                <c:formatCode>[$ $]#,##0.00</c:formatCode>
                <c:ptCount val="10"/>
                <c:pt idx="0">
                  <c:v>765981.99938903621</c:v>
                </c:pt>
                <c:pt idx="1">
                  <c:v>1531963.9987780724</c:v>
                </c:pt>
                <c:pt idx="2">
                  <c:v>2297945.9981671083</c:v>
                </c:pt>
                <c:pt idx="3">
                  <c:v>3063927.9975561448</c:v>
                </c:pt>
                <c:pt idx="4">
                  <c:v>3829909.9969451809</c:v>
                </c:pt>
                <c:pt idx="5">
                  <c:v>4595891.9963342166</c:v>
                </c:pt>
                <c:pt idx="6">
                  <c:v>5361873.9957232531</c:v>
                </c:pt>
                <c:pt idx="7">
                  <c:v>6127855.9951122897</c:v>
                </c:pt>
                <c:pt idx="8">
                  <c:v>6893837.9945013262</c:v>
                </c:pt>
                <c:pt idx="9">
                  <c:v>7659819.9938903619</c:v>
                </c:pt>
              </c:numCache>
            </c:numRef>
          </c:val>
          <c:smooth val="0"/>
        </c:ser>
        <c:ser>
          <c:idx val="3"/>
          <c:order val="3"/>
          <c:tx>
            <c:v>costo total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'E-Costos'!$A$144:$A$153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'E-Costos'!$E$144:$E$153</c:f>
              <c:numCache>
                <c:formatCode>[$ $]#,##0.00</c:formatCode>
                <c:ptCount val="10"/>
                <c:pt idx="0">
                  <c:v>6827717.9859667215</c:v>
                </c:pt>
                <c:pt idx="1">
                  <c:v>7593699.9853557572</c:v>
                </c:pt>
                <c:pt idx="2">
                  <c:v>8359681.9847447928</c:v>
                </c:pt>
                <c:pt idx="3">
                  <c:v>9125663.9841338303</c:v>
                </c:pt>
                <c:pt idx="4">
                  <c:v>9891645.9835228659</c:v>
                </c:pt>
                <c:pt idx="5" formatCode="&quot;$&quot;\ #,##0">
                  <c:v>10657627.982911902</c:v>
                </c:pt>
                <c:pt idx="6" formatCode="&quot;$&quot;\ #,##0">
                  <c:v>11423609.982300937</c:v>
                </c:pt>
                <c:pt idx="7" formatCode="&quot;$&quot;\ #,##0">
                  <c:v>12189591.981689975</c:v>
                </c:pt>
                <c:pt idx="8" formatCode="&quot;$&quot;\ #,##0">
                  <c:v>12955573.981079012</c:v>
                </c:pt>
                <c:pt idx="9" formatCode="&quot;$&quot;\ #,##0">
                  <c:v>13721555.980468046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422480"/>
        <c:axId val="514422872"/>
      </c:lineChart>
      <c:catAx>
        <c:axId val="514422480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14422872"/>
        <c:crosses val="autoZero"/>
        <c:auto val="1"/>
        <c:lblAlgn val="ctr"/>
        <c:lblOffset val="100"/>
        <c:noMultiLvlLbl val="0"/>
      </c:catAx>
      <c:valAx>
        <c:axId val="51442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 $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1442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monto del % de ventas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'E-Costos'!$A$157:$A$166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'E-Costos'!$B$157:$B$166</c:f>
              <c:numCache>
                <c:formatCode>[$ $]#,##0.00</c:formatCode>
                <c:ptCount val="10"/>
                <c:pt idx="0">
                  <c:v>2698425.6</c:v>
                </c:pt>
                <c:pt idx="1">
                  <c:v>5396851.2000000002</c:v>
                </c:pt>
                <c:pt idx="2">
                  <c:v>8095276.7999999998</c:v>
                </c:pt>
                <c:pt idx="3">
                  <c:v>10793702.4</c:v>
                </c:pt>
                <c:pt idx="4">
                  <c:v>13492128</c:v>
                </c:pt>
                <c:pt idx="5">
                  <c:v>16190553.6</c:v>
                </c:pt>
                <c:pt idx="6">
                  <c:v>18888979.199999999</c:v>
                </c:pt>
                <c:pt idx="7">
                  <c:v>21587404.800000001</c:v>
                </c:pt>
                <c:pt idx="8">
                  <c:v>24285830.400000002</c:v>
                </c:pt>
                <c:pt idx="9">
                  <c:v>26984256</c:v>
                </c:pt>
              </c:numCache>
            </c:numRef>
          </c:val>
          <c:smooth val="0"/>
        </c:ser>
        <c:ser>
          <c:idx val="1"/>
          <c:order val="1"/>
          <c:tx>
            <c:v>costo fijo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'E-Costos'!$A$157:$A$166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'E-Costos'!$C$157:$C$166</c:f>
              <c:numCache>
                <c:formatCode>_(\$* #,##0.00_);_(\$* \(#,##0.00\);_(\$* \-??_);_(@_)</c:formatCode>
                <c:ptCount val="10"/>
                <c:pt idx="0">
                  <c:v>5362183.3169164751</c:v>
                </c:pt>
                <c:pt idx="1">
                  <c:v>5362183.3169164751</c:v>
                </c:pt>
                <c:pt idx="2">
                  <c:v>5362183.3169164751</c:v>
                </c:pt>
                <c:pt idx="3">
                  <c:v>5362183.3169164751</c:v>
                </c:pt>
                <c:pt idx="4">
                  <c:v>5362183.3169164751</c:v>
                </c:pt>
                <c:pt idx="5">
                  <c:v>5362183.3169164751</c:v>
                </c:pt>
                <c:pt idx="6">
                  <c:v>5362183.3169164751</c:v>
                </c:pt>
                <c:pt idx="7">
                  <c:v>5362183.3169164751</c:v>
                </c:pt>
                <c:pt idx="8">
                  <c:v>5362183.3169164751</c:v>
                </c:pt>
                <c:pt idx="9">
                  <c:v>5362183.3169164751</c:v>
                </c:pt>
              </c:numCache>
            </c:numRef>
          </c:val>
          <c:smooth val="0"/>
        </c:ser>
        <c:ser>
          <c:idx val="2"/>
          <c:order val="2"/>
          <c:tx>
            <c:v>costo variable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'E-Costos'!$A$157:$A$166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'E-Costos'!$D$157:$D$166</c:f>
              <c:numCache>
                <c:formatCode>[$ $]#,##0</c:formatCode>
                <c:ptCount val="10"/>
                <c:pt idx="0">
                  <c:v>639802.60859596205</c:v>
                </c:pt>
                <c:pt idx="1">
                  <c:v>1279605.2171919241</c:v>
                </c:pt>
                <c:pt idx="2">
                  <c:v>1919407.8257878858</c:v>
                </c:pt>
                <c:pt idx="3">
                  <c:v>2559210.4343838482</c:v>
                </c:pt>
                <c:pt idx="4">
                  <c:v>3199013.0429798099</c:v>
                </c:pt>
                <c:pt idx="5">
                  <c:v>3838815.6515757716</c:v>
                </c:pt>
                <c:pt idx="6">
                  <c:v>4478618.2601717338</c:v>
                </c:pt>
                <c:pt idx="7">
                  <c:v>5118420.8687676964</c:v>
                </c:pt>
                <c:pt idx="8">
                  <c:v>5758223.4773636581</c:v>
                </c:pt>
                <c:pt idx="9">
                  <c:v>6398026.0859596198</c:v>
                </c:pt>
              </c:numCache>
            </c:numRef>
          </c:val>
          <c:smooth val="0"/>
        </c:ser>
        <c:ser>
          <c:idx val="3"/>
          <c:order val="3"/>
          <c:tx>
            <c:v>costo total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'E-Costos'!$A$157:$A$166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'E-Costos'!$E$157:$E$166</c:f>
              <c:numCache>
                <c:formatCode>[$ $]#,##0</c:formatCode>
                <c:ptCount val="10"/>
                <c:pt idx="0">
                  <c:v>6001985.9255124368</c:v>
                </c:pt>
                <c:pt idx="1">
                  <c:v>6641788.5341083994</c:v>
                </c:pt>
                <c:pt idx="2">
                  <c:v>7281591.1427043611</c:v>
                </c:pt>
                <c:pt idx="3">
                  <c:v>7921393.7513003238</c:v>
                </c:pt>
                <c:pt idx="4">
                  <c:v>8561196.3598962855</c:v>
                </c:pt>
                <c:pt idx="5">
                  <c:v>9200998.9684922472</c:v>
                </c:pt>
                <c:pt idx="6">
                  <c:v>9840801.5770882089</c:v>
                </c:pt>
                <c:pt idx="7">
                  <c:v>10480604.185684171</c:v>
                </c:pt>
                <c:pt idx="8">
                  <c:v>11120406.794280134</c:v>
                </c:pt>
                <c:pt idx="9">
                  <c:v>11760209.402876094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672416"/>
        <c:axId val="597672024"/>
      </c:lineChart>
      <c:catAx>
        <c:axId val="597672416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97672024"/>
        <c:crosses val="autoZero"/>
        <c:auto val="1"/>
        <c:lblAlgn val="ctr"/>
        <c:lblOffset val="100"/>
        <c:noMultiLvlLbl val="0"/>
      </c:catAx>
      <c:valAx>
        <c:axId val="59767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 $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9767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388327</xdr:colOff>
      <xdr:row>138</xdr:row>
      <xdr:rowOff>136524</xdr:rowOff>
    </xdr:from>
    <xdr:to>
      <xdr:col>10</xdr:col>
      <xdr:colOff>1077058</xdr:colOff>
      <xdr:row>155</xdr:row>
      <xdr:rowOff>132128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345586</xdr:colOff>
      <xdr:row>156</xdr:row>
      <xdr:rowOff>75466</xdr:rowOff>
    </xdr:from>
    <xdr:to>
      <xdr:col>10</xdr:col>
      <xdr:colOff>1034317</xdr:colOff>
      <xdr:row>173</xdr:row>
      <xdr:rowOff>119916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societario.com.ar/constitucionsrl-ciudad.html" TargetMode="External"/><Relationship Id="rId3" Type="http://schemas.openxmlformats.org/officeDocument/2006/relationships/hyperlink" Target="https://articulo.mercadolibre.com.ar/MLA-686012302-lavadora-industrial-pulma-de-300kg-_JM" TargetMode="External"/><Relationship Id="rId7" Type="http://schemas.openxmlformats.org/officeDocument/2006/relationships/hyperlink" Target="https://articulo.mercadolibre.com.ar/MLA-703996151-carro-y-plataforma-acero-stanley-mt519-zorra-hasta-200-kg-_JM" TargetMode="External"/><Relationship Id="rId2" Type="http://schemas.openxmlformats.org/officeDocument/2006/relationships/hyperlink" Target="http://www.fletespuntocom.com.ar/Tarifas/" TargetMode="External"/><Relationship Id="rId1" Type="http://schemas.openxmlformats.org/officeDocument/2006/relationships/hyperlink" Target="https://inmueble.mercadolibre.com.ar/MLA-748721714-deposito-vlynch-_JM" TargetMode="External"/><Relationship Id="rId6" Type="http://schemas.openxmlformats.org/officeDocument/2006/relationships/hyperlink" Target="https://articulo.mercadolibre.com.ar/MLA-743529125-autoelevador-toyota-diesel-25tn-cdesplazador-torre-triple-_JM" TargetMode="External"/><Relationship Id="rId5" Type="http://schemas.openxmlformats.org/officeDocument/2006/relationships/hyperlink" Target="https://spanish.alibaba.com/product-detail/neweek-factory-supply-industrial-stainless-steel-fruit-citrus-juicer-60543814165.html?spm=a2700.8699010.normalList.18.760d68d6D0hiit" TargetMode="External"/><Relationship Id="rId4" Type="http://schemas.openxmlformats.org/officeDocument/2006/relationships/hyperlink" Target="https://spanish.alibaba.com/product-detail/USF-100A-Small-Semi-Automatic-Aluminum-60791553603.html?spm=a2700.galleryofferlist.normalList.32.8d3e5a6dvF01T9&amp;s=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ercadocentral.gob.ar/servicios/precios-y-vol%C3%BAmenes/precios-mayoris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4.4257812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7" customWidth="1"/>
    <col min="14" max="26" width="9" customWidth="1"/>
  </cols>
  <sheetData>
    <row r="1" spans="1:13" ht="14.25" customHeight="1">
      <c r="A1" s="1" t="s">
        <v>0</v>
      </c>
      <c r="E1" s="2">
        <v>5</v>
      </c>
    </row>
    <row r="2" spans="1:13" ht="15.75" customHeight="1">
      <c r="G2" s="483" t="s">
        <v>1</v>
      </c>
      <c r="H2" s="484"/>
      <c r="I2" s="484"/>
      <c r="J2" s="484"/>
      <c r="K2" s="484"/>
      <c r="L2" s="484"/>
      <c r="M2" s="485"/>
    </row>
    <row r="3" spans="1:13" ht="14.25" customHeight="1">
      <c r="A3" s="5" t="s">
        <v>4</v>
      </c>
      <c r="B3" s="7">
        <v>0.21</v>
      </c>
      <c r="G3" s="486" t="s">
        <v>7</v>
      </c>
      <c r="H3" s="487"/>
      <c r="I3" s="487"/>
      <c r="J3" s="487"/>
      <c r="K3" s="487"/>
      <c r="L3" s="487"/>
      <c r="M3" s="488"/>
    </row>
    <row r="4" spans="1:13" ht="14.25" customHeight="1">
      <c r="A4" s="5" t="s">
        <v>11</v>
      </c>
      <c r="B4" s="7">
        <v>0.35</v>
      </c>
      <c r="G4" s="489"/>
      <c r="H4" s="490"/>
      <c r="I4" s="490"/>
      <c r="J4" s="490"/>
      <c r="K4" s="490"/>
      <c r="L4" s="490"/>
      <c r="M4" s="491"/>
    </row>
    <row r="5" spans="1:13" ht="14.25" customHeight="1">
      <c r="A5" s="5" t="s">
        <v>14</v>
      </c>
      <c r="B5" s="11">
        <v>5.5E-2</v>
      </c>
      <c r="C5" t="s">
        <v>15</v>
      </c>
      <c r="G5" s="489"/>
      <c r="H5" s="490"/>
      <c r="I5" s="490"/>
      <c r="J5" s="490"/>
      <c r="K5" s="490"/>
      <c r="L5" s="490"/>
      <c r="M5" s="491"/>
    </row>
    <row r="6" spans="1:13" ht="14.25" customHeight="1">
      <c r="G6" s="492"/>
      <c r="H6" s="493"/>
      <c r="I6" s="493"/>
      <c r="J6" s="493"/>
      <c r="K6" s="493"/>
      <c r="L6" s="493"/>
      <c r="M6" s="494"/>
    </row>
    <row r="7" spans="1:13" ht="14.25" customHeight="1">
      <c r="A7" s="5" t="s">
        <v>16</v>
      </c>
      <c r="B7" t="s">
        <v>17</v>
      </c>
      <c r="G7" s="495" t="s">
        <v>18</v>
      </c>
      <c r="H7" s="487"/>
      <c r="I7" s="487"/>
      <c r="J7" s="487"/>
      <c r="K7" s="487"/>
      <c r="L7" s="487"/>
      <c r="M7" s="488"/>
    </row>
    <row r="8" spans="1:13" ht="14.25" customHeight="1">
      <c r="A8" s="18" t="s">
        <v>21</v>
      </c>
      <c r="B8" s="20">
        <v>30</v>
      </c>
      <c r="C8" t="s">
        <v>24</v>
      </c>
      <c r="G8" s="492"/>
      <c r="H8" s="493"/>
      <c r="I8" s="493"/>
      <c r="J8" s="493"/>
      <c r="K8" s="493"/>
      <c r="L8" s="493"/>
      <c r="M8" s="494"/>
    </row>
    <row r="9" spans="1:13" ht="14.25" customHeight="1">
      <c r="A9" s="18" t="s">
        <v>25</v>
      </c>
      <c r="B9" s="20">
        <v>10</v>
      </c>
      <c r="C9" t="s">
        <v>24</v>
      </c>
      <c r="G9" s="496" t="s">
        <v>26</v>
      </c>
      <c r="H9" s="484"/>
      <c r="I9" s="484"/>
      <c r="J9" s="484"/>
      <c r="K9" s="484"/>
      <c r="L9" s="484"/>
      <c r="M9" s="485"/>
    </row>
    <row r="10" spans="1:13" ht="14.25" customHeight="1">
      <c r="A10" s="18" t="s">
        <v>28</v>
      </c>
      <c r="B10" s="20">
        <v>10</v>
      </c>
      <c r="C10" t="s">
        <v>24</v>
      </c>
      <c r="G10" s="495" t="s">
        <v>29</v>
      </c>
      <c r="H10" s="487"/>
      <c r="I10" s="487"/>
      <c r="J10" s="487"/>
      <c r="K10" s="487"/>
      <c r="L10" s="487"/>
      <c r="M10" s="488"/>
    </row>
    <row r="11" spans="1:13" ht="14.25" customHeight="1">
      <c r="A11" s="18" t="s">
        <v>31</v>
      </c>
      <c r="B11" s="20">
        <v>5</v>
      </c>
      <c r="C11" t="s">
        <v>24</v>
      </c>
      <c r="G11" s="492"/>
      <c r="H11" s="493"/>
      <c r="I11" s="493"/>
      <c r="J11" s="493"/>
      <c r="K11" s="493"/>
      <c r="L11" s="493"/>
      <c r="M11" s="494"/>
    </row>
    <row r="12" spans="1:13" ht="14.25" customHeight="1">
      <c r="A12" s="18" t="s">
        <v>32</v>
      </c>
      <c r="B12" s="20">
        <v>5</v>
      </c>
      <c r="C12" t="s">
        <v>24</v>
      </c>
      <c r="G12" s="495" t="s">
        <v>33</v>
      </c>
      <c r="H12" s="487"/>
      <c r="I12" s="487"/>
      <c r="J12" s="487"/>
      <c r="K12" s="487"/>
      <c r="L12" s="487"/>
      <c r="M12" s="488"/>
    </row>
    <row r="13" spans="1:13" ht="14.25" customHeight="1">
      <c r="A13" s="18" t="s">
        <v>36</v>
      </c>
      <c r="B13" s="20">
        <v>3</v>
      </c>
      <c r="C13" t="s">
        <v>24</v>
      </c>
      <c r="G13" s="492"/>
      <c r="H13" s="493"/>
      <c r="I13" s="493"/>
      <c r="J13" s="493"/>
      <c r="K13" s="493"/>
      <c r="L13" s="493"/>
      <c r="M13" s="494"/>
    </row>
    <row r="14" spans="1:13" ht="12.75" customHeight="1">
      <c r="A14" s="18" t="s">
        <v>37</v>
      </c>
      <c r="B14" s="20">
        <v>5</v>
      </c>
      <c r="C14" t="s">
        <v>24</v>
      </c>
    </row>
    <row r="15" spans="1:13" ht="14.25" customHeight="1">
      <c r="A15" s="18" t="s">
        <v>38</v>
      </c>
      <c r="B15" s="27">
        <v>4.4999999999999998E-2</v>
      </c>
    </row>
    <row r="16" spans="1:13" ht="12.75" customHeight="1"/>
    <row r="17" spans="1:7" ht="14.25" customHeight="1">
      <c r="A17" s="5" t="s">
        <v>39</v>
      </c>
      <c r="B17" s="29" t="s">
        <v>40</v>
      </c>
      <c r="C17" s="31"/>
      <c r="D17" s="31"/>
      <c r="E17" s="31"/>
      <c r="F17" s="31"/>
      <c r="G17" s="33"/>
    </row>
    <row r="18" spans="1:7" ht="14.25" customHeight="1"/>
    <row r="19" spans="1:7" ht="12.75" customHeight="1">
      <c r="A19" s="5" t="s">
        <v>43</v>
      </c>
      <c r="B19" s="35">
        <v>680775</v>
      </c>
      <c r="C19" t="s">
        <v>44</v>
      </c>
    </row>
    <row r="20" spans="1:7" ht="14.25" customHeight="1">
      <c r="A20" s="5" t="s">
        <v>45</v>
      </c>
      <c r="B20" s="35">
        <v>48</v>
      </c>
      <c r="C20" t="s">
        <v>46</v>
      </c>
    </row>
    <row r="21" spans="1:7" ht="12.75" customHeight="1"/>
    <row r="22" spans="1:7" ht="12.75" customHeight="1">
      <c r="A22" s="5" t="s">
        <v>47</v>
      </c>
    </row>
    <row r="23" spans="1:7" ht="12.75" customHeight="1">
      <c r="A23" s="5" t="s">
        <v>49</v>
      </c>
      <c r="B23" s="35">
        <v>11</v>
      </c>
      <c r="C23" t="s">
        <v>51</v>
      </c>
    </row>
    <row r="24" spans="1:7" ht="12.75" customHeight="1">
      <c r="A24" s="5" t="s">
        <v>52</v>
      </c>
      <c r="B24" s="35">
        <v>1</v>
      </c>
      <c r="C24" t="s">
        <v>51</v>
      </c>
    </row>
    <row r="25" spans="1:7" ht="12.75" customHeight="1">
      <c r="A25" s="5" t="s">
        <v>53</v>
      </c>
      <c r="B25" s="35">
        <v>2</v>
      </c>
      <c r="C25" t="s">
        <v>51</v>
      </c>
    </row>
    <row r="26" spans="1:7" ht="12.75" customHeight="1"/>
    <row r="27" spans="1:7" ht="12.75" customHeight="1">
      <c r="A27" s="5" t="s">
        <v>54</v>
      </c>
      <c r="B27" s="35" t="s">
        <v>55</v>
      </c>
      <c r="C27" t="s">
        <v>56</v>
      </c>
    </row>
    <row r="28" spans="1:7" ht="14.25" customHeight="1">
      <c r="A28" s="5" t="s">
        <v>57</v>
      </c>
      <c r="B28" s="35">
        <v>12</v>
      </c>
      <c r="C28" t="s">
        <v>58</v>
      </c>
    </row>
    <row r="29" spans="1:7" ht="12.75" customHeight="1">
      <c r="A29" s="5" t="s">
        <v>59</v>
      </c>
      <c r="B29" s="35">
        <v>3</v>
      </c>
      <c r="C29" t="s">
        <v>58</v>
      </c>
    </row>
    <row r="30" spans="1:7" ht="12.75" customHeight="1"/>
    <row r="31" spans="1:7" ht="12.75" customHeight="1"/>
    <row r="32" spans="1:7" ht="14.25" customHeight="1">
      <c r="A32" s="5" t="s">
        <v>61</v>
      </c>
      <c r="B32" s="38" t="s">
        <v>62</v>
      </c>
      <c r="C32" t="s">
        <v>66</v>
      </c>
      <c r="D32" s="35">
        <v>1</v>
      </c>
      <c r="E32" t="s">
        <v>67</v>
      </c>
    </row>
    <row r="33" spans="1:7" ht="12.75" customHeight="1">
      <c r="A33" s="39"/>
    </row>
    <row r="34" spans="1:7" ht="14.25" customHeight="1">
      <c r="A34" s="39"/>
    </row>
    <row r="35" spans="1:7" ht="12.75" customHeight="1">
      <c r="A35" s="5" t="s">
        <v>71</v>
      </c>
      <c r="B35" s="40"/>
      <c r="C35" t="s">
        <v>73</v>
      </c>
      <c r="G35" s="42" t="s">
        <v>74</v>
      </c>
    </row>
    <row r="36" spans="1:7" ht="12.75" customHeight="1">
      <c r="A36" s="5" t="s">
        <v>78</v>
      </c>
      <c r="B36" s="497"/>
      <c r="C36" s="498"/>
      <c r="D36" s="499"/>
    </row>
    <row r="37" spans="1:7" ht="12.75" customHeight="1">
      <c r="A37" s="5" t="s">
        <v>86</v>
      </c>
      <c r="B37" s="45"/>
    </row>
    <row r="38" spans="1:7" ht="14.25" customHeight="1">
      <c r="A38" s="5"/>
    </row>
    <row r="39" spans="1:7" ht="12.75" customHeight="1">
      <c r="A39" s="5" t="s">
        <v>90</v>
      </c>
      <c r="B39" s="46"/>
    </row>
    <row r="40" spans="1:7" ht="12.75" customHeight="1">
      <c r="A40" s="5" t="s">
        <v>93</v>
      </c>
      <c r="B40" s="46"/>
    </row>
    <row r="41" spans="1:7" ht="12.75" customHeight="1">
      <c r="A41" s="5" t="s">
        <v>94</v>
      </c>
      <c r="B41" s="46"/>
      <c r="C41" t="s">
        <v>73</v>
      </c>
    </row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4.2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spans="1:1" ht="12.75" customHeight="1"/>
    <row r="130" spans="1:1" ht="12.75" customHeight="1"/>
    <row r="131" spans="1:1" ht="12.75" customHeight="1"/>
    <row r="132" spans="1:1" ht="12.75" customHeight="1"/>
    <row r="133" spans="1:1" ht="12.75" customHeight="1">
      <c r="A133" s="42" t="s">
        <v>97</v>
      </c>
    </row>
    <row r="134" spans="1:1" ht="12.75" customHeight="1"/>
    <row r="135" spans="1:1" ht="12.75" customHeight="1"/>
    <row r="136" spans="1:1" ht="12.75" customHeight="1"/>
    <row r="137" spans="1:1" ht="12.75" customHeight="1"/>
    <row r="138" spans="1:1" ht="12.75" customHeight="1"/>
    <row r="139" spans="1:1" ht="12.75" customHeight="1"/>
    <row r="140" spans="1:1" ht="12.75" customHeight="1"/>
    <row r="141" spans="1:1" ht="12.75" customHeight="1"/>
    <row r="142" spans="1:1" ht="12.75" customHeight="1"/>
    <row r="143" spans="1:1" ht="12.75" customHeight="1"/>
    <row r="144" spans="1:1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G12:M13"/>
    <mergeCell ref="B36:D36"/>
    <mergeCell ref="G2:M2"/>
    <mergeCell ref="G3:M6"/>
    <mergeCell ref="G7:M8"/>
    <mergeCell ref="G9:M9"/>
    <mergeCell ref="G10:M11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54.28515625" customWidth="1"/>
    <col min="2" max="4" width="13.85546875" customWidth="1"/>
    <col min="5" max="6" width="11.28515625" customWidth="1"/>
    <col min="7" max="26" width="9" customWidth="1"/>
  </cols>
  <sheetData>
    <row r="1" spans="1:26" ht="14.25" customHeight="1">
      <c r="A1" s="1" t="s">
        <v>0</v>
      </c>
      <c r="D1">
        <f>InfoInicial!E1</f>
        <v>5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585</v>
      </c>
      <c r="B2" s="56"/>
      <c r="C2" s="56"/>
      <c r="D2" s="5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61" t="s">
        <v>153</v>
      </c>
      <c r="B3" s="460" t="s">
        <v>19</v>
      </c>
      <c r="C3" s="460" t="s">
        <v>20</v>
      </c>
      <c r="D3" s="17" t="s">
        <v>445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39" t="s">
        <v>586</v>
      </c>
      <c r="B4" s="70"/>
      <c r="C4" s="70"/>
      <c r="D4" s="8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"/>
      <c r="B5" s="70"/>
      <c r="C5" s="70"/>
      <c r="D5" s="8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" t="s">
        <v>587</v>
      </c>
      <c r="B6" s="70"/>
      <c r="C6" s="70"/>
      <c r="D6" s="8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3" t="s">
        <v>588</v>
      </c>
      <c r="B7" s="70"/>
      <c r="C7" s="70"/>
      <c r="D7" s="8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9" t="s">
        <v>589</v>
      </c>
      <c r="B8" s="70"/>
      <c r="C8" s="70"/>
      <c r="D8" s="8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46" t="s">
        <v>590</v>
      </c>
      <c r="B9" s="70"/>
      <c r="C9" s="70"/>
      <c r="D9" s="8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39" t="s">
        <v>591</v>
      </c>
      <c r="B10" s="70"/>
      <c r="C10" s="70"/>
      <c r="D10" s="8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9" t="s">
        <v>592</v>
      </c>
      <c r="B11" s="70"/>
      <c r="C11" s="70"/>
      <c r="D11" s="8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46" t="s">
        <v>593</v>
      </c>
      <c r="B12" s="70"/>
      <c r="C12" s="70"/>
      <c r="D12" s="8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3" t="s">
        <v>594</v>
      </c>
      <c r="B13" s="70"/>
      <c r="C13" s="70"/>
      <c r="D13" s="8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 t="s">
        <v>595</v>
      </c>
      <c r="B14" s="70"/>
      <c r="C14" s="70"/>
      <c r="D14" s="8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9" t="s">
        <v>596</v>
      </c>
      <c r="B15" s="70"/>
      <c r="C15" s="70"/>
      <c r="D15" s="8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 t="s">
        <v>320</v>
      </c>
      <c r="B16" s="70"/>
      <c r="C16" s="70"/>
      <c r="D16" s="8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 t="s">
        <v>597</v>
      </c>
      <c r="B17" s="70"/>
      <c r="C17" s="70"/>
      <c r="D17" s="8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 t="s">
        <v>598</v>
      </c>
      <c r="B18" s="70"/>
      <c r="C18" s="70"/>
      <c r="D18" s="8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 t="s">
        <v>599</v>
      </c>
      <c r="B19" s="70"/>
      <c r="C19" s="70"/>
      <c r="D19" s="8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9" t="s">
        <v>600</v>
      </c>
      <c r="B20" s="70"/>
      <c r="C20" s="70"/>
      <c r="D20" s="8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 t="s">
        <v>548</v>
      </c>
      <c r="B21" s="70"/>
      <c r="C21" s="70"/>
      <c r="D21" s="8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9" t="s">
        <v>601</v>
      </c>
      <c r="B22" s="70"/>
      <c r="C22" s="70"/>
      <c r="D22" s="8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9" t="s">
        <v>602</v>
      </c>
      <c r="B23" s="70"/>
      <c r="C23" s="70"/>
      <c r="D23" s="8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9" t="s">
        <v>603</v>
      </c>
      <c r="B24" s="70"/>
      <c r="C24" s="70"/>
      <c r="D24" s="8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 t="s">
        <v>604</v>
      </c>
      <c r="B25" s="70"/>
      <c r="C25" s="70"/>
      <c r="D25" s="8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 t="s">
        <v>605</v>
      </c>
      <c r="B26" s="70"/>
      <c r="C26" s="70"/>
      <c r="D26" s="8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9" t="s">
        <v>606</v>
      </c>
      <c r="B27" s="70"/>
      <c r="C27" s="70"/>
      <c r="D27" s="80"/>
      <c r="E27" s="46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9" t="s">
        <v>607</v>
      </c>
      <c r="B28" s="70"/>
      <c r="C28" s="70"/>
      <c r="D28" s="365"/>
      <c r="E28" s="462" t="s">
        <v>255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9" t="s">
        <v>608</v>
      </c>
      <c r="B29" s="70"/>
      <c r="C29" s="70"/>
      <c r="D29" s="365"/>
      <c r="E29" s="43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9" t="s">
        <v>609</v>
      </c>
      <c r="B30" s="70"/>
      <c r="C30" s="70"/>
      <c r="D30" s="365"/>
      <c r="E30" s="43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9" t="s">
        <v>610</v>
      </c>
      <c r="B31" s="70"/>
      <c r="C31" s="70"/>
      <c r="D31" s="365"/>
      <c r="E31" s="43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135" t="s">
        <v>445</v>
      </c>
      <c r="B32" s="137"/>
      <c r="C32" s="137"/>
      <c r="D32" s="422"/>
      <c r="E32" s="46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>
      <c r="A34" s="318" t="s">
        <v>611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61" t="s">
        <v>153</v>
      </c>
      <c r="B35" s="16" t="s">
        <v>20</v>
      </c>
      <c r="C35" s="16" t="s">
        <v>156</v>
      </c>
      <c r="D35" s="16" t="s">
        <v>157</v>
      </c>
      <c r="E35" s="16" t="s">
        <v>158</v>
      </c>
      <c r="F35" s="16" t="s">
        <v>159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24" t="s">
        <v>512</v>
      </c>
      <c r="B36" s="30"/>
      <c r="C36" s="30"/>
      <c r="D36" s="30"/>
      <c r="E36" s="30"/>
      <c r="F36" s="3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99" t="s">
        <v>510</v>
      </c>
      <c r="B37" s="30"/>
      <c r="C37" s="30"/>
      <c r="D37" s="30"/>
      <c r="E37" s="30"/>
      <c r="F37" s="3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24" t="s">
        <v>516</v>
      </c>
      <c r="B38" s="30"/>
      <c r="C38" s="30"/>
      <c r="D38" s="30"/>
      <c r="E38" s="30"/>
      <c r="F38" s="3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99" t="s">
        <v>514</v>
      </c>
      <c r="B39" s="30"/>
      <c r="C39" s="30"/>
      <c r="D39" s="30"/>
      <c r="E39" s="30"/>
      <c r="F39" s="3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24" t="s">
        <v>519</v>
      </c>
      <c r="B40" s="30"/>
      <c r="C40" s="30"/>
      <c r="D40" s="30"/>
      <c r="E40" s="30"/>
      <c r="F40" s="3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99" t="s">
        <v>518</v>
      </c>
      <c r="B41" s="30"/>
      <c r="C41" s="30"/>
      <c r="D41" s="30"/>
      <c r="E41" s="30"/>
      <c r="F41" s="3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99" t="s">
        <v>612</v>
      </c>
      <c r="B42" s="30"/>
      <c r="C42" s="30"/>
      <c r="D42" s="30"/>
      <c r="E42" s="30"/>
      <c r="F42" s="3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24" t="s">
        <v>520</v>
      </c>
      <c r="B43" s="30"/>
      <c r="C43" s="30"/>
      <c r="D43" s="30"/>
      <c r="E43" s="30"/>
      <c r="F43" s="3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71" t="s">
        <v>521</v>
      </c>
      <c r="B44" s="60"/>
      <c r="C44" s="60"/>
      <c r="D44" s="60"/>
      <c r="E44" s="60"/>
      <c r="F44" s="6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404" t="s">
        <v>613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42.85546875" customWidth="1"/>
    <col min="2" max="7" width="13.85546875" customWidth="1"/>
    <col min="8" max="26" width="9" customWidth="1"/>
  </cols>
  <sheetData>
    <row r="1" spans="1:26" ht="14.25" customHeight="1">
      <c r="A1" s="1" t="s">
        <v>0</v>
      </c>
      <c r="E1" s="2">
        <f>InfoInicial!E1</f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396</v>
      </c>
      <c r="B2" s="56"/>
      <c r="C2" s="56"/>
      <c r="D2" s="56"/>
      <c r="E2" s="56"/>
      <c r="F2" s="56"/>
      <c r="G2" s="5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19"/>
      <c r="B3" s="323" t="s">
        <v>398</v>
      </c>
      <c r="C3" s="323"/>
      <c r="D3" s="323"/>
      <c r="E3" s="323"/>
      <c r="F3" s="323"/>
      <c r="G3" s="32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26" t="s">
        <v>153</v>
      </c>
      <c r="B4" s="328" t="s">
        <v>19</v>
      </c>
      <c r="C4" s="16" t="s">
        <v>20</v>
      </c>
      <c r="D4" s="16" t="s">
        <v>156</v>
      </c>
      <c r="E4" s="16" t="s">
        <v>157</v>
      </c>
      <c r="F4" s="16" t="s">
        <v>158</v>
      </c>
      <c r="G4" s="17" t="s">
        <v>159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30" t="s">
        <v>614</v>
      </c>
      <c r="B5" s="331"/>
      <c r="C5" s="66"/>
      <c r="D5" s="66"/>
      <c r="E5" s="66"/>
      <c r="F5" s="66"/>
      <c r="G5" s="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32" t="s">
        <v>615</v>
      </c>
      <c r="B6" s="334"/>
      <c r="C6" s="70"/>
      <c r="D6" s="70"/>
      <c r="E6" s="70"/>
      <c r="F6" s="70"/>
      <c r="G6" s="8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32" t="s">
        <v>616</v>
      </c>
      <c r="B7" s="334"/>
      <c r="C7" s="70"/>
      <c r="D7" s="70"/>
      <c r="E7" s="70"/>
      <c r="F7" s="70"/>
      <c r="G7" s="8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64" t="s">
        <v>617</v>
      </c>
      <c r="B8" s="334"/>
      <c r="C8" s="70"/>
      <c r="D8" s="70"/>
      <c r="E8" s="70"/>
      <c r="F8" s="70"/>
      <c r="G8" s="8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64" t="s">
        <v>618</v>
      </c>
      <c r="B9" s="334"/>
      <c r="C9" s="70"/>
      <c r="D9" s="70"/>
      <c r="E9" s="70"/>
      <c r="F9" s="70"/>
      <c r="G9" s="8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39" t="s">
        <v>619</v>
      </c>
      <c r="B10" s="334"/>
      <c r="C10" s="70"/>
      <c r="D10" s="70"/>
      <c r="E10" s="70"/>
      <c r="F10" s="70"/>
      <c r="G10" s="8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39"/>
      <c r="B11" s="334"/>
      <c r="C11" s="70"/>
      <c r="D11" s="70"/>
      <c r="E11" s="70"/>
      <c r="F11" s="70"/>
      <c r="G11" s="8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32" t="s">
        <v>423</v>
      </c>
      <c r="B12" s="334"/>
      <c r="C12" s="70"/>
      <c r="D12" s="70"/>
      <c r="E12" s="70"/>
      <c r="F12" s="70"/>
      <c r="G12" s="8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32" t="s">
        <v>424</v>
      </c>
      <c r="B13" s="334"/>
      <c r="C13" s="70"/>
      <c r="D13" s="70"/>
      <c r="E13" s="70"/>
      <c r="F13" s="70"/>
      <c r="G13" s="8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39" t="s">
        <v>620</v>
      </c>
      <c r="B14" s="334"/>
      <c r="C14" s="70"/>
      <c r="D14" s="70"/>
      <c r="E14" s="70"/>
      <c r="F14" s="70"/>
      <c r="G14" s="8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32"/>
      <c r="B15" s="334"/>
      <c r="C15" s="70"/>
      <c r="D15" s="70"/>
      <c r="E15" s="70"/>
      <c r="F15" s="70"/>
      <c r="G15" s="8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44" t="s">
        <v>621</v>
      </c>
      <c r="B16" s="334"/>
      <c r="C16" s="70"/>
      <c r="D16" s="70"/>
      <c r="E16" s="70"/>
      <c r="F16" s="70"/>
      <c r="G16" s="8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44" t="s">
        <v>622</v>
      </c>
      <c r="B17" s="334"/>
      <c r="C17" s="70"/>
      <c r="D17" s="70"/>
      <c r="E17" s="70"/>
      <c r="F17" s="70"/>
      <c r="G17" s="8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39" t="s">
        <v>623</v>
      </c>
      <c r="B18" s="334"/>
      <c r="C18" s="70"/>
      <c r="D18" s="70"/>
      <c r="E18" s="70"/>
      <c r="F18" s="70"/>
      <c r="G18" s="8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39" t="s">
        <v>624</v>
      </c>
      <c r="B19" s="334"/>
      <c r="C19" s="70"/>
      <c r="D19" s="70"/>
      <c r="E19" s="70"/>
      <c r="F19" s="70"/>
      <c r="G19" s="8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32"/>
      <c r="B20" s="334"/>
      <c r="C20" s="70"/>
      <c r="D20" s="70"/>
      <c r="E20" s="70"/>
      <c r="F20" s="70"/>
      <c r="G20" s="8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348" t="s">
        <v>438</v>
      </c>
      <c r="B21" s="349"/>
      <c r="C21" s="137"/>
      <c r="D21" s="137"/>
      <c r="E21" s="137"/>
      <c r="F21" s="137"/>
      <c r="G21" s="19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40.85546875" customWidth="1"/>
    <col min="2" max="7" width="14.7109375" customWidth="1"/>
    <col min="8" max="8" width="21.7109375" customWidth="1"/>
    <col min="9" max="9" width="17.28515625" customWidth="1"/>
    <col min="10" max="14" width="11.28515625" customWidth="1"/>
    <col min="15" max="26" width="9" customWidth="1"/>
  </cols>
  <sheetData>
    <row r="1" spans="1:26" ht="14.25" customHeight="1">
      <c r="A1" s="1" t="s">
        <v>0</v>
      </c>
      <c r="E1" s="2">
        <f>InfoInicial!E1</f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430" t="s">
        <v>625</v>
      </c>
      <c r="B3" s="316"/>
      <c r="C3" s="316"/>
      <c r="D3" s="316"/>
      <c r="E3" s="316"/>
      <c r="F3" s="316"/>
      <c r="G3" s="465"/>
      <c r="H3" s="3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26"/>
      <c r="B4" s="120" t="s">
        <v>19</v>
      </c>
      <c r="C4" s="120" t="s">
        <v>20</v>
      </c>
      <c r="D4" s="120" t="s">
        <v>156</v>
      </c>
      <c r="E4" s="120" t="s">
        <v>157</v>
      </c>
      <c r="F4" s="120" t="s">
        <v>158</v>
      </c>
      <c r="G4" s="431" t="s">
        <v>159</v>
      </c>
      <c r="H4" s="122" t="s">
        <v>445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9" t="s">
        <v>626</v>
      </c>
      <c r="B5" s="337"/>
      <c r="C5" s="337"/>
      <c r="D5" s="337"/>
      <c r="E5" s="337"/>
      <c r="F5" s="337"/>
      <c r="G5" s="466"/>
      <c r="H5" s="33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" t="s">
        <v>627</v>
      </c>
      <c r="B6" s="70"/>
      <c r="C6" s="70"/>
      <c r="D6" s="70"/>
      <c r="E6" s="70"/>
      <c r="F6" s="70"/>
      <c r="G6" s="365"/>
      <c r="H6" s="8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3" t="s">
        <v>628</v>
      </c>
      <c r="B7" s="467"/>
      <c r="C7" s="467"/>
      <c r="D7" s="467"/>
      <c r="E7" s="467"/>
      <c r="F7" s="467"/>
      <c r="G7" s="468"/>
      <c r="H7" s="46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" t="s">
        <v>629</v>
      </c>
      <c r="B8" s="70"/>
      <c r="C8" s="70"/>
      <c r="D8" s="70"/>
      <c r="E8" s="70"/>
      <c r="F8" s="70"/>
      <c r="G8" s="365"/>
      <c r="H8" s="8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3" t="s">
        <v>630</v>
      </c>
      <c r="B9" s="467"/>
      <c r="C9" s="467"/>
      <c r="D9" s="467"/>
      <c r="E9" s="467"/>
      <c r="F9" s="467"/>
      <c r="G9" s="468"/>
      <c r="H9" s="46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3" t="s">
        <v>631</v>
      </c>
      <c r="B10" s="70"/>
      <c r="C10" s="70"/>
      <c r="D10" s="70"/>
      <c r="E10" s="70"/>
      <c r="F10" s="70"/>
      <c r="G10" s="365"/>
      <c r="H10" s="8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" t="s">
        <v>632</v>
      </c>
      <c r="B11" s="337"/>
      <c r="C11" s="337"/>
      <c r="D11" s="337"/>
      <c r="E11" s="337"/>
      <c r="F11" s="337"/>
      <c r="G11" s="466"/>
      <c r="H11" s="33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"/>
      <c r="B12" s="70"/>
      <c r="C12" s="70"/>
      <c r="D12" s="70"/>
      <c r="E12" s="70"/>
      <c r="F12" s="70"/>
      <c r="G12" s="365"/>
      <c r="H12" s="8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39" t="s">
        <v>633</v>
      </c>
      <c r="B13" s="70"/>
      <c r="C13" s="70"/>
      <c r="D13" s="70"/>
      <c r="E13" s="70"/>
      <c r="F13" s="70"/>
      <c r="G13" s="365"/>
      <c r="H13" s="8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 t="s">
        <v>634</v>
      </c>
      <c r="B14" s="467"/>
      <c r="C14" s="467"/>
      <c r="D14" s="467"/>
      <c r="E14" s="467"/>
      <c r="F14" s="467"/>
      <c r="G14" s="468"/>
      <c r="H14" s="46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" t="s">
        <v>559</v>
      </c>
      <c r="B15" s="70"/>
      <c r="C15" s="70"/>
      <c r="D15" s="70"/>
      <c r="E15" s="70"/>
      <c r="F15" s="70"/>
      <c r="G15" s="365"/>
      <c r="H15" s="8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 t="s">
        <v>635</v>
      </c>
      <c r="B16" s="70"/>
      <c r="C16" s="70"/>
      <c r="D16" s="70"/>
      <c r="E16" s="70"/>
      <c r="F16" s="70"/>
      <c r="G16" s="365"/>
      <c r="H16" s="8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 t="s">
        <v>636</v>
      </c>
      <c r="B17" s="70"/>
      <c r="C17" s="70"/>
      <c r="D17" s="70"/>
      <c r="E17" s="70"/>
      <c r="F17" s="70"/>
      <c r="G17" s="365"/>
      <c r="H17" s="8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 t="s">
        <v>637</v>
      </c>
      <c r="B18" s="467"/>
      <c r="C18" s="467"/>
      <c r="D18" s="467"/>
      <c r="E18" s="467"/>
      <c r="F18" s="467"/>
      <c r="G18" s="468"/>
      <c r="H18" s="46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 t="s">
        <v>638</v>
      </c>
      <c r="B19" s="70"/>
      <c r="C19" s="70"/>
      <c r="D19" s="70"/>
      <c r="E19" s="70"/>
      <c r="F19" s="70"/>
      <c r="G19" s="365"/>
      <c r="H19" s="8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 t="s">
        <v>639</v>
      </c>
      <c r="B20" s="467"/>
      <c r="C20" s="467"/>
      <c r="D20" s="467"/>
      <c r="E20" s="467"/>
      <c r="F20" s="467"/>
      <c r="G20" s="468"/>
      <c r="H20" s="46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 t="s">
        <v>640</v>
      </c>
      <c r="B21" s="70"/>
      <c r="C21" s="70"/>
      <c r="D21" s="70"/>
      <c r="E21" s="70"/>
      <c r="F21" s="70"/>
      <c r="G21" s="365"/>
      <c r="H21" s="8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 t="s">
        <v>641</v>
      </c>
      <c r="B22" s="337"/>
      <c r="C22" s="337"/>
      <c r="D22" s="337"/>
      <c r="E22" s="337"/>
      <c r="F22" s="337"/>
      <c r="G22" s="466"/>
      <c r="H22" s="33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70"/>
      <c r="C23" s="70"/>
      <c r="D23" s="70"/>
      <c r="E23" s="70"/>
      <c r="F23" s="70"/>
      <c r="G23" s="365"/>
      <c r="H23" s="8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9" t="s">
        <v>642</v>
      </c>
      <c r="B24" s="70"/>
      <c r="C24" s="70"/>
      <c r="D24" s="70"/>
      <c r="E24" s="70"/>
      <c r="F24" s="70"/>
      <c r="G24" s="365"/>
      <c r="H24" s="8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9" t="s">
        <v>643</v>
      </c>
      <c r="B25" s="70"/>
      <c r="C25" s="70"/>
      <c r="D25" s="70"/>
      <c r="E25" s="70"/>
      <c r="F25" s="70"/>
      <c r="G25" s="365"/>
      <c r="H25" s="8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9"/>
      <c r="B26" s="70"/>
      <c r="C26" s="70"/>
      <c r="D26" s="70"/>
      <c r="E26" s="70"/>
      <c r="F26" s="70"/>
      <c r="G26" s="365"/>
      <c r="H26" s="8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9" t="s">
        <v>644</v>
      </c>
      <c r="B27" s="342"/>
      <c r="C27" s="342"/>
      <c r="D27" s="342"/>
      <c r="E27" s="342"/>
      <c r="F27" s="342"/>
      <c r="G27" s="470"/>
      <c r="H27" s="34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71" t="s">
        <v>645</v>
      </c>
      <c r="B28" s="60"/>
      <c r="C28" s="60"/>
      <c r="D28" s="60"/>
      <c r="E28" s="60"/>
      <c r="F28" s="60"/>
      <c r="G28" s="471"/>
      <c r="H28" s="10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37.5703125" customWidth="1"/>
    <col min="2" max="7" width="14.7109375" customWidth="1"/>
    <col min="8" max="26" width="9" customWidth="1"/>
  </cols>
  <sheetData>
    <row r="1" spans="1:26" ht="14.25" customHeight="1">
      <c r="A1" s="1" t="s">
        <v>0</v>
      </c>
      <c r="E1" s="2">
        <f>InfoInicial!E1</f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430" t="s">
        <v>646</v>
      </c>
      <c r="B3" s="316"/>
      <c r="C3" s="316"/>
      <c r="D3" s="316"/>
      <c r="E3" s="316"/>
      <c r="F3" s="316"/>
      <c r="G3" s="3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63"/>
      <c r="B4" s="472" t="s">
        <v>19</v>
      </c>
      <c r="C4" s="472" t="s">
        <v>20</v>
      </c>
      <c r="D4" s="472" t="s">
        <v>156</v>
      </c>
      <c r="E4" s="472" t="s">
        <v>157</v>
      </c>
      <c r="F4" s="472" t="s">
        <v>158</v>
      </c>
      <c r="G4" s="473" t="s">
        <v>159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73" t="s">
        <v>647</v>
      </c>
      <c r="B5" s="474"/>
      <c r="C5" s="474"/>
      <c r="D5" s="474"/>
      <c r="E5" s="474"/>
      <c r="F5" s="474"/>
      <c r="G5" s="47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24" t="s">
        <v>648</v>
      </c>
      <c r="B6" s="70"/>
      <c r="C6" s="70"/>
      <c r="D6" s="70"/>
      <c r="E6" s="70"/>
      <c r="F6" s="70"/>
      <c r="G6" s="8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26" t="s">
        <v>649</v>
      </c>
      <c r="B7" s="467"/>
      <c r="C7" s="467"/>
      <c r="D7" s="467"/>
      <c r="E7" s="467"/>
      <c r="F7" s="467"/>
      <c r="G7" s="46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26" t="s">
        <v>650</v>
      </c>
      <c r="B8" s="70"/>
      <c r="C8" s="70"/>
      <c r="D8" s="70"/>
      <c r="E8" s="70"/>
      <c r="F8" s="70"/>
      <c r="G8" s="8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24" t="s">
        <v>651</v>
      </c>
      <c r="B9" s="467"/>
      <c r="C9" s="467"/>
      <c r="D9" s="467"/>
      <c r="E9" s="467"/>
      <c r="F9" s="467"/>
      <c r="G9" s="46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24" t="s">
        <v>652</v>
      </c>
      <c r="B10" s="70"/>
      <c r="C10" s="70"/>
      <c r="D10" s="70"/>
      <c r="E10" s="70"/>
      <c r="F10" s="70"/>
      <c r="G10" s="8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24" t="s">
        <v>653</v>
      </c>
      <c r="B11" s="337"/>
      <c r="C11" s="337"/>
      <c r="D11" s="337"/>
      <c r="E11" s="337"/>
      <c r="F11" s="337"/>
      <c r="G11" s="33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24" t="s">
        <v>654</v>
      </c>
      <c r="B12" s="337"/>
      <c r="C12" s="337"/>
      <c r="D12" s="337"/>
      <c r="E12" s="337"/>
      <c r="F12" s="337"/>
      <c r="G12" s="33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24" t="s">
        <v>655</v>
      </c>
      <c r="B13" s="337"/>
      <c r="C13" s="337"/>
      <c r="D13" s="337"/>
      <c r="E13" s="337"/>
      <c r="F13" s="337"/>
      <c r="G13" s="33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26" t="s">
        <v>656</v>
      </c>
      <c r="B14" s="70"/>
      <c r="C14" s="70"/>
      <c r="D14" s="70"/>
      <c r="E14" s="70"/>
      <c r="F14" s="70"/>
      <c r="G14" s="8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26" t="s">
        <v>657</v>
      </c>
      <c r="B15" s="467"/>
      <c r="C15" s="467"/>
      <c r="D15" s="467"/>
      <c r="E15" s="467"/>
      <c r="F15" s="467"/>
      <c r="G15" s="46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26" t="s">
        <v>658</v>
      </c>
      <c r="B16" s="70"/>
      <c r="C16" s="70"/>
      <c r="D16" s="70"/>
      <c r="E16" s="70"/>
      <c r="F16" s="70"/>
      <c r="G16" s="8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26" t="s">
        <v>659</v>
      </c>
      <c r="B17" s="70"/>
      <c r="C17" s="70"/>
      <c r="D17" s="70"/>
      <c r="E17" s="70"/>
      <c r="F17" s="70"/>
      <c r="G17" s="8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24" t="s">
        <v>178</v>
      </c>
      <c r="B18" s="467"/>
      <c r="C18" s="467"/>
      <c r="D18" s="467"/>
      <c r="E18" s="467"/>
      <c r="F18" s="467"/>
      <c r="G18" s="46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26" t="s">
        <v>656</v>
      </c>
      <c r="B19" s="70"/>
      <c r="C19" s="70"/>
      <c r="D19" s="70"/>
      <c r="E19" s="70"/>
      <c r="F19" s="70"/>
      <c r="G19" s="8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26" t="s">
        <v>660</v>
      </c>
      <c r="B20" s="70"/>
      <c r="C20" s="70"/>
      <c r="D20" s="70"/>
      <c r="E20" s="70"/>
      <c r="F20" s="70"/>
      <c r="G20" s="8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26" t="s">
        <v>661</v>
      </c>
      <c r="B21" s="70"/>
      <c r="C21" s="70"/>
      <c r="D21" s="70"/>
      <c r="E21" s="70"/>
      <c r="F21" s="70"/>
      <c r="G21" s="8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26" t="s">
        <v>659</v>
      </c>
      <c r="B22" s="467"/>
      <c r="C22" s="467"/>
      <c r="D22" s="467"/>
      <c r="E22" s="467"/>
      <c r="F22" s="467"/>
      <c r="G22" s="46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24" t="s">
        <v>662</v>
      </c>
      <c r="B23" s="467"/>
      <c r="C23" s="467"/>
      <c r="D23" s="467"/>
      <c r="E23" s="467"/>
      <c r="F23" s="467"/>
      <c r="G23" s="46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24" t="s">
        <v>663</v>
      </c>
      <c r="B24" s="467"/>
      <c r="C24" s="467"/>
      <c r="D24" s="467"/>
      <c r="E24" s="467"/>
      <c r="F24" s="467"/>
      <c r="G24" s="46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24" t="s">
        <v>664</v>
      </c>
      <c r="B25" s="467"/>
      <c r="C25" s="467"/>
      <c r="D25" s="467"/>
      <c r="E25" s="467"/>
      <c r="F25" s="467"/>
      <c r="G25" s="46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4" t="s">
        <v>665</v>
      </c>
      <c r="B26" s="467"/>
      <c r="C26" s="467"/>
      <c r="D26" s="467"/>
      <c r="E26" s="467"/>
      <c r="F26" s="467"/>
      <c r="G26" s="46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24" t="s">
        <v>666</v>
      </c>
      <c r="B27" s="70"/>
      <c r="C27" s="70"/>
      <c r="D27" s="70"/>
      <c r="E27" s="70"/>
      <c r="F27" s="70"/>
      <c r="G27" s="8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24" t="s">
        <v>667</v>
      </c>
      <c r="B28" s="70"/>
      <c r="C28" s="70"/>
      <c r="D28" s="70"/>
      <c r="E28" s="70"/>
      <c r="F28" s="70"/>
      <c r="G28" s="8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24" t="s">
        <v>666</v>
      </c>
      <c r="B29" s="467"/>
      <c r="C29" s="467"/>
      <c r="D29" s="467"/>
      <c r="E29" s="467"/>
      <c r="F29" s="467"/>
      <c r="G29" s="46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24" t="s">
        <v>668</v>
      </c>
      <c r="B30" s="70"/>
      <c r="C30" s="70"/>
      <c r="D30" s="70"/>
      <c r="E30" s="70"/>
      <c r="F30" s="70"/>
      <c r="G30" s="8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24" t="s">
        <v>669</v>
      </c>
      <c r="B31" s="70"/>
      <c r="C31" s="70"/>
      <c r="D31" s="70"/>
      <c r="E31" s="70"/>
      <c r="F31" s="70"/>
      <c r="G31" s="8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24" t="s">
        <v>670</v>
      </c>
      <c r="B32" s="70"/>
      <c r="C32" s="70"/>
      <c r="D32" s="70"/>
      <c r="E32" s="70"/>
      <c r="F32" s="70"/>
      <c r="G32" s="8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24" t="s">
        <v>671</v>
      </c>
      <c r="B33" s="467"/>
      <c r="C33" s="467"/>
      <c r="D33" s="467"/>
      <c r="E33" s="467"/>
      <c r="F33" s="467"/>
      <c r="G33" s="46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24" t="s">
        <v>672</v>
      </c>
      <c r="B34" s="70"/>
      <c r="C34" s="70"/>
      <c r="D34" s="70"/>
      <c r="E34" s="70"/>
      <c r="F34" s="70"/>
      <c r="G34" s="8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71" t="s">
        <v>673</v>
      </c>
      <c r="B35" s="60"/>
      <c r="C35" s="60"/>
      <c r="D35" s="60"/>
      <c r="E35" s="60"/>
      <c r="F35" s="60"/>
      <c r="G35" s="10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476" t="s">
        <v>674</v>
      </c>
      <c r="B38" s="428" t="str">
        <f t="shared" ref="B38:G38" si="0">IF(B24=B35,"OK","MAL")</f>
        <v>OK</v>
      </c>
      <c r="C38" s="428" t="str">
        <f t="shared" si="0"/>
        <v>OK</v>
      </c>
      <c r="D38" s="428" t="str">
        <f t="shared" si="0"/>
        <v>OK</v>
      </c>
      <c r="E38" s="428" t="str">
        <f t="shared" si="0"/>
        <v>OK</v>
      </c>
      <c r="F38" s="428" t="str">
        <f t="shared" si="0"/>
        <v>OK</v>
      </c>
      <c r="G38" s="428" t="str">
        <f t="shared" si="0"/>
        <v>OK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B38">
    <cfRule type="cellIs" dxfId="31" priority="1" operator="equal">
      <formula>"OK"</formula>
    </cfRule>
  </conditionalFormatting>
  <conditionalFormatting sqref="B38">
    <cfRule type="cellIs" dxfId="30" priority="2" operator="equal">
      <formula>"MAL"</formula>
    </cfRule>
  </conditionalFormatting>
  <conditionalFormatting sqref="C38">
    <cfRule type="cellIs" dxfId="29" priority="3" operator="equal">
      <formula>"OK"</formula>
    </cfRule>
  </conditionalFormatting>
  <conditionalFormatting sqref="C38">
    <cfRule type="cellIs" dxfId="28" priority="4" operator="equal">
      <formula>"MAL"</formula>
    </cfRule>
  </conditionalFormatting>
  <conditionalFormatting sqref="D38">
    <cfRule type="cellIs" dxfId="27" priority="5" operator="equal">
      <formula>"OK"</formula>
    </cfRule>
  </conditionalFormatting>
  <conditionalFormatting sqref="D38">
    <cfRule type="cellIs" dxfId="26" priority="6" operator="equal">
      <formula>"MAL"</formula>
    </cfRule>
  </conditionalFormatting>
  <conditionalFormatting sqref="E38">
    <cfRule type="cellIs" dxfId="25" priority="7" operator="equal">
      <formula>"OK"</formula>
    </cfRule>
  </conditionalFormatting>
  <conditionalFormatting sqref="E38">
    <cfRule type="cellIs" dxfId="24" priority="8" operator="equal">
      <formula>"MAL"</formula>
    </cfRule>
  </conditionalFormatting>
  <conditionalFormatting sqref="F38">
    <cfRule type="cellIs" dxfId="23" priority="9" operator="equal">
      <formula>"OK"</formula>
    </cfRule>
  </conditionalFormatting>
  <conditionalFormatting sqref="F38">
    <cfRule type="cellIs" dxfId="22" priority="10" operator="equal">
      <formula>"MAL"</formula>
    </cfRule>
  </conditionalFormatting>
  <conditionalFormatting sqref="G38">
    <cfRule type="cellIs" dxfId="21" priority="11" operator="equal">
      <formula>"OK"</formula>
    </cfRule>
  </conditionalFormatting>
  <conditionalFormatting sqref="G38">
    <cfRule type="cellIs" dxfId="20" priority="12" operator="equal">
      <formula>"MAL"</formula>
    </cfRule>
  </conditionalFormatting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7.85546875" customWidth="1"/>
    <col min="2" max="6" width="14.7109375" customWidth="1"/>
    <col min="7" max="7" width="16" customWidth="1"/>
    <col min="8" max="9" width="14.7109375" customWidth="1"/>
    <col min="10" max="10" width="17.42578125" customWidth="1"/>
    <col min="11" max="11" width="14.7109375" customWidth="1"/>
    <col min="12" max="12" width="16.5703125" customWidth="1"/>
    <col min="13" max="13" width="18.42578125" customWidth="1"/>
    <col min="14" max="14" width="17.42578125" customWidth="1"/>
    <col min="15" max="15" width="17.28515625" customWidth="1"/>
    <col min="16" max="26" width="9" customWidth="1"/>
  </cols>
  <sheetData>
    <row r="1" spans="1:26" ht="14.25" customHeight="1">
      <c r="A1" s="1" t="s">
        <v>0</v>
      </c>
      <c r="E1" s="3"/>
      <c r="F1" s="3"/>
      <c r="G1" s="2">
        <f>InfoInicial!E1</f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318" t="s">
        <v>675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>
      <c r="A4" s="326" t="s">
        <v>530</v>
      </c>
      <c r="B4" s="328" t="s">
        <v>634</v>
      </c>
      <c r="C4" s="328" t="s">
        <v>676</v>
      </c>
      <c r="D4" s="328" t="s">
        <v>533</v>
      </c>
      <c r="E4" s="328" t="s">
        <v>14</v>
      </c>
      <c r="F4" s="328" t="s">
        <v>534</v>
      </c>
      <c r="G4" s="328" t="s">
        <v>535</v>
      </c>
      <c r="H4" s="328" t="s">
        <v>677</v>
      </c>
      <c r="I4" s="328" t="s">
        <v>678</v>
      </c>
      <c r="J4" s="328" t="s">
        <v>246</v>
      </c>
      <c r="K4" s="328" t="s">
        <v>537</v>
      </c>
      <c r="L4" s="328" t="s">
        <v>538</v>
      </c>
      <c r="M4" s="416" t="s">
        <v>539</v>
      </c>
      <c r="N4" s="417" t="s">
        <v>540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418">
        <v>0</v>
      </c>
      <c r="B5" s="331"/>
      <c r="C5" s="66"/>
      <c r="D5" s="66"/>
      <c r="E5" s="66"/>
      <c r="F5" s="66"/>
      <c r="G5" s="66"/>
      <c r="H5" s="66"/>
      <c r="I5" s="66"/>
      <c r="J5" s="66"/>
      <c r="K5" s="66"/>
      <c r="L5" s="66"/>
      <c r="M5" s="356"/>
      <c r="N5" s="6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20">
        <v>1</v>
      </c>
      <c r="B6" s="334"/>
      <c r="C6" s="70"/>
      <c r="D6" s="70"/>
      <c r="E6" s="70"/>
      <c r="F6" s="70"/>
      <c r="G6" s="70"/>
      <c r="H6" s="70"/>
      <c r="I6" s="70"/>
      <c r="J6" s="70"/>
      <c r="K6" s="70"/>
      <c r="L6" s="70"/>
      <c r="M6" s="365"/>
      <c r="N6" s="8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20">
        <v>2</v>
      </c>
      <c r="B7" s="334"/>
      <c r="C7" s="70"/>
      <c r="D7" s="70"/>
      <c r="E7" s="70"/>
      <c r="F7" s="70"/>
      <c r="G7" s="70"/>
      <c r="H7" s="70"/>
      <c r="I7" s="70"/>
      <c r="J7" s="70"/>
      <c r="K7" s="70"/>
      <c r="L7" s="70"/>
      <c r="M7" s="365"/>
      <c r="N7" s="8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20">
        <v>3</v>
      </c>
      <c r="B8" s="334"/>
      <c r="C8" s="70"/>
      <c r="D8" s="70"/>
      <c r="E8" s="70"/>
      <c r="F8" s="70"/>
      <c r="G8" s="70"/>
      <c r="H8" s="70"/>
      <c r="I8" s="70"/>
      <c r="J8" s="70"/>
      <c r="K8" s="70"/>
      <c r="L8" s="70"/>
      <c r="M8" s="365"/>
      <c r="N8" s="8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20">
        <v>4</v>
      </c>
      <c r="B9" s="334"/>
      <c r="C9" s="70"/>
      <c r="D9" s="70"/>
      <c r="E9" s="70"/>
      <c r="F9" s="70"/>
      <c r="G9" s="70"/>
      <c r="H9" s="70"/>
      <c r="I9" s="70"/>
      <c r="J9" s="70"/>
      <c r="K9" s="70"/>
      <c r="L9" s="70"/>
      <c r="M9" s="365"/>
      <c r="N9" s="8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20">
        <v>5</v>
      </c>
      <c r="B10" s="33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365"/>
      <c r="N10" s="8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20"/>
      <c r="B11" s="334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365"/>
      <c r="N11" s="8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21" t="s">
        <v>541</v>
      </c>
      <c r="B12" s="349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422"/>
      <c r="N12" s="19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3"/>
      <c r="C14" s="18" t="s">
        <v>542</v>
      </c>
      <c r="D14" s="4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9"/>
      <c r="B15" s="3"/>
      <c r="C15" s="18" t="s">
        <v>543</v>
      </c>
      <c r="D15" s="429"/>
      <c r="E15" s="3" t="s">
        <v>544</v>
      </c>
      <c r="F15" s="3"/>
      <c r="G15" s="3"/>
      <c r="H15" s="3"/>
      <c r="I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3"/>
      <c r="C16" s="18" t="s">
        <v>679</v>
      </c>
      <c r="D16" s="425"/>
      <c r="E16" s="3"/>
      <c r="F16" s="3"/>
      <c r="G16" s="3"/>
      <c r="H16" s="3"/>
      <c r="I16" s="3"/>
      <c r="J16" s="477"/>
      <c r="K16" s="47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3"/>
      <c r="C17" s="18"/>
      <c r="D17" s="425"/>
      <c r="E17" s="3"/>
      <c r="F17" s="3"/>
      <c r="G17" s="3"/>
      <c r="H17" s="3"/>
      <c r="I17" s="3"/>
      <c r="J17" s="478"/>
      <c r="K17" s="5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26"/>
      <c r="B18" s="198"/>
      <c r="C18" s="198"/>
      <c r="D18" s="198"/>
      <c r="E18" s="198"/>
      <c r="F18" s="479"/>
      <c r="G18" s="479"/>
      <c r="H18" s="479"/>
      <c r="I18" s="479"/>
      <c r="J18" s="478"/>
      <c r="K18" s="52"/>
      <c r="L18" s="479"/>
      <c r="M18" s="479"/>
      <c r="N18" s="479"/>
      <c r="O18" s="19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480"/>
      <c r="B19" s="479"/>
      <c r="C19" s="481"/>
      <c r="D19" s="479"/>
      <c r="E19" s="479"/>
      <c r="F19" s="479"/>
      <c r="G19" s="479"/>
      <c r="H19" s="479"/>
      <c r="I19" s="479"/>
      <c r="J19" s="478"/>
      <c r="K19" s="52"/>
      <c r="L19" s="479"/>
      <c r="M19" s="479"/>
      <c r="N19" s="47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478"/>
      <c r="K20" s="5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482"/>
      <c r="B21" s="3"/>
      <c r="C21" s="3"/>
      <c r="D21" s="3"/>
      <c r="E21" s="3"/>
      <c r="F21" s="3"/>
      <c r="G21" s="3"/>
      <c r="H21" s="3"/>
      <c r="I21" s="3"/>
      <c r="J21" s="3"/>
      <c r="K21" s="5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318" t="s">
        <v>680</v>
      </c>
      <c r="B22" s="56"/>
      <c r="C22" s="56"/>
      <c r="D22" s="56"/>
      <c r="E22" s="56"/>
      <c r="F22" s="56"/>
      <c r="G22" s="56"/>
      <c r="H22" s="57"/>
      <c r="I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>
      <c r="A23" s="326" t="s">
        <v>530</v>
      </c>
      <c r="B23" s="328" t="s">
        <v>681</v>
      </c>
      <c r="C23" s="328" t="s">
        <v>535</v>
      </c>
      <c r="D23" s="328" t="s">
        <v>639</v>
      </c>
      <c r="E23" s="328" t="s">
        <v>682</v>
      </c>
      <c r="F23" s="328" t="s">
        <v>538</v>
      </c>
      <c r="G23" s="416" t="s">
        <v>539</v>
      </c>
      <c r="H23" s="417" t="s">
        <v>540</v>
      </c>
      <c r="I23" s="3"/>
      <c r="J23" s="3"/>
      <c r="K23" s="527" t="s">
        <v>546</v>
      </c>
      <c r="L23" s="48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18">
        <v>0</v>
      </c>
      <c r="B24" s="331"/>
      <c r="C24" s="66"/>
      <c r="D24" s="66"/>
      <c r="E24" s="66"/>
      <c r="F24" s="66"/>
      <c r="G24" s="356"/>
      <c r="H24" s="68"/>
      <c r="I24" s="3"/>
      <c r="J24" s="3"/>
      <c r="K24" s="531" t="s">
        <v>547</v>
      </c>
      <c r="L24" s="48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420">
        <v>1</v>
      </c>
      <c r="B25" s="334"/>
      <c r="C25" s="70"/>
      <c r="D25" s="70"/>
      <c r="E25" s="70"/>
      <c r="F25" s="70"/>
      <c r="G25" s="365"/>
      <c r="H25" s="80"/>
      <c r="I25" s="3"/>
      <c r="J25" s="3"/>
      <c r="K25" s="427" t="s">
        <v>246</v>
      </c>
      <c r="L25" s="428" t="str">
        <f>IF(B12=J12,"OK","MAL")</f>
        <v>OK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20">
        <v>2</v>
      </c>
      <c r="B26" s="334"/>
      <c r="C26" s="70"/>
      <c r="D26" s="70"/>
      <c r="E26" s="70"/>
      <c r="F26" s="70"/>
      <c r="G26" s="365"/>
      <c r="H26" s="80"/>
      <c r="I26" s="3"/>
      <c r="K26" s="427" t="s">
        <v>548</v>
      </c>
      <c r="L26" s="428" t="str">
        <f>IF(D12=K12,"OK","MAL")</f>
        <v>OK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420">
        <v>3</v>
      </c>
      <c r="B27" s="334"/>
      <c r="C27" s="70"/>
      <c r="D27" s="70"/>
      <c r="E27" s="70"/>
      <c r="F27" s="70"/>
      <c r="G27" s="365"/>
      <c r="H27" s="80"/>
      <c r="I27" s="3"/>
      <c r="K27" s="427" t="s">
        <v>549</v>
      </c>
      <c r="L27" s="428" t="str">
        <f>IF(C12=0,"OK","MAL")</f>
        <v>OK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20">
        <v>4</v>
      </c>
      <c r="B28" s="334"/>
      <c r="C28" s="70"/>
      <c r="D28" s="70"/>
      <c r="E28" s="70"/>
      <c r="F28" s="70"/>
      <c r="G28" s="365"/>
      <c r="H28" s="80"/>
      <c r="I28" s="3"/>
      <c r="K28" s="427" t="s">
        <v>550</v>
      </c>
      <c r="L28" s="428" t="str">
        <f>IF((H12-F12-E12+I12)=M12,IF(M12=N10,"OK","MAL"),"MAL")</f>
        <v>OK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20">
        <v>5</v>
      </c>
      <c r="B29" s="334"/>
      <c r="C29" s="70"/>
      <c r="D29" s="70"/>
      <c r="E29" s="70"/>
      <c r="F29" s="70"/>
      <c r="G29" s="365"/>
      <c r="H29" s="80"/>
      <c r="I29" s="3"/>
      <c r="K29" s="531" t="s">
        <v>683</v>
      </c>
      <c r="L29" s="48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420"/>
      <c r="B30" s="334"/>
      <c r="C30" s="70"/>
      <c r="D30" s="70"/>
      <c r="E30" s="70"/>
      <c r="F30" s="70"/>
      <c r="G30" s="365"/>
      <c r="H30" s="80"/>
      <c r="I30" s="3"/>
      <c r="K30" s="427" t="s">
        <v>684</v>
      </c>
      <c r="L30" s="428" t="str">
        <f>IF((H12-E12-F12)=G31,"OK","MAL")</f>
        <v>OK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421" t="s">
        <v>541</v>
      </c>
      <c r="B31" s="349"/>
      <c r="C31" s="137"/>
      <c r="D31" s="137"/>
      <c r="E31" s="137"/>
      <c r="F31" s="137"/>
      <c r="G31" s="422"/>
      <c r="H31" s="193"/>
      <c r="I31" s="3"/>
      <c r="J31" s="3"/>
      <c r="K31" s="427" t="s">
        <v>685</v>
      </c>
      <c r="L31" s="428" t="str">
        <f>IF(('F- CFyU'!H28-'F- CFyU'!H7-'F- CFyU'!H8+'F- CFyU'!H14-'F- CFyU'!H25+'F- CFyU'!H15)='F- Form'!G31,"OK","MAL")</f>
        <v>OK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427" t="s">
        <v>686</v>
      </c>
      <c r="L32" s="428" t="str">
        <f>IF('F-CRes'!G14=G31,"OK","MAL")</f>
        <v>OK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427" t="s">
        <v>687</v>
      </c>
      <c r="L33" s="428" t="str">
        <f>IF(('F-Balance'!G33+'F-Balance'!G34)='F- Form'!G31,"OK","MAL")</f>
        <v>OK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18" t="s">
        <v>542</v>
      </c>
      <c r="D34" s="423"/>
      <c r="E34" s="3" t="s">
        <v>688</v>
      </c>
      <c r="F34" s="3"/>
      <c r="G34" s="3"/>
      <c r="H34" s="3"/>
      <c r="I34" s="3"/>
      <c r="J34" s="3"/>
      <c r="K34" s="427" t="s">
        <v>689</v>
      </c>
      <c r="L34" s="428" t="str">
        <f>IF(('F- CFyU'!H10-'F- CFyU'!H16-'F- CFyU'!H19-'F- CFyU'!H17)=G31,"OK","MAL")</f>
        <v>OK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18" t="s">
        <v>543</v>
      </c>
      <c r="D35" s="429"/>
      <c r="E35" s="3" t="s">
        <v>690</v>
      </c>
      <c r="F35" s="3"/>
      <c r="G35" s="3"/>
      <c r="H35" s="3"/>
      <c r="I35" s="3"/>
      <c r="J35" s="3"/>
      <c r="K35" s="531" t="s">
        <v>691</v>
      </c>
      <c r="L35" s="48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18" t="s">
        <v>692</v>
      </c>
      <c r="D36" s="425"/>
      <c r="E36" s="3"/>
      <c r="F36" s="3"/>
      <c r="G36" s="3"/>
      <c r="H36" s="3"/>
      <c r="I36" s="3"/>
      <c r="J36" s="3"/>
      <c r="K36" s="427" t="s">
        <v>693</v>
      </c>
      <c r="L36" s="428" t="str">
        <f>IF(SUM('F-Balance'!B35:G35)=SUM('F-Balance'!B24:G24),"OK","MAL")</f>
        <v>OK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K23:L23"/>
    <mergeCell ref="K24:L24"/>
    <mergeCell ref="K29:L29"/>
    <mergeCell ref="K35:L35"/>
  </mergeCells>
  <conditionalFormatting sqref="L25">
    <cfRule type="cellIs" dxfId="19" priority="1" operator="equal">
      <formula>"OK"</formula>
    </cfRule>
  </conditionalFormatting>
  <conditionalFormatting sqref="L25">
    <cfRule type="cellIs" dxfId="18" priority="2" operator="equal">
      <formula>"MAL"</formula>
    </cfRule>
  </conditionalFormatting>
  <conditionalFormatting sqref="L26">
    <cfRule type="cellIs" dxfId="17" priority="3" operator="equal">
      <formula>"OK"</formula>
    </cfRule>
  </conditionalFormatting>
  <conditionalFormatting sqref="L26">
    <cfRule type="cellIs" dxfId="16" priority="4" operator="equal">
      <formula>"MAL"</formula>
    </cfRule>
  </conditionalFormatting>
  <conditionalFormatting sqref="L27">
    <cfRule type="cellIs" dxfId="15" priority="5" operator="equal">
      <formula>"OK"</formula>
    </cfRule>
  </conditionalFormatting>
  <conditionalFormatting sqref="L27">
    <cfRule type="cellIs" dxfId="14" priority="6" operator="equal">
      <formula>"MAL"</formula>
    </cfRule>
  </conditionalFormatting>
  <conditionalFormatting sqref="L28">
    <cfRule type="cellIs" dxfId="13" priority="7" operator="equal">
      <formula>"OK"</formula>
    </cfRule>
  </conditionalFormatting>
  <conditionalFormatting sqref="L28">
    <cfRule type="cellIs" dxfId="12" priority="8" operator="equal">
      <formula>"MAL"</formula>
    </cfRule>
  </conditionalFormatting>
  <conditionalFormatting sqref="L30">
    <cfRule type="cellIs" dxfId="11" priority="9" operator="equal">
      <formula>"OK"</formula>
    </cfRule>
  </conditionalFormatting>
  <conditionalFormatting sqref="L30">
    <cfRule type="cellIs" dxfId="10" priority="10" operator="equal">
      <formula>"MAL"</formula>
    </cfRule>
  </conditionalFormatting>
  <conditionalFormatting sqref="L31">
    <cfRule type="cellIs" dxfId="9" priority="11" operator="equal">
      <formula>"OK"</formula>
    </cfRule>
  </conditionalFormatting>
  <conditionalFormatting sqref="L31">
    <cfRule type="cellIs" dxfId="8" priority="12" operator="equal">
      <formula>"MAL"</formula>
    </cfRule>
  </conditionalFormatting>
  <conditionalFormatting sqref="L32">
    <cfRule type="cellIs" dxfId="7" priority="13" operator="equal">
      <formula>"OK"</formula>
    </cfRule>
  </conditionalFormatting>
  <conditionalFormatting sqref="L32">
    <cfRule type="cellIs" dxfId="6" priority="14" operator="equal">
      <formula>"MAL"</formula>
    </cfRule>
  </conditionalFormatting>
  <conditionalFormatting sqref="L33">
    <cfRule type="cellIs" dxfId="5" priority="15" operator="equal">
      <formula>"OK"</formula>
    </cfRule>
  </conditionalFormatting>
  <conditionalFormatting sqref="L33">
    <cfRule type="cellIs" dxfId="4" priority="16" operator="equal">
      <formula>"MAL"</formula>
    </cfRule>
  </conditionalFormatting>
  <conditionalFormatting sqref="L34">
    <cfRule type="cellIs" dxfId="3" priority="17" operator="equal">
      <formula>"OK"</formula>
    </cfRule>
  </conditionalFormatting>
  <conditionalFormatting sqref="L34">
    <cfRule type="cellIs" dxfId="2" priority="18" operator="equal">
      <formula>"MAL"</formula>
    </cfRule>
  </conditionalFormatting>
  <conditionalFormatting sqref="L36">
    <cfRule type="cellIs" dxfId="1" priority="19" operator="equal">
      <formula>"OK"</formula>
    </cfRule>
  </conditionalFormatting>
  <conditionalFormatting sqref="L36">
    <cfRule type="cellIs" dxfId="0" priority="20" operator="equal">
      <formula>"MAL"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6" workbookViewId="0">
      <selection activeCell="A70" sqref="A70"/>
    </sheetView>
  </sheetViews>
  <sheetFormatPr baseColWidth="10" defaultColWidth="14.42578125" defaultRowHeight="15" customHeight="1"/>
  <cols>
    <col min="1" max="1" width="45.28515625" customWidth="1"/>
    <col min="2" max="6" width="14.7109375" customWidth="1"/>
    <col min="7" max="7" width="49.7109375" customWidth="1"/>
    <col min="8" max="8" width="11.28515625" customWidth="1"/>
    <col min="9" max="9" width="13.140625" customWidth="1"/>
    <col min="10" max="10" width="11.5703125" customWidth="1"/>
    <col min="11" max="11" width="9" customWidth="1"/>
    <col min="12" max="12" width="16.85546875" customWidth="1"/>
    <col min="13" max="17" width="9" customWidth="1"/>
    <col min="18" max="18" width="25.5703125" customWidth="1"/>
    <col min="19" max="19" width="12.42578125" customWidth="1"/>
    <col min="20" max="20" width="13" customWidth="1"/>
    <col min="21" max="21" width="9" customWidth="1"/>
    <col min="22" max="22" width="26.28515625" customWidth="1"/>
    <col min="23" max="23" width="11.140625" customWidth="1"/>
    <col min="24" max="24" width="9" customWidth="1"/>
    <col min="25" max="25" width="14" customWidth="1"/>
    <col min="26" max="26" width="9" customWidth="1"/>
  </cols>
  <sheetData>
    <row r="1" spans="1:26" ht="14.25" customHeight="1">
      <c r="A1" s="1" t="s">
        <v>2</v>
      </c>
      <c r="E1" s="2">
        <f>InfoInicial!E1</f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V2" s="4" t="s">
        <v>3</v>
      </c>
      <c r="W2" s="6" t="s">
        <v>5</v>
      </c>
      <c r="X2" s="8" t="s">
        <v>6</v>
      </c>
      <c r="Y2" s="6" t="s">
        <v>8</v>
      </c>
      <c r="Z2" s="3"/>
    </row>
    <row r="3" spans="1:26" ht="16.5" customHeight="1">
      <c r="A3" s="9" t="s">
        <v>9</v>
      </c>
      <c r="B3" s="500" t="s">
        <v>10</v>
      </c>
      <c r="C3" s="501"/>
      <c r="D3" s="500" t="s">
        <v>12</v>
      </c>
      <c r="E3" s="50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V3" s="10" t="s">
        <v>13</v>
      </c>
      <c r="W3" s="12">
        <v>5</v>
      </c>
      <c r="X3" s="13">
        <v>1200</v>
      </c>
      <c r="Y3" s="14">
        <f t="shared" ref="Y3:Y45" si="0">X3*W3</f>
        <v>6000</v>
      </c>
      <c r="Z3" s="3"/>
    </row>
    <row r="4" spans="1:26" ht="16.5" customHeight="1">
      <c r="A4" s="15"/>
      <c r="B4" s="16" t="s">
        <v>19</v>
      </c>
      <c r="C4" s="16" t="s">
        <v>20</v>
      </c>
      <c r="D4" s="16" t="s">
        <v>19</v>
      </c>
      <c r="E4" s="17" t="s">
        <v>20</v>
      </c>
      <c r="F4" s="3"/>
      <c r="G4" s="3"/>
      <c r="H4" s="19" t="s">
        <v>22</v>
      </c>
      <c r="I4" s="19">
        <v>39.42</v>
      </c>
      <c r="J4" s="3"/>
      <c r="K4" s="3"/>
      <c r="L4" s="3"/>
      <c r="M4" s="3"/>
      <c r="N4" s="3"/>
      <c r="O4" s="3"/>
      <c r="P4" s="3"/>
      <c r="Q4" s="3"/>
      <c r="V4" s="10" t="s">
        <v>23</v>
      </c>
      <c r="W4" s="12">
        <v>10</v>
      </c>
      <c r="X4" s="13">
        <v>1550</v>
      </c>
      <c r="Y4" s="14">
        <f t="shared" si="0"/>
        <v>15500</v>
      </c>
      <c r="Z4" s="3"/>
    </row>
    <row r="5" spans="1:26" ht="13.5" customHeight="1">
      <c r="A5" s="21"/>
      <c r="B5" s="22"/>
      <c r="C5" s="22"/>
      <c r="D5" s="22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V5" s="10" t="s">
        <v>27</v>
      </c>
      <c r="W5" s="23">
        <v>6</v>
      </c>
      <c r="X5" s="13">
        <v>2100</v>
      </c>
      <c r="Y5" s="14">
        <f t="shared" si="0"/>
        <v>12600</v>
      </c>
      <c r="Z5" s="3"/>
    </row>
    <row r="6" spans="1:26" ht="12.75" customHeight="1">
      <c r="A6" s="24" t="s">
        <v>30</v>
      </c>
      <c r="B6" s="25"/>
      <c r="C6" s="25"/>
      <c r="D6" s="25"/>
      <c r="E6" s="2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V6" s="10" t="s">
        <v>34</v>
      </c>
      <c r="W6" s="23">
        <v>6</v>
      </c>
      <c r="X6" s="13">
        <v>2270</v>
      </c>
      <c r="Y6" s="14">
        <f t="shared" si="0"/>
        <v>13620</v>
      </c>
      <c r="Z6" s="3"/>
    </row>
    <row r="7" spans="1:26" ht="12.75" customHeight="1">
      <c r="A7" s="26" t="s">
        <v>35</v>
      </c>
      <c r="B7" s="28"/>
      <c r="C7" s="30"/>
      <c r="D7" s="30"/>
      <c r="E7" s="30"/>
      <c r="F7" s="3"/>
      <c r="G7" s="32" t="s">
        <v>41</v>
      </c>
      <c r="H7" s="34" t="s">
        <v>42</v>
      </c>
      <c r="I7" s="36"/>
      <c r="J7" s="36"/>
      <c r="K7" s="3"/>
      <c r="L7" s="3"/>
      <c r="M7" s="3"/>
      <c r="N7" s="36">
        <v>25000</v>
      </c>
      <c r="O7" s="36" t="s">
        <v>48</v>
      </c>
      <c r="P7" s="3"/>
      <c r="Q7" s="3"/>
      <c r="V7" s="37" t="s">
        <v>50</v>
      </c>
      <c r="W7" s="23">
        <v>6</v>
      </c>
      <c r="X7" s="13">
        <v>12500</v>
      </c>
      <c r="Y7" s="14">
        <f t="shared" si="0"/>
        <v>75000</v>
      </c>
      <c r="Z7" s="3"/>
    </row>
    <row r="8" spans="1:26" ht="12.75" customHeight="1">
      <c r="A8" s="26" t="s">
        <v>60</v>
      </c>
      <c r="B8" s="28">
        <f>N8</f>
        <v>300000</v>
      </c>
      <c r="C8" s="30"/>
      <c r="D8" s="30"/>
      <c r="E8" s="30"/>
      <c r="F8" s="3"/>
      <c r="G8" s="36"/>
      <c r="H8" s="3"/>
      <c r="I8" s="3"/>
      <c r="J8" s="3"/>
      <c r="K8" s="3"/>
      <c r="L8" s="3"/>
      <c r="M8" s="3"/>
      <c r="N8" s="3">
        <f>N7*12</f>
        <v>300000</v>
      </c>
      <c r="O8" s="36" t="s">
        <v>63</v>
      </c>
      <c r="P8" s="3"/>
      <c r="Q8" s="3"/>
      <c r="V8" s="10" t="s">
        <v>64</v>
      </c>
      <c r="W8" s="23">
        <v>6</v>
      </c>
      <c r="X8" s="13">
        <v>1300</v>
      </c>
      <c r="Y8" s="14">
        <f t="shared" si="0"/>
        <v>7800</v>
      </c>
      <c r="Z8" s="3"/>
    </row>
    <row r="9" spans="1:26" ht="12.75" customHeight="1">
      <c r="A9" s="26" t="s">
        <v>65</v>
      </c>
      <c r="B9" s="28">
        <f>H12</f>
        <v>50000</v>
      </c>
      <c r="C9" s="30"/>
      <c r="D9" s="30"/>
      <c r="E9" s="30"/>
      <c r="F9" s="3"/>
      <c r="G9" s="36" t="s">
        <v>68</v>
      </c>
      <c r="H9" s="36">
        <v>50000</v>
      </c>
      <c r="I9" s="3"/>
      <c r="J9" s="3"/>
      <c r="K9" s="3"/>
      <c r="L9" s="3"/>
      <c r="M9" s="3"/>
      <c r="N9" s="3"/>
      <c r="O9" s="36"/>
      <c r="P9" s="3"/>
      <c r="Q9" s="3"/>
      <c r="V9" s="10" t="s">
        <v>69</v>
      </c>
      <c r="W9" s="23">
        <v>6</v>
      </c>
      <c r="X9" s="13">
        <v>180</v>
      </c>
      <c r="Y9" s="14">
        <f t="shared" si="0"/>
        <v>1080</v>
      </c>
      <c r="Z9" s="3"/>
    </row>
    <row r="10" spans="1:26" ht="12.75" customHeight="1">
      <c r="A10" s="26" t="s">
        <v>70</v>
      </c>
      <c r="B10" s="30"/>
      <c r="C10" s="30"/>
      <c r="D10" s="30"/>
      <c r="E10" s="30"/>
      <c r="F10" s="3"/>
      <c r="G10" s="41" t="s">
        <v>72</v>
      </c>
      <c r="H10" s="36">
        <v>0</v>
      </c>
      <c r="I10" s="36" t="s">
        <v>75</v>
      </c>
      <c r="J10" s="3"/>
      <c r="K10" s="3"/>
      <c r="L10" s="3"/>
      <c r="M10" s="3"/>
      <c r="N10" s="3"/>
      <c r="O10" s="3"/>
      <c r="P10" s="3"/>
      <c r="Q10" s="3"/>
      <c r="V10" s="10" t="s">
        <v>76</v>
      </c>
      <c r="W10" s="23">
        <v>50</v>
      </c>
      <c r="X10" s="13">
        <v>7</v>
      </c>
      <c r="Y10" s="14">
        <f t="shared" si="0"/>
        <v>350</v>
      </c>
      <c r="Z10" s="3"/>
    </row>
    <row r="11" spans="1:26" ht="12.75" customHeight="1">
      <c r="A11" s="26" t="s">
        <v>77</v>
      </c>
      <c r="B11" s="30"/>
      <c r="C11" s="30"/>
      <c r="D11" s="30">
        <f>SUM(K20,K21)</f>
        <v>931214.71799999999</v>
      </c>
      <c r="E11" s="30"/>
      <c r="F11" s="3"/>
      <c r="G11" s="36" t="s">
        <v>79</v>
      </c>
      <c r="H11" s="36">
        <v>0</v>
      </c>
      <c r="I11" s="36" t="s">
        <v>75</v>
      </c>
      <c r="J11" s="3"/>
      <c r="K11" s="3"/>
      <c r="L11" s="3"/>
      <c r="M11" s="3"/>
      <c r="N11" s="3"/>
      <c r="O11" s="3"/>
      <c r="P11" s="3"/>
      <c r="Q11" s="3"/>
      <c r="V11" s="10" t="s">
        <v>80</v>
      </c>
      <c r="W11" s="23">
        <v>10</v>
      </c>
      <c r="X11" s="13">
        <v>110</v>
      </c>
      <c r="Y11" s="14">
        <f t="shared" si="0"/>
        <v>1100</v>
      </c>
      <c r="Z11" s="3"/>
    </row>
    <row r="12" spans="1:26" ht="12.75" customHeight="1">
      <c r="A12" s="26" t="s">
        <v>81</v>
      </c>
      <c r="B12" s="30">
        <f>SUM(H16,H20)</f>
        <v>473600</v>
      </c>
      <c r="C12" s="30"/>
      <c r="D12" s="30"/>
      <c r="E12" s="30"/>
      <c r="F12" s="3"/>
      <c r="G12" s="32" t="s">
        <v>82</v>
      </c>
      <c r="H12" s="39">
        <f>SUM(H9:H11)</f>
        <v>50000</v>
      </c>
      <c r="I12" s="3"/>
      <c r="J12" s="3"/>
      <c r="K12" s="3"/>
      <c r="L12" s="3"/>
      <c r="M12" s="3"/>
      <c r="N12" s="3"/>
      <c r="O12" s="3"/>
      <c r="P12" s="3"/>
      <c r="Q12" s="3"/>
      <c r="V12" s="10" t="s">
        <v>83</v>
      </c>
      <c r="W12" s="23">
        <v>5</v>
      </c>
      <c r="X12" s="13">
        <v>750</v>
      </c>
      <c r="Y12" s="14">
        <f t="shared" si="0"/>
        <v>3750</v>
      </c>
      <c r="Z12" s="3"/>
    </row>
    <row r="13" spans="1:26" ht="12.75" customHeight="1">
      <c r="A13" s="43" t="s">
        <v>84</v>
      </c>
      <c r="B13" s="30">
        <f>D11*M13</f>
        <v>232803.6795</v>
      </c>
      <c r="C13" s="30"/>
      <c r="D13" s="30"/>
      <c r="E13" s="30"/>
      <c r="F13" s="3"/>
      <c r="G13" s="3"/>
      <c r="H13" s="3"/>
      <c r="L13" s="32" t="s">
        <v>85</v>
      </c>
      <c r="M13" s="44">
        <v>0.25</v>
      </c>
      <c r="N13" s="36" t="s">
        <v>87</v>
      </c>
      <c r="O13" s="3"/>
      <c r="P13" s="3"/>
      <c r="Q13" s="3"/>
      <c r="R13" s="3"/>
      <c r="S13" s="3"/>
      <c r="W13" s="23">
        <v>10</v>
      </c>
      <c r="X13" s="13">
        <v>50</v>
      </c>
      <c r="Y13" s="14">
        <f t="shared" si="0"/>
        <v>500</v>
      </c>
      <c r="Z13" s="3"/>
    </row>
    <row r="14" spans="1:26" ht="12.75" customHeight="1">
      <c r="A14" s="26" t="s">
        <v>88</v>
      </c>
      <c r="B14" s="30">
        <f>M14</f>
        <v>60018.846400000009</v>
      </c>
      <c r="C14" s="30"/>
      <c r="D14" s="30"/>
      <c r="E14" s="30"/>
      <c r="F14" s="3"/>
      <c r="G14" s="36"/>
      <c r="H14" s="3"/>
      <c r="L14" s="32" t="s">
        <v>89</v>
      </c>
      <c r="M14" s="36">
        <f>2800*2+4%*H21</f>
        <v>60018.846400000009</v>
      </c>
      <c r="N14" s="36" t="s">
        <v>91</v>
      </c>
      <c r="O14" s="3"/>
      <c r="P14" s="34" t="s">
        <v>92</v>
      </c>
      <c r="Q14" s="3"/>
      <c r="R14" s="3"/>
      <c r="S14" s="3"/>
      <c r="W14" s="23">
        <v>60</v>
      </c>
      <c r="X14" s="13">
        <v>55</v>
      </c>
      <c r="Y14" s="14">
        <f t="shared" si="0"/>
        <v>3300</v>
      </c>
      <c r="Z14" s="3"/>
    </row>
    <row r="15" spans="1:26" ht="12.75" customHeight="1">
      <c r="A15" s="26" t="s">
        <v>95</v>
      </c>
      <c r="B15" s="30">
        <f>SUM(I23:I24)</f>
        <v>167980</v>
      </c>
      <c r="C15" s="30"/>
      <c r="D15" s="30"/>
      <c r="E15" s="30"/>
      <c r="F15" s="3"/>
      <c r="V15" s="10" t="s">
        <v>96</v>
      </c>
      <c r="W15" s="23">
        <v>1</v>
      </c>
      <c r="X15" s="13">
        <v>3500</v>
      </c>
      <c r="Y15" s="14">
        <f t="shared" si="0"/>
        <v>3500</v>
      </c>
      <c r="Z15" s="3"/>
    </row>
    <row r="16" spans="1:26" ht="12.75" customHeight="1">
      <c r="A16" s="26" t="s">
        <v>98</v>
      </c>
      <c r="B16" s="30">
        <f>SUM(Y46)</f>
        <v>313445</v>
      </c>
      <c r="C16" s="30"/>
      <c r="D16" s="30"/>
      <c r="E16" s="30"/>
      <c r="F16" s="3"/>
      <c r="G16" s="36" t="s">
        <v>99</v>
      </c>
      <c r="H16" s="36">
        <v>450000</v>
      </c>
      <c r="I16" s="36" t="s">
        <v>100</v>
      </c>
      <c r="J16" s="34" t="s">
        <v>101</v>
      </c>
      <c r="K16" s="3"/>
      <c r="L16" s="3"/>
      <c r="M16" s="3"/>
      <c r="N16" s="3"/>
      <c r="O16" s="3"/>
      <c r="P16" s="3"/>
      <c r="Q16" s="3"/>
      <c r="V16" s="10" t="s">
        <v>102</v>
      </c>
      <c r="W16" s="23">
        <v>1</v>
      </c>
      <c r="X16" s="13">
        <v>1300</v>
      </c>
      <c r="Y16" s="14">
        <f t="shared" si="0"/>
        <v>1300</v>
      </c>
      <c r="Z16" s="3"/>
    </row>
    <row r="17" spans="1:26" ht="12.75" customHeight="1">
      <c r="A17" s="26" t="s">
        <v>103</v>
      </c>
      <c r="B17" s="28">
        <v>0</v>
      </c>
      <c r="C17" s="30"/>
      <c r="D17" s="30"/>
      <c r="E17" s="30"/>
      <c r="F17" s="3"/>
      <c r="G17" s="36" t="s">
        <v>104</v>
      </c>
      <c r="H17" s="3">
        <f>9500*I4</f>
        <v>374490</v>
      </c>
      <c r="I17" s="36" t="s">
        <v>105</v>
      </c>
      <c r="J17" s="34" t="s">
        <v>106</v>
      </c>
      <c r="K17" s="3"/>
      <c r="L17" s="3"/>
      <c r="M17" s="3"/>
      <c r="N17" s="3"/>
      <c r="O17" s="3"/>
      <c r="P17" s="3"/>
      <c r="Q17" s="3"/>
      <c r="V17" s="10" t="s">
        <v>107</v>
      </c>
      <c r="W17" s="12">
        <v>1</v>
      </c>
      <c r="X17" s="13">
        <v>700</v>
      </c>
      <c r="Y17" s="14">
        <f t="shared" si="0"/>
        <v>700</v>
      </c>
      <c r="Z17" s="3"/>
    </row>
    <row r="18" spans="1:26" ht="12.75" customHeight="1">
      <c r="A18" s="26" t="s">
        <v>38</v>
      </c>
      <c r="B18" s="47">
        <f>SUM(B8:B17)*InfoInicial!B15</f>
        <v>71903.138665499995</v>
      </c>
      <c r="C18" s="30"/>
      <c r="D18" s="30">
        <f>D11*InfoInicial!B15</f>
        <v>41904.66231</v>
      </c>
      <c r="E18" s="30"/>
      <c r="F18" s="3"/>
      <c r="G18" s="36" t="s">
        <v>108</v>
      </c>
      <c r="H18" s="3">
        <f>4000*I4</f>
        <v>157680</v>
      </c>
      <c r="I18" s="36" t="s">
        <v>105</v>
      </c>
      <c r="J18" s="34" t="s">
        <v>109</v>
      </c>
      <c r="K18" s="3"/>
      <c r="L18" s="3"/>
      <c r="M18" s="3"/>
      <c r="N18" s="3"/>
      <c r="O18" s="3"/>
      <c r="P18" s="3"/>
      <c r="Q18" s="3"/>
      <c r="V18" s="10" t="s">
        <v>110</v>
      </c>
      <c r="W18" s="12">
        <v>2</v>
      </c>
      <c r="X18" s="13">
        <v>570</v>
      </c>
      <c r="Y18" s="14">
        <f t="shared" si="0"/>
        <v>1140</v>
      </c>
      <c r="Z18" s="3"/>
    </row>
    <row r="19" spans="1:26" ht="12.75" customHeight="1">
      <c r="A19" s="26"/>
      <c r="B19" s="30"/>
      <c r="C19" s="30"/>
      <c r="D19" s="30"/>
      <c r="E19" s="30"/>
      <c r="F19" s="3"/>
      <c r="G19" s="36" t="s">
        <v>111</v>
      </c>
      <c r="H19" s="48">
        <f>8998*I4</f>
        <v>354701.16000000003</v>
      </c>
      <c r="I19" s="36" t="s">
        <v>105</v>
      </c>
      <c r="J19" s="3"/>
      <c r="K19" s="3"/>
      <c r="L19" s="3"/>
      <c r="M19" s="3"/>
      <c r="N19" s="3"/>
      <c r="O19" s="3"/>
      <c r="P19" s="3"/>
      <c r="Q19" s="3"/>
      <c r="V19" s="10"/>
      <c r="W19" s="23"/>
      <c r="X19" s="14"/>
      <c r="Y19" s="14">
        <f t="shared" si="0"/>
        <v>0</v>
      </c>
      <c r="Z19" s="3"/>
    </row>
    <row r="20" spans="1:26" ht="12.75" customHeight="1">
      <c r="A20" s="24" t="s">
        <v>112</v>
      </c>
      <c r="B20" s="30">
        <f>SUM(B8:B18)</f>
        <v>1669750.6645655001</v>
      </c>
      <c r="C20" s="30"/>
      <c r="D20" s="30">
        <f>SUM(D11:D18)</f>
        <v>973119.38031000004</v>
      </c>
      <c r="E20" s="30"/>
      <c r="F20" s="3"/>
      <c r="G20" s="36" t="s">
        <v>113</v>
      </c>
      <c r="H20" s="36">
        <v>23600</v>
      </c>
      <c r="I20" s="36" t="s">
        <v>100</v>
      </c>
      <c r="J20" s="32" t="s">
        <v>114</v>
      </c>
      <c r="K20" s="39">
        <f>SUM(H17:H19)</f>
        <v>886871.16</v>
      </c>
      <c r="M20" s="3">
        <f>SUM(H17:H19)*1.05%</f>
        <v>9312.1471800000018</v>
      </c>
      <c r="N20" s="3"/>
      <c r="O20" s="3"/>
      <c r="P20" s="3"/>
      <c r="Q20" s="3"/>
      <c r="V20" s="10" t="s">
        <v>115</v>
      </c>
      <c r="W20" s="12">
        <v>3</v>
      </c>
      <c r="X20" s="13">
        <v>1300</v>
      </c>
      <c r="Y20" s="14">
        <f t="shared" si="0"/>
        <v>3900</v>
      </c>
      <c r="Z20" s="3"/>
    </row>
    <row r="21" spans="1:26" ht="12.75" customHeight="1">
      <c r="A21" s="26"/>
      <c r="B21" s="30"/>
      <c r="C21" s="30"/>
      <c r="D21" s="30"/>
      <c r="E21" s="30"/>
      <c r="F21" s="3"/>
      <c r="G21" s="32" t="s">
        <v>116</v>
      </c>
      <c r="H21" s="49">
        <f>SUM(H16:H20)</f>
        <v>1360471.1600000001</v>
      </c>
      <c r="I21" s="3"/>
      <c r="J21" s="32" t="s">
        <v>117</v>
      </c>
      <c r="K21" s="39">
        <f>K20*0.05</f>
        <v>44343.558000000005</v>
      </c>
      <c r="L21" s="3"/>
      <c r="M21" s="3"/>
      <c r="N21" s="3"/>
      <c r="O21" s="3"/>
      <c r="P21" s="3"/>
      <c r="Q21" s="3"/>
      <c r="V21" s="10" t="s">
        <v>118</v>
      </c>
      <c r="W21" s="12">
        <v>3</v>
      </c>
      <c r="X21" s="13">
        <v>900</v>
      </c>
      <c r="Y21" s="14">
        <f t="shared" si="0"/>
        <v>2700</v>
      </c>
      <c r="Z21" s="3"/>
    </row>
    <row r="22" spans="1:26" ht="12.75" customHeight="1">
      <c r="A22" s="24" t="s">
        <v>119</v>
      </c>
      <c r="B22" s="30"/>
      <c r="C22" s="30"/>
      <c r="D22" s="30"/>
      <c r="E22" s="30"/>
      <c r="F22" s="3"/>
      <c r="V22" s="10" t="s">
        <v>120</v>
      </c>
      <c r="W22" s="23">
        <v>20</v>
      </c>
      <c r="X22" s="13">
        <v>27</v>
      </c>
      <c r="Y22" s="14">
        <f t="shared" si="0"/>
        <v>540</v>
      </c>
      <c r="Z22" s="3"/>
    </row>
    <row r="23" spans="1:26" ht="12.75" customHeight="1">
      <c r="A23" s="26" t="s">
        <v>121</v>
      </c>
      <c r="B23" s="28">
        <v>50000</v>
      </c>
      <c r="C23" s="30"/>
      <c r="D23" s="30"/>
      <c r="E23" s="30"/>
      <c r="F23" s="3"/>
      <c r="G23" s="32" t="s">
        <v>95</v>
      </c>
      <c r="H23" s="3"/>
      <c r="I23" s="36">
        <v>160000</v>
      </c>
      <c r="J23" s="36" t="s">
        <v>122</v>
      </c>
      <c r="K23" s="34" t="s">
        <v>123</v>
      </c>
      <c r="L23" s="3"/>
      <c r="M23" s="3"/>
      <c r="N23" s="3"/>
      <c r="O23" s="3"/>
      <c r="P23" s="3"/>
      <c r="Q23" s="3"/>
      <c r="V23" s="10" t="s">
        <v>124</v>
      </c>
      <c r="W23" s="23">
        <v>4</v>
      </c>
      <c r="X23" s="13">
        <v>12000</v>
      </c>
      <c r="Y23" s="14">
        <f t="shared" si="0"/>
        <v>48000</v>
      </c>
      <c r="Z23" s="3"/>
    </row>
    <row r="24" spans="1:26" ht="12.75" customHeight="1">
      <c r="A24" s="26" t="s">
        <v>125</v>
      </c>
      <c r="B24" s="28">
        <f>I27*2</f>
        <v>32320</v>
      </c>
      <c r="C24" s="30"/>
      <c r="D24" s="30"/>
      <c r="E24" s="30"/>
      <c r="F24" s="3"/>
      <c r="G24" s="3"/>
      <c r="H24" s="3"/>
      <c r="I24" s="36">
        <f>3990*2</f>
        <v>7980</v>
      </c>
      <c r="J24" s="36" t="s">
        <v>126</v>
      </c>
      <c r="K24" s="34" t="s">
        <v>127</v>
      </c>
      <c r="L24" s="3"/>
      <c r="M24" s="3"/>
      <c r="N24" s="3"/>
      <c r="O24" s="3"/>
      <c r="P24" s="3"/>
      <c r="Q24" s="3"/>
      <c r="V24" s="10" t="s">
        <v>128</v>
      </c>
      <c r="W24" s="12">
        <v>1</v>
      </c>
      <c r="X24" s="13">
        <v>19300</v>
      </c>
      <c r="Y24" s="14">
        <f t="shared" si="0"/>
        <v>19300</v>
      </c>
      <c r="Z24" s="3"/>
    </row>
    <row r="25" spans="1:26" ht="12.75" customHeight="1">
      <c r="A25" s="26" t="s">
        <v>129</v>
      </c>
      <c r="B25" s="30">
        <f>L45</f>
        <v>869821.12800000003</v>
      </c>
      <c r="C25" s="30"/>
      <c r="D25" s="30"/>
      <c r="E25" s="30"/>
      <c r="F25" s="3"/>
      <c r="Q25" s="3"/>
      <c r="V25" s="10" t="s">
        <v>130</v>
      </c>
      <c r="W25" s="23">
        <v>1</v>
      </c>
      <c r="X25" s="13">
        <v>5500</v>
      </c>
      <c r="Y25" s="14">
        <f t="shared" si="0"/>
        <v>5500</v>
      </c>
      <c r="Z25" s="3"/>
    </row>
    <row r="26" spans="1:26" ht="12.75" customHeight="1">
      <c r="A26" s="43" t="s">
        <v>131</v>
      </c>
      <c r="B26" s="30"/>
      <c r="C26" s="30">
        <f>'E-Costos'!G36</f>
        <v>115010.25382790032</v>
      </c>
      <c r="D26" s="30"/>
      <c r="E26" s="30"/>
      <c r="F26" s="3"/>
      <c r="Q26" s="3"/>
      <c r="V26" s="10" t="s">
        <v>132</v>
      </c>
      <c r="W26" s="23">
        <v>5</v>
      </c>
      <c r="X26" s="13">
        <v>2200</v>
      </c>
      <c r="Y26" s="14">
        <f t="shared" si="0"/>
        <v>11000</v>
      </c>
      <c r="Z26" s="3"/>
    </row>
    <row r="27" spans="1:26" ht="12.75" customHeight="1">
      <c r="A27" s="43" t="s">
        <v>133</v>
      </c>
      <c r="B27" s="30">
        <f>I30</f>
        <v>3850</v>
      </c>
      <c r="C27" s="30"/>
      <c r="D27" s="30"/>
      <c r="E27" s="30"/>
      <c r="F27" s="3"/>
      <c r="G27" s="32" t="s">
        <v>125</v>
      </c>
      <c r="H27" s="3"/>
      <c r="I27" s="36">
        <v>16160</v>
      </c>
      <c r="J27" s="36"/>
      <c r="K27" s="34" t="s">
        <v>134</v>
      </c>
      <c r="L27" s="3"/>
      <c r="M27" s="3"/>
      <c r="N27" s="3"/>
      <c r="O27" s="3"/>
      <c r="P27" s="3"/>
      <c r="Q27" s="3"/>
      <c r="V27" s="10" t="s">
        <v>135</v>
      </c>
      <c r="W27" s="12">
        <v>2</v>
      </c>
      <c r="X27" s="13">
        <v>2000</v>
      </c>
      <c r="Y27" s="14">
        <f t="shared" si="0"/>
        <v>4000</v>
      </c>
      <c r="Z27" s="3"/>
    </row>
    <row r="28" spans="1:26" ht="12.75" customHeight="1">
      <c r="A28" s="43" t="s">
        <v>136</v>
      </c>
      <c r="B28" s="28">
        <v>0</v>
      </c>
      <c r="C28" s="30"/>
      <c r="D28" s="30"/>
      <c r="E28" s="30"/>
      <c r="F28" s="3"/>
      <c r="G28" s="32" t="s">
        <v>129</v>
      </c>
      <c r="H28" s="3"/>
      <c r="I28" s="50">
        <f>L45</f>
        <v>869821.12800000003</v>
      </c>
      <c r="J28" s="36" t="s">
        <v>137</v>
      </c>
      <c r="K28" s="3"/>
      <c r="L28" s="3"/>
      <c r="M28" s="3"/>
      <c r="N28" s="3"/>
      <c r="O28" s="3"/>
      <c r="P28" s="3"/>
      <c r="Q28" s="3"/>
      <c r="V28" s="10" t="s">
        <v>138</v>
      </c>
      <c r="W28" s="23">
        <v>15</v>
      </c>
      <c r="X28" s="13">
        <v>880</v>
      </c>
      <c r="Y28" s="14">
        <f t="shared" si="0"/>
        <v>13200</v>
      </c>
      <c r="Z28" s="3"/>
    </row>
    <row r="29" spans="1:26" ht="12.75" customHeight="1">
      <c r="A29" s="26" t="s">
        <v>38</v>
      </c>
      <c r="B29" s="30">
        <f>SUM(B23:B28)*InfoInicial!B15</f>
        <v>43019.600760000001</v>
      </c>
      <c r="C29" s="28">
        <v>0</v>
      </c>
      <c r="D29" s="30"/>
      <c r="E29" s="30"/>
      <c r="F29" s="3"/>
      <c r="G29" s="32" t="s">
        <v>131</v>
      </c>
      <c r="H29" s="3"/>
      <c r="I29" s="52">
        <f>C26</f>
        <v>115010.25382790032</v>
      </c>
      <c r="J29" s="3"/>
      <c r="K29" s="3"/>
      <c r="L29" s="3"/>
      <c r="M29" s="3"/>
      <c r="N29" s="3"/>
      <c r="O29" s="3"/>
      <c r="P29" s="3"/>
      <c r="Q29" s="3"/>
      <c r="V29" s="10" t="s">
        <v>139</v>
      </c>
      <c r="W29" s="23">
        <v>1</v>
      </c>
      <c r="X29" s="13">
        <v>3200</v>
      </c>
      <c r="Y29" s="14">
        <f t="shared" si="0"/>
        <v>3200</v>
      </c>
      <c r="Z29" s="3"/>
    </row>
    <row r="30" spans="1:26" ht="12.75" customHeight="1">
      <c r="A30" s="26"/>
      <c r="B30" s="30"/>
      <c r="C30" s="30"/>
      <c r="D30" s="30"/>
      <c r="E30" s="30"/>
      <c r="F30" s="3"/>
      <c r="G30" s="36" t="s">
        <v>140</v>
      </c>
      <c r="H30" s="3"/>
      <c r="I30" s="36">
        <v>3850</v>
      </c>
      <c r="J30" s="3"/>
      <c r="K30" s="3"/>
      <c r="L30" s="3"/>
      <c r="M30" s="3"/>
      <c r="N30" s="3"/>
      <c r="O30" s="3"/>
      <c r="P30" s="3"/>
      <c r="Q30" s="3"/>
      <c r="V30" s="10" t="s">
        <v>141</v>
      </c>
      <c r="W30" s="23">
        <v>1</v>
      </c>
      <c r="X30" s="41">
        <v>815</v>
      </c>
      <c r="Y30" s="14">
        <f t="shared" si="0"/>
        <v>815</v>
      </c>
      <c r="Z30" s="3"/>
    </row>
    <row r="31" spans="1:26" ht="12.75" customHeight="1">
      <c r="A31" s="24" t="s">
        <v>142</v>
      </c>
      <c r="B31" s="30">
        <f t="shared" ref="B31:C31" si="1">SUM(B23:B29)</f>
        <v>999010.72876000009</v>
      </c>
      <c r="C31" s="30">
        <f t="shared" si="1"/>
        <v>115010.25382790032</v>
      </c>
      <c r="D31" s="30"/>
      <c r="E31" s="30"/>
      <c r="F31" s="3"/>
      <c r="G31" s="3"/>
      <c r="H31" s="3"/>
      <c r="I31" s="3"/>
      <c r="N31" s="3"/>
      <c r="O31" s="3"/>
      <c r="P31" s="3"/>
      <c r="Q31" s="3"/>
      <c r="V31" s="10" t="s">
        <v>143</v>
      </c>
      <c r="W31" s="23">
        <v>1</v>
      </c>
      <c r="X31" s="13">
        <v>13600</v>
      </c>
      <c r="Y31" s="14">
        <f t="shared" si="0"/>
        <v>13600</v>
      </c>
      <c r="Z31" s="3"/>
    </row>
    <row r="32" spans="1:26" ht="12.75" customHeight="1">
      <c r="A32" s="26"/>
      <c r="B32" s="30"/>
      <c r="C32" s="30"/>
      <c r="D32" s="30"/>
      <c r="E32" s="30"/>
      <c r="F32" s="3"/>
      <c r="G32" s="3"/>
      <c r="H32" s="3"/>
      <c r="I32" s="3"/>
      <c r="N32" s="3"/>
      <c r="O32" s="3"/>
      <c r="P32" s="3"/>
      <c r="Q32" s="3"/>
      <c r="V32" s="10" t="s">
        <v>144</v>
      </c>
      <c r="W32" s="23">
        <v>1</v>
      </c>
      <c r="X32" s="13">
        <v>1800</v>
      </c>
      <c r="Y32" s="14">
        <f t="shared" si="0"/>
        <v>1800</v>
      </c>
      <c r="Z32" s="3"/>
    </row>
    <row r="33" spans="1:26" ht="12.75" customHeight="1">
      <c r="A33" s="24" t="s">
        <v>145</v>
      </c>
      <c r="B33" s="30">
        <f t="shared" ref="B33:C33" si="2">SUM(B31,B20)</f>
        <v>2668761.3933255002</v>
      </c>
      <c r="C33" s="30">
        <f t="shared" si="2"/>
        <v>115010.25382790032</v>
      </c>
      <c r="D33" s="30">
        <f>D20</f>
        <v>973119.38031000004</v>
      </c>
      <c r="E33" s="30"/>
      <c r="F33" s="3"/>
      <c r="G33" s="3"/>
      <c r="H33" s="3"/>
      <c r="I33" s="3"/>
      <c r="N33" s="3"/>
      <c r="O33" s="3"/>
      <c r="P33" s="3"/>
      <c r="Q33" s="3"/>
      <c r="V33" s="10" t="s">
        <v>147</v>
      </c>
      <c r="W33" s="23">
        <v>1</v>
      </c>
      <c r="X33" s="13">
        <v>5200</v>
      </c>
      <c r="Y33" s="14">
        <f t="shared" si="0"/>
        <v>5200</v>
      </c>
      <c r="Z33" s="3"/>
    </row>
    <row r="34" spans="1:26" ht="12.75" customHeight="1">
      <c r="A34" s="24" t="s">
        <v>148</v>
      </c>
      <c r="B34" s="30">
        <f>SUM(B33,C33,D33)*InfoInicial!B3</f>
        <v>788947.11576731398</v>
      </c>
      <c r="C34" s="28"/>
      <c r="D34" s="30"/>
      <c r="E34" s="30"/>
      <c r="F34" s="3"/>
      <c r="G34" s="3"/>
      <c r="H34" s="3"/>
      <c r="I34" s="3"/>
      <c r="N34" s="3"/>
      <c r="O34" s="3"/>
      <c r="P34" s="3"/>
      <c r="Q34" s="3"/>
      <c r="V34" s="10" t="s">
        <v>149</v>
      </c>
      <c r="W34" s="12">
        <v>30</v>
      </c>
      <c r="X34" s="13">
        <v>70</v>
      </c>
      <c r="Y34" s="14">
        <f t="shared" si="0"/>
        <v>2100</v>
      </c>
      <c r="Z34" s="3"/>
    </row>
    <row r="35" spans="1:26" ht="12.75" customHeight="1">
      <c r="A35" s="26"/>
      <c r="B35" s="30"/>
      <c r="C35" s="30"/>
      <c r="D35" s="30"/>
      <c r="E35" s="30"/>
      <c r="F35" s="3"/>
      <c r="G35" s="3"/>
      <c r="H35" s="3"/>
      <c r="I35" s="3"/>
      <c r="N35" s="3"/>
      <c r="O35" s="3"/>
      <c r="P35" s="3"/>
      <c r="Q35" s="3"/>
      <c r="V35" s="10" t="s">
        <v>150</v>
      </c>
      <c r="W35" s="12">
        <v>15</v>
      </c>
      <c r="X35" s="13">
        <v>85</v>
      </c>
      <c r="Y35" s="14">
        <f t="shared" si="0"/>
        <v>1275</v>
      </c>
      <c r="Z35" s="3"/>
    </row>
    <row r="36" spans="1:26" ht="13.5" customHeight="1">
      <c r="A36" s="58" t="s">
        <v>151</v>
      </c>
      <c r="B36" s="60">
        <f t="shared" ref="B36:D36" si="3">SUM(B33,B34)</f>
        <v>3457708.5090928143</v>
      </c>
      <c r="C36" s="60">
        <f t="shared" si="3"/>
        <v>115010.25382790032</v>
      </c>
      <c r="D36" s="60">
        <f t="shared" si="3"/>
        <v>973119.38031000004</v>
      </c>
      <c r="E36" s="60"/>
      <c r="F36" s="3"/>
      <c r="G36" s="3"/>
      <c r="H36" s="3"/>
      <c r="I36" s="3"/>
      <c r="N36" s="3"/>
      <c r="O36" s="3"/>
      <c r="P36" s="3"/>
      <c r="Q36" s="3"/>
      <c r="V36" s="10" t="s">
        <v>154</v>
      </c>
      <c r="W36" s="12">
        <v>15</v>
      </c>
      <c r="X36" s="13">
        <v>30</v>
      </c>
      <c r="Y36" s="14">
        <f t="shared" si="0"/>
        <v>450</v>
      </c>
      <c r="Z36" s="3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N37" s="3"/>
      <c r="O37" s="3"/>
      <c r="P37" s="3"/>
      <c r="Q37" s="3"/>
      <c r="V37" s="62" t="s">
        <v>155</v>
      </c>
      <c r="W37" s="63">
        <v>1</v>
      </c>
      <c r="X37" s="13">
        <v>2600</v>
      </c>
      <c r="Y37" s="14">
        <f t="shared" si="0"/>
        <v>2600</v>
      </c>
      <c r="Z37" s="3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V38" s="62" t="s">
        <v>162</v>
      </c>
      <c r="W38" s="63">
        <v>6</v>
      </c>
      <c r="X38" s="13">
        <v>800</v>
      </c>
      <c r="Y38" s="14">
        <f t="shared" si="0"/>
        <v>4800</v>
      </c>
      <c r="Z38" s="3"/>
    </row>
    <row r="39" spans="1:26" ht="13.5" customHeight="1">
      <c r="A39" s="65" t="s">
        <v>163</v>
      </c>
      <c r="B39" s="67" t="s">
        <v>164</v>
      </c>
      <c r="C39" s="67" t="s">
        <v>165</v>
      </c>
      <c r="D39" s="500" t="s">
        <v>166</v>
      </c>
      <c r="E39" s="503"/>
      <c r="F39" s="501"/>
      <c r="G39" s="69" t="s">
        <v>169</v>
      </c>
      <c r="H39" s="3"/>
      <c r="I39" s="3"/>
      <c r="J39" s="36" t="s">
        <v>170</v>
      </c>
      <c r="K39" s="3"/>
      <c r="L39" s="3"/>
      <c r="M39" s="3"/>
      <c r="N39" s="3"/>
      <c r="O39" s="3"/>
      <c r="P39" s="3"/>
      <c r="Q39" s="3"/>
      <c r="V39" s="62" t="s">
        <v>171</v>
      </c>
      <c r="W39" s="63">
        <v>5</v>
      </c>
      <c r="X39" s="13">
        <v>200</v>
      </c>
      <c r="Y39" s="14">
        <f t="shared" si="0"/>
        <v>1000</v>
      </c>
      <c r="Z39" s="3"/>
    </row>
    <row r="40" spans="1:26" ht="13.5" customHeight="1">
      <c r="A40" s="71"/>
      <c r="B40" s="16" t="s">
        <v>172</v>
      </c>
      <c r="C40" s="16"/>
      <c r="D40" s="16" t="s">
        <v>173</v>
      </c>
      <c r="E40" s="16" t="s">
        <v>174</v>
      </c>
      <c r="F40" s="16"/>
      <c r="G40" s="72"/>
      <c r="H40" s="3"/>
      <c r="I40" s="3"/>
      <c r="J40" s="36" t="s">
        <v>175</v>
      </c>
      <c r="K40" s="3"/>
      <c r="L40" s="50">
        <f>'E-Costos'!T39*12</f>
        <v>600000</v>
      </c>
      <c r="M40" s="3"/>
      <c r="N40" s="3"/>
      <c r="O40" s="3"/>
      <c r="P40" s="3"/>
      <c r="Q40" s="3"/>
      <c r="V40" s="62" t="s">
        <v>177</v>
      </c>
      <c r="W40" s="63">
        <v>1</v>
      </c>
      <c r="X40" s="13">
        <v>3500</v>
      </c>
      <c r="Y40" s="14">
        <f t="shared" si="0"/>
        <v>3500</v>
      </c>
      <c r="Z40" s="3"/>
    </row>
    <row r="41" spans="1:26" ht="13.5" customHeight="1">
      <c r="A41" s="73" t="s">
        <v>178</v>
      </c>
      <c r="B41" s="74"/>
      <c r="C41" s="74"/>
      <c r="D41" s="74"/>
      <c r="E41" s="74"/>
      <c r="F41" s="75"/>
      <c r="G41" s="77"/>
      <c r="H41" s="3"/>
      <c r="I41" s="3"/>
      <c r="J41" s="36" t="s">
        <v>179</v>
      </c>
      <c r="K41" s="3"/>
      <c r="L41" s="36">
        <v>45000</v>
      </c>
      <c r="M41" s="3"/>
      <c r="N41" s="3"/>
      <c r="O41" s="3"/>
      <c r="P41" s="3"/>
      <c r="Q41" s="3"/>
      <c r="V41" s="62" t="s">
        <v>180</v>
      </c>
      <c r="W41" s="63">
        <v>20</v>
      </c>
      <c r="X41" s="13">
        <v>195</v>
      </c>
      <c r="Y41" s="14">
        <f t="shared" si="0"/>
        <v>3900</v>
      </c>
      <c r="Z41" s="3"/>
    </row>
    <row r="42" spans="1:26" ht="12.75" customHeight="1">
      <c r="A42" s="79"/>
      <c r="B42" s="81"/>
      <c r="C42" s="81"/>
      <c r="D42" s="81"/>
      <c r="E42" s="81"/>
      <c r="F42" s="82"/>
      <c r="G42" s="83"/>
      <c r="H42" s="3"/>
      <c r="I42" s="3"/>
      <c r="J42" s="36" t="s">
        <v>182</v>
      </c>
      <c r="K42" s="3"/>
      <c r="L42" s="84">
        <f>'E-Costos'!L85</f>
        <v>80821.127999999997</v>
      </c>
      <c r="M42" s="3"/>
      <c r="N42" s="3"/>
      <c r="O42" s="3"/>
      <c r="P42" s="3"/>
      <c r="Q42" s="3"/>
      <c r="V42" s="62" t="s">
        <v>184</v>
      </c>
      <c r="W42" s="63">
        <v>10</v>
      </c>
      <c r="X42" s="13">
        <v>65</v>
      </c>
      <c r="Y42" s="14">
        <f t="shared" si="0"/>
        <v>650</v>
      </c>
      <c r="Z42" s="3"/>
    </row>
    <row r="43" spans="1:26" ht="12.75" customHeight="1">
      <c r="A43" s="26" t="s">
        <v>35</v>
      </c>
      <c r="B43" s="28">
        <v>0</v>
      </c>
      <c r="C43" s="28"/>
      <c r="D43" s="30"/>
      <c r="E43" s="30"/>
      <c r="F43" s="30"/>
      <c r="G43" s="85">
        <f>B42-3*D42-3*E42</f>
        <v>0</v>
      </c>
      <c r="H43" s="3"/>
      <c r="I43" s="3"/>
      <c r="J43" s="36" t="s">
        <v>185</v>
      </c>
      <c r="K43" s="3"/>
      <c r="L43" s="3">
        <f>2000*12</f>
        <v>24000</v>
      </c>
      <c r="M43" s="3"/>
      <c r="N43" s="3"/>
      <c r="O43" s="3"/>
      <c r="P43" s="3"/>
      <c r="Q43" s="3"/>
      <c r="V43" s="62" t="s">
        <v>186</v>
      </c>
      <c r="W43" s="63">
        <v>2</v>
      </c>
      <c r="X43" s="13">
        <v>1340</v>
      </c>
      <c r="Y43" s="14">
        <f t="shared" si="0"/>
        <v>2680</v>
      </c>
      <c r="Z43" s="3"/>
    </row>
    <row r="44" spans="1:26" ht="12.75" customHeight="1">
      <c r="A44" s="26" t="s">
        <v>60</v>
      </c>
      <c r="B44" s="28">
        <f t="shared" ref="B44:B45" si="4">B8</f>
        <v>300000</v>
      </c>
      <c r="C44" s="86">
        <f>1/InfoInicial!B8</f>
        <v>3.3333333333333333E-2</v>
      </c>
      <c r="D44" s="30">
        <f t="shared" ref="D44:D50" si="5">B44*C44</f>
        <v>10000</v>
      </c>
      <c r="E44" s="30">
        <f t="shared" ref="E44:E49" si="6">B44*C44</f>
        <v>10000</v>
      </c>
      <c r="F44" s="30"/>
      <c r="G44" s="85">
        <f t="shared" ref="G44:G48" si="7">B44-3*D44-2*E44</f>
        <v>250000</v>
      </c>
      <c r="H44" s="3"/>
      <c r="I44" s="3"/>
      <c r="J44" s="36" t="s">
        <v>187</v>
      </c>
      <c r="K44" s="3"/>
      <c r="L44" s="36">
        <f>10000*12</f>
        <v>120000</v>
      </c>
      <c r="M44" s="3"/>
      <c r="N44" s="3"/>
      <c r="O44" s="3"/>
      <c r="P44" s="3"/>
      <c r="Q44" s="3"/>
      <c r="V44" s="62" t="s">
        <v>188</v>
      </c>
      <c r="W44" s="63">
        <v>10</v>
      </c>
      <c r="X44" s="13">
        <v>1000</v>
      </c>
      <c r="Y44" s="14">
        <f t="shared" si="0"/>
        <v>10000</v>
      </c>
      <c r="Z44" s="3"/>
    </row>
    <row r="45" spans="1:26" ht="12.75" customHeight="1">
      <c r="A45" s="26" t="s">
        <v>65</v>
      </c>
      <c r="B45" s="30">
        <f t="shared" si="4"/>
        <v>50000</v>
      </c>
      <c r="C45" s="86">
        <f>1/InfoInicial!B9</f>
        <v>0.1</v>
      </c>
      <c r="D45" s="30">
        <f t="shared" si="5"/>
        <v>5000</v>
      </c>
      <c r="E45" s="30">
        <f t="shared" si="6"/>
        <v>5000</v>
      </c>
      <c r="F45" s="30"/>
      <c r="G45" s="85">
        <f t="shared" si="7"/>
        <v>25000</v>
      </c>
      <c r="H45" s="3"/>
      <c r="I45" s="3"/>
      <c r="J45" s="36" t="s">
        <v>189</v>
      </c>
      <c r="K45" s="3"/>
      <c r="L45" s="50">
        <f>SUM(L40:L44)</f>
        <v>869821.12800000003</v>
      </c>
      <c r="M45" s="3"/>
      <c r="N45" s="3"/>
      <c r="O45" s="3"/>
      <c r="P45" s="3"/>
      <c r="Q45" s="3"/>
      <c r="V45" s="62" t="s">
        <v>190</v>
      </c>
      <c r="W45" s="63">
        <v>5</v>
      </c>
      <c r="X45" s="13">
        <v>99</v>
      </c>
      <c r="Y45" s="14">
        <f t="shared" si="0"/>
        <v>495</v>
      </c>
      <c r="Z45" s="3"/>
    </row>
    <row r="46" spans="1:26" ht="12.75" customHeight="1">
      <c r="A46" s="43" t="s">
        <v>70</v>
      </c>
      <c r="B46" s="30">
        <f>B12+D11+B13+B14-K21</f>
        <v>1653293.6858999999</v>
      </c>
      <c r="C46" s="86">
        <f>1/InfoInicial!B10</f>
        <v>0.1</v>
      </c>
      <c r="D46" s="30">
        <f t="shared" si="5"/>
        <v>165329.36859</v>
      </c>
      <c r="E46" s="30">
        <f t="shared" si="6"/>
        <v>165329.36859</v>
      </c>
      <c r="F46" s="30"/>
      <c r="G46" s="85">
        <f t="shared" si="7"/>
        <v>826646.84294999996</v>
      </c>
      <c r="H46" s="3"/>
      <c r="I46" s="3"/>
      <c r="J46" s="3"/>
      <c r="K46" s="3"/>
      <c r="L46" s="3"/>
      <c r="M46" s="3"/>
      <c r="N46" s="3"/>
      <c r="O46" s="3"/>
      <c r="P46" s="3"/>
      <c r="Q46" s="3"/>
      <c r="V46" s="90"/>
      <c r="W46" s="91"/>
      <c r="X46" s="13" t="s">
        <v>192</v>
      </c>
      <c r="Y46" s="14">
        <f>SUM(Y3:Y45)</f>
        <v>313445</v>
      </c>
      <c r="Z46" s="3"/>
    </row>
    <row r="47" spans="1:26" ht="12.75" customHeight="1">
      <c r="A47" s="43" t="s">
        <v>95</v>
      </c>
      <c r="B47" s="30">
        <f t="shared" ref="B47:B48" si="8">B15</f>
        <v>167980</v>
      </c>
      <c r="C47" s="86">
        <f>1/InfoInicial!B11</f>
        <v>0.2</v>
      </c>
      <c r="D47" s="30">
        <f t="shared" si="5"/>
        <v>33596</v>
      </c>
      <c r="E47" s="30">
        <f t="shared" si="6"/>
        <v>33596</v>
      </c>
      <c r="F47" s="30"/>
      <c r="G47" s="85">
        <f t="shared" si="7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93"/>
      <c r="S47" s="95"/>
      <c r="T47" s="36"/>
      <c r="U47" s="3"/>
      <c r="V47" s="3"/>
      <c r="W47" s="3"/>
      <c r="X47" s="3"/>
      <c r="Y47" s="3"/>
      <c r="Z47" s="3"/>
    </row>
    <row r="48" spans="1:26" ht="12.75" customHeight="1">
      <c r="A48" s="43" t="s">
        <v>98</v>
      </c>
      <c r="B48" s="30">
        <f t="shared" si="8"/>
        <v>313445</v>
      </c>
      <c r="C48" s="86">
        <f>1/InfoInicial!B12</f>
        <v>0.2</v>
      </c>
      <c r="D48" s="30">
        <f t="shared" si="5"/>
        <v>62689</v>
      </c>
      <c r="E48" s="30">
        <f t="shared" si="6"/>
        <v>62689</v>
      </c>
      <c r="F48" s="30"/>
      <c r="G48" s="85">
        <f t="shared" si="7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93"/>
      <c r="S48" s="95"/>
      <c r="T48" s="36"/>
      <c r="U48" s="3"/>
      <c r="V48" s="3"/>
      <c r="W48" s="3"/>
      <c r="X48" s="3"/>
      <c r="Y48" s="3"/>
      <c r="Z48" s="3"/>
    </row>
    <row r="49" spans="1:26" ht="12.75" customHeight="1">
      <c r="A49" s="43" t="s">
        <v>38</v>
      </c>
      <c r="B49" s="30">
        <f>B18+D18</f>
        <v>113807.80097549999</v>
      </c>
      <c r="C49" s="97">
        <f>1/InfoInicial!B14</f>
        <v>0.2</v>
      </c>
      <c r="D49" s="30">
        <f t="shared" si="5"/>
        <v>22761.560195099999</v>
      </c>
      <c r="E49" s="30">
        <f t="shared" si="6"/>
        <v>22761.560195099999</v>
      </c>
      <c r="F49" s="30"/>
      <c r="G49" s="85">
        <f>B49-5*D49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93"/>
      <c r="S49" s="95"/>
      <c r="T49" s="3"/>
      <c r="U49" s="3"/>
      <c r="V49" s="3"/>
      <c r="W49" s="3"/>
      <c r="X49" s="3"/>
      <c r="Y49" s="3"/>
      <c r="Z49" s="3"/>
    </row>
    <row r="50" spans="1:26" ht="12.75" customHeight="1">
      <c r="A50" s="43" t="s">
        <v>117</v>
      </c>
      <c r="B50" s="30">
        <f>K21</f>
        <v>44343.558000000005</v>
      </c>
      <c r="C50" s="86">
        <f>1/InfoInicial!B13</f>
        <v>0.33333333333333331</v>
      </c>
      <c r="D50" s="30">
        <f t="shared" si="5"/>
        <v>14781.186000000002</v>
      </c>
      <c r="E50" s="28">
        <v>0</v>
      </c>
      <c r="F50" s="30"/>
      <c r="G50" s="85">
        <f>B50-3*D50-2*E50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93"/>
      <c r="S50" s="95"/>
      <c r="T50" s="36"/>
      <c r="U50" s="3"/>
      <c r="V50" s="3"/>
      <c r="W50" s="3"/>
      <c r="X50" s="3"/>
      <c r="Y50" s="3"/>
      <c r="Z50" s="3"/>
    </row>
    <row r="51" spans="1:26" ht="12.75" customHeight="1">
      <c r="A51" s="99" t="s">
        <v>195</v>
      </c>
      <c r="B51" s="30">
        <f>SUM(B43:B50)</f>
        <v>2642870.0448755003</v>
      </c>
      <c r="C51" s="86"/>
      <c r="D51" s="30">
        <f t="shared" ref="D51:E51" si="9">SUM(D44:D50)</f>
        <v>314157.11478509998</v>
      </c>
      <c r="E51" s="30">
        <f t="shared" si="9"/>
        <v>299375.9287851</v>
      </c>
      <c r="F51" s="30"/>
      <c r="G51" s="85">
        <f>SUM(G43:G50)</f>
        <v>1101646.84295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6"/>
      <c r="U51" s="3"/>
      <c r="V51" s="3"/>
      <c r="W51" s="3"/>
      <c r="X51" s="3"/>
      <c r="Y51" s="3"/>
      <c r="Z51" s="3"/>
    </row>
    <row r="52" spans="1:26" ht="12.75" customHeight="1">
      <c r="A52" s="24"/>
      <c r="B52" s="100"/>
      <c r="C52" s="101"/>
      <c r="D52" s="102"/>
      <c r="E52" s="102"/>
      <c r="F52" s="102"/>
      <c r="G52" s="8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99" t="s">
        <v>201</v>
      </c>
      <c r="B53" s="30">
        <f>B31+C31</f>
        <v>1114020.9825879005</v>
      </c>
      <c r="C53" s="86">
        <f>1/5</f>
        <v>0.2</v>
      </c>
      <c r="D53" s="30">
        <f>B53*C53</f>
        <v>222804.1965175801</v>
      </c>
      <c r="E53" s="30">
        <f>C53*B53</f>
        <v>222804.1965175801</v>
      </c>
      <c r="F53" s="30"/>
      <c r="G53" s="85">
        <f>B53-5*D53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99"/>
      <c r="B54" s="30"/>
      <c r="C54" s="86"/>
      <c r="D54" s="30"/>
      <c r="E54" s="30"/>
      <c r="F54" s="30"/>
      <c r="G54" s="8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24"/>
      <c r="B55" s="25"/>
      <c r="C55" s="86"/>
      <c r="D55" s="104"/>
      <c r="E55" s="105"/>
      <c r="F55" s="105"/>
      <c r="G55" s="106"/>
      <c r="H55" s="107"/>
      <c r="I55" s="10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58" t="s">
        <v>203</v>
      </c>
      <c r="B56" s="60">
        <f>SUM(B51,B53)</f>
        <v>3756891.0274634007</v>
      </c>
      <c r="C56" s="108"/>
      <c r="D56" s="60">
        <f t="shared" ref="D56:E56" si="10">SUM(D51,D53)</f>
        <v>536961.31130268006</v>
      </c>
      <c r="E56" s="60">
        <f t="shared" si="10"/>
        <v>522180.12530268007</v>
      </c>
      <c r="F56" s="60"/>
      <c r="G56" s="109">
        <f>SUM(G51,G53)</f>
        <v>1101646.84295</v>
      </c>
      <c r="H56" s="110"/>
      <c r="I56" s="11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B3:C3"/>
    <mergeCell ref="D3:E3"/>
    <mergeCell ref="D39:F39"/>
  </mergeCells>
  <hyperlinks>
    <hyperlink ref="H7" r:id="rId1"/>
    <hyperlink ref="P14" r:id="rId2"/>
    <hyperlink ref="J16" r:id="rId3"/>
    <hyperlink ref="J17" r:id="rId4"/>
    <hyperlink ref="J18" r:id="rId5"/>
    <hyperlink ref="K23" r:id="rId6"/>
    <hyperlink ref="K24" r:id="rId7"/>
    <hyperlink ref="K27" r:id="rId8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4"/>
  <sheetViews>
    <sheetView tabSelected="1" topLeftCell="A147" zoomScale="112" zoomScaleNormal="112" workbookViewId="0">
      <selection activeCell="A177" sqref="A177"/>
    </sheetView>
  </sheetViews>
  <sheetFormatPr baseColWidth="10" defaultColWidth="14.42578125" defaultRowHeight="15" customHeight="1"/>
  <cols>
    <col min="1" max="1" width="41.28515625" customWidth="1"/>
    <col min="2" max="2" width="19.85546875" customWidth="1"/>
    <col min="3" max="6" width="14.7109375" customWidth="1"/>
    <col min="7" max="7" width="17.28515625" customWidth="1"/>
    <col min="8" max="9" width="9" customWidth="1"/>
    <col min="10" max="10" width="23" customWidth="1"/>
    <col min="11" max="11" width="28.140625" customWidth="1"/>
    <col min="12" max="12" width="19.42578125" customWidth="1"/>
    <col min="13" max="13" width="19.140625" customWidth="1"/>
    <col min="14" max="14" width="19.7109375" customWidth="1"/>
    <col min="15" max="15" width="15.7109375" customWidth="1"/>
    <col min="16" max="16" width="16.85546875" customWidth="1"/>
    <col min="17" max="17" width="24.7109375" customWidth="1"/>
    <col min="18" max="18" width="14.7109375" customWidth="1"/>
    <col min="19" max="19" width="32.85546875" customWidth="1"/>
    <col min="20" max="20" width="14.85546875" customWidth="1"/>
    <col min="21" max="21" width="14.140625" customWidth="1"/>
    <col min="22" max="22" width="23" customWidth="1"/>
    <col min="23" max="23" width="34" customWidth="1"/>
    <col min="24" max="24" width="13" customWidth="1"/>
    <col min="25" max="25" width="9" customWidth="1"/>
    <col min="26" max="26" width="12" customWidth="1"/>
    <col min="27" max="27" width="12.5703125" customWidth="1"/>
  </cols>
  <sheetData>
    <row r="1" spans="1:2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07" t="s">
        <v>215</v>
      </c>
      <c r="O1" s="508"/>
      <c r="P1" s="508"/>
      <c r="Q1" s="508"/>
      <c r="R1" s="508"/>
      <c r="S1" s="509"/>
      <c r="T1" s="3"/>
      <c r="U1" s="3"/>
      <c r="V1" s="3"/>
      <c r="W1" s="3"/>
      <c r="X1" s="3"/>
      <c r="Y1" s="3"/>
      <c r="Z1" s="3"/>
      <c r="AA1" s="3"/>
    </row>
    <row r="2" spans="1:2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3"/>
      <c r="O2" s="114" t="s">
        <v>218</v>
      </c>
      <c r="P2" s="114" t="s">
        <v>219</v>
      </c>
      <c r="Q2" s="114" t="s">
        <v>220</v>
      </c>
      <c r="R2" s="114" t="s">
        <v>221</v>
      </c>
      <c r="S2" s="114" t="s">
        <v>222</v>
      </c>
      <c r="T2" s="3"/>
      <c r="U2" s="3"/>
      <c r="V2" s="3"/>
      <c r="W2" s="3"/>
      <c r="X2" s="3"/>
      <c r="Y2" s="3"/>
      <c r="Z2" s="3"/>
      <c r="AA2" s="3"/>
    </row>
    <row r="3" spans="1:27" ht="14.25" customHeight="1">
      <c r="A3" s="1" t="s">
        <v>0</v>
      </c>
      <c r="E3" s="2">
        <f>InfoInicial!E1</f>
        <v>5</v>
      </c>
      <c r="F3" s="3"/>
      <c r="G3" s="3"/>
      <c r="H3" s="3"/>
      <c r="I3" s="3"/>
      <c r="J3" s="3"/>
      <c r="K3" s="533" t="s">
        <v>224</v>
      </c>
      <c r="L3" s="533">
        <v>48</v>
      </c>
      <c r="M3" s="3"/>
      <c r="N3" s="115" t="s">
        <v>225</v>
      </c>
      <c r="O3" s="116">
        <v>562172</v>
      </c>
      <c r="P3" s="116">
        <v>680775</v>
      </c>
      <c r="Q3" s="116">
        <v>680775</v>
      </c>
      <c r="R3" s="116">
        <v>680775</v>
      </c>
      <c r="S3" s="117">
        <v>680775</v>
      </c>
      <c r="T3" s="3"/>
      <c r="U3" s="3"/>
      <c r="V3" s="3"/>
      <c r="W3" s="3"/>
      <c r="X3" s="3"/>
      <c r="Y3" s="3"/>
      <c r="Z3" s="3"/>
      <c r="AA3" s="3"/>
    </row>
    <row r="4" spans="1:27" ht="16.5" customHeight="1">
      <c r="A4" s="55" t="s">
        <v>226</v>
      </c>
      <c r="B4" s="56"/>
      <c r="C4" s="56"/>
      <c r="D4" s="56"/>
      <c r="E4" s="56"/>
      <c r="F4" s="57"/>
      <c r="G4" s="3"/>
      <c r="H4" s="3"/>
      <c r="I4" s="3"/>
      <c r="J4" s="3"/>
      <c r="K4" s="3"/>
      <c r="L4" s="3"/>
      <c r="M4" s="3"/>
      <c r="N4" s="118" t="s">
        <v>227</v>
      </c>
      <c r="O4" s="119">
        <f>L3</f>
        <v>48</v>
      </c>
      <c r="P4" s="119">
        <f t="shared" ref="P4:S4" si="0">O4</f>
        <v>48</v>
      </c>
      <c r="Q4" s="119">
        <f t="shared" si="0"/>
        <v>48</v>
      </c>
      <c r="R4" s="119">
        <f t="shared" si="0"/>
        <v>48</v>
      </c>
      <c r="S4" s="119">
        <f t="shared" si="0"/>
        <v>48</v>
      </c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61"/>
      <c r="B5" s="120" t="s">
        <v>230</v>
      </c>
      <c r="C5" s="120"/>
      <c r="D5" s="120"/>
      <c r="E5" s="120"/>
      <c r="F5" s="1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3.5" customHeight="1">
      <c r="A6" s="61" t="s">
        <v>153</v>
      </c>
      <c r="B6" s="16" t="s">
        <v>20</v>
      </c>
      <c r="C6" s="16" t="s">
        <v>156</v>
      </c>
      <c r="D6" s="16" t="s">
        <v>157</v>
      </c>
      <c r="E6" s="16" t="s">
        <v>158</v>
      </c>
      <c r="F6" s="17" t="s">
        <v>159</v>
      </c>
      <c r="G6" s="3"/>
      <c r="H6" s="3"/>
      <c r="I6" s="3"/>
      <c r="J6" s="3"/>
      <c r="K6" s="534" t="s">
        <v>233</v>
      </c>
      <c r="L6" s="535"/>
      <c r="M6" s="535"/>
      <c r="N6" s="535"/>
      <c r="O6" s="123"/>
      <c r="P6" s="123"/>
      <c r="Q6" s="124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3.5" customHeight="1">
      <c r="A7" s="21" t="s">
        <v>209</v>
      </c>
      <c r="B7" s="125">
        <f>O26*T7</f>
        <v>4552300.5918000005</v>
      </c>
      <c r="C7" s="125">
        <f>N30*T7</f>
        <v>5369460.7901999997</v>
      </c>
      <c r="D7" s="125">
        <f t="shared" ref="D7:F7" si="1">C7</f>
        <v>5369460.7901999997</v>
      </c>
      <c r="E7" s="125">
        <f t="shared" si="1"/>
        <v>5369460.7901999997</v>
      </c>
      <c r="F7" s="126">
        <f t="shared" si="1"/>
        <v>5369460.7901999997</v>
      </c>
      <c r="G7" s="3"/>
      <c r="H7" s="3"/>
      <c r="I7" s="3"/>
      <c r="J7" s="3"/>
      <c r="K7" s="127"/>
      <c r="L7" s="128"/>
      <c r="M7" s="128"/>
      <c r="N7" s="129"/>
      <c r="O7" s="129"/>
      <c r="P7" s="505" t="s">
        <v>235</v>
      </c>
      <c r="Q7" s="506"/>
      <c r="R7" s="3"/>
      <c r="S7" s="532" t="s">
        <v>236</v>
      </c>
      <c r="T7" s="540">
        <v>12.22</v>
      </c>
      <c r="U7" s="34" t="s">
        <v>237</v>
      </c>
      <c r="V7" s="3"/>
      <c r="W7" s="3"/>
      <c r="X7" s="3"/>
      <c r="Y7" s="3"/>
      <c r="Z7" s="3"/>
      <c r="AA7" s="3"/>
    </row>
    <row r="8" spans="1:27" ht="12.75" customHeight="1">
      <c r="A8" s="26" t="s">
        <v>238</v>
      </c>
      <c r="B8" s="103">
        <f>L53</f>
        <v>1543668</v>
      </c>
      <c r="C8" s="103">
        <f>L49</f>
        <v>1816080</v>
      </c>
      <c r="D8" s="103">
        <f t="shared" ref="D8:F8" si="2">C8</f>
        <v>1816080</v>
      </c>
      <c r="E8" s="103">
        <f t="shared" si="2"/>
        <v>1816080</v>
      </c>
      <c r="F8" s="134">
        <f t="shared" si="2"/>
        <v>1816080</v>
      </c>
      <c r="G8" s="3"/>
      <c r="H8" s="3"/>
      <c r="I8" s="3"/>
      <c r="J8" s="3"/>
      <c r="K8" s="504" t="s">
        <v>240</v>
      </c>
      <c r="L8" s="490"/>
      <c r="M8" s="138">
        <v>46822.1</v>
      </c>
      <c r="N8" s="139" t="s">
        <v>241</v>
      </c>
      <c r="O8" s="129"/>
      <c r="P8" s="505">
        <v>470</v>
      </c>
      <c r="Q8" s="506"/>
      <c r="R8" s="3"/>
      <c r="S8" s="3"/>
      <c r="T8" s="50"/>
      <c r="U8" s="3"/>
      <c r="V8" s="3"/>
      <c r="W8" s="3"/>
      <c r="X8" s="3"/>
      <c r="Y8" s="3"/>
      <c r="Z8" s="3"/>
      <c r="AA8" s="3"/>
    </row>
    <row r="9" spans="1:27" ht="12.75" customHeight="1">
      <c r="A9" s="26" t="s">
        <v>242</v>
      </c>
      <c r="B9" s="103"/>
      <c r="C9" s="103"/>
      <c r="D9" s="103"/>
      <c r="E9" s="103"/>
      <c r="F9" s="140"/>
      <c r="G9" s="3"/>
      <c r="H9" s="3"/>
      <c r="I9" s="3"/>
      <c r="J9" s="3"/>
      <c r="K9" s="504" t="s">
        <v>243</v>
      </c>
      <c r="L9" s="490"/>
      <c r="M9" s="138">
        <v>324771.7</v>
      </c>
      <c r="N9" s="139" t="s">
        <v>241</v>
      </c>
      <c r="O9" s="129"/>
      <c r="P9" s="129"/>
      <c r="Q9" s="141"/>
      <c r="R9" s="3"/>
      <c r="S9" s="538" t="s">
        <v>244</v>
      </c>
      <c r="T9" s="142"/>
      <c r="U9" s="143"/>
      <c r="V9" s="3"/>
      <c r="W9" s="3"/>
      <c r="X9" s="3"/>
      <c r="Y9" s="3"/>
      <c r="Z9" s="3"/>
      <c r="AA9" s="3"/>
    </row>
    <row r="10" spans="1:27" ht="12.75" customHeight="1">
      <c r="A10" s="144" t="s">
        <v>245</v>
      </c>
      <c r="B10" s="103">
        <f>L61</f>
        <v>150000</v>
      </c>
      <c r="C10" s="103">
        <f t="shared" ref="C10:F10" si="3">B10</f>
        <v>150000</v>
      </c>
      <c r="D10" s="103">
        <f t="shared" si="3"/>
        <v>150000</v>
      </c>
      <c r="E10" s="103">
        <f t="shared" si="3"/>
        <v>150000</v>
      </c>
      <c r="F10" s="134">
        <f t="shared" si="3"/>
        <v>150000</v>
      </c>
      <c r="G10" s="3"/>
      <c r="H10" s="3"/>
      <c r="I10" s="3"/>
      <c r="J10" s="3"/>
      <c r="K10" s="136"/>
      <c r="L10" s="136"/>
      <c r="M10" s="138"/>
      <c r="N10" s="139"/>
      <c r="O10" s="129"/>
      <c r="P10" s="129"/>
      <c r="Q10" s="141"/>
      <c r="R10" s="3"/>
      <c r="S10" s="145"/>
      <c r="U10" s="131"/>
      <c r="V10" s="3"/>
      <c r="W10" s="3"/>
      <c r="X10" s="3"/>
      <c r="Y10" s="3"/>
      <c r="Z10" s="3"/>
      <c r="AA10" s="3"/>
    </row>
    <row r="11" spans="1:27" ht="12.75" customHeight="1">
      <c r="A11" s="26" t="s">
        <v>246</v>
      </c>
      <c r="B11" s="103">
        <f>X18</f>
        <v>484743.29877241206</v>
      </c>
      <c r="C11" s="103">
        <f t="shared" ref="C11:D11" si="4">B11</f>
        <v>484743.29877241206</v>
      </c>
      <c r="D11" s="103">
        <f t="shared" si="4"/>
        <v>484743.29877241206</v>
      </c>
      <c r="E11" s="103">
        <f>X14</f>
        <v>469962.11277241207</v>
      </c>
      <c r="F11" s="134">
        <f>E11</f>
        <v>469962.11277241207</v>
      </c>
      <c r="G11" s="3"/>
      <c r="H11" s="3"/>
      <c r="I11" s="3"/>
      <c r="J11" s="3"/>
      <c r="K11" s="504" t="s">
        <v>247</v>
      </c>
      <c r="L11" s="490"/>
      <c r="M11" s="138">
        <v>371593.8</v>
      </c>
      <c r="N11" s="139" t="s">
        <v>241</v>
      </c>
      <c r="O11" s="129"/>
      <c r="P11" s="129"/>
      <c r="Q11" s="141"/>
      <c r="R11" s="3"/>
      <c r="S11" s="145"/>
      <c r="U11" s="131"/>
      <c r="V11" s="3"/>
      <c r="W11" s="3"/>
      <c r="X11" s="3"/>
      <c r="Y11" s="3"/>
      <c r="Z11" s="3"/>
      <c r="AA11" s="3"/>
    </row>
    <row r="12" spans="1:27" ht="12.75" customHeight="1">
      <c r="A12" s="26" t="s">
        <v>248</v>
      </c>
      <c r="B12" s="103">
        <f>T48</f>
        <v>3029400</v>
      </c>
      <c r="C12" s="103">
        <f>W43</f>
        <v>3564000</v>
      </c>
      <c r="D12" s="103">
        <f t="shared" ref="D12:F12" si="5">C12</f>
        <v>3564000</v>
      </c>
      <c r="E12" s="103">
        <f t="shared" si="5"/>
        <v>3564000</v>
      </c>
      <c r="F12" s="134">
        <f t="shared" si="5"/>
        <v>3564000</v>
      </c>
      <c r="G12" s="3"/>
      <c r="H12" s="3"/>
      <c r="I12" s="3"/>
      <c r="J12" s="3"/>
      <c r="K12" s="504" t="s">
        <v>249</v>
      </c>
      <c r="L12" s="490"/>
      <c r="M12" s="138">
        <v>227319.61</v>
      </c>
      <c r="N12" s="139" t="s">
        <v>250</v>
      </c>
      <c r="O12" s="129"/>
      <c r="P12" s="129"/>
      <c r="Q12" s="141"/>
      <c r="R12" s="3"/>
      <c r="S12" s="146" t="s">
        <v>251</v>
      </c>
      <c r="U12" s="131"/>
      <c r="V12" s="3"/>
      <c r="W12" s="3"/>
      <c r="X12" s="3"/>
      <c r="Y12" s="3"/>
      <c r="Z12" s="3"/>
      <c r="AA12" s="3"/>
    </row>
    <row r="13" spans="1:27" ht="12.75" customHeight="1">
      <c r="A13" s="26" t="s">
        <v>210</v>
      </c>
      <c r="B13" s="103">
        <f t="shared" ref="B13:C13" si="6">T65</f>
        <v>68737.330462049998</v>
      </c>
      <c r="C13" s="103">
        <f t="shared" si="6"/>
        <v>76374.811624499998</v>
      </c>
      <c r="D13" s="103">
        <f t="shared" ref="D13:F13" si="7">C13</f>
        <v>76374.811624499998</v>
      </c>
      <c r="E13" s="103">
        <f t="shared" si="7"/>
        <v>76374.811624499998</v>
      </c>
      <c r="F13" s="134">
        <f t="shared" si="7"/>
        <v>76374.811624499998</v>
      </c>
      <c r="G13" s="3"/>
      <c r="H13" s="3"/>
      <c r="I13" s="3"/>
      <c r="J13" s="3"/>
      <c r="K13" s="504" t="s">
        <v>252</v>
      </c>
      <c r="L13" s="490"/>
      <c r="M13" s="138">
        <v>144274.19</v>
      </c>
      <c r="N13" s="139" t="s">
        <v>241</v>
      </c>
      <c r="O13" s="129"/>
      <c r="P13" s="129"/>
      <c r="Q13" s="141"/>
      <c r="R13" s="3"/>
      <c r="S13" s="146" t="s">
        <v>253</v>
      </c>
      <c r="T13" s="147">
        <f t="shared" ref="T13:T14" si="8">N30</f>
        <v>439399.41</v>
      </c>
      <c r="U13" s="148" t="s">
        <v>241</v>
      </c>
      <c r="V13" s="3"/>
      <c r="W13" s="542" t="s">
        <v>254</v>
      </c>
      <c r="X13" s="149" t="s">
        <v>192</v>
      </c>
      <c r="Y13" s="149" t="s">
        <v>255</v>
      </c>
      <c r="Z13" s="149" t="s">
        <v>256</v>
      </c>
      <c r="AA13" s="150" t="s">
        <v>257</v>
      </c>
    </row>
    <row r="14" spans="1:27" ht="12.75" customHeight="1">
      <c r="A14" s="26" t="s">
        <v>212</v>
      </c>
      <c r="B14" s="70">
        <f>L85</f>
        <v>80821.127999999997</v>
      </c>
      <c r="C14" s="70">
        <f>K85</f>
        <v>95083.68</v>
      </c>
      <c r="D14" s="70">
        <f t="shared" ref="D14:F14" si="9">C14</f>
        <v>95083.68</v>
      </c>
      <c r="E14" s="70">
        <f t="shared" si="9"/>
        <v>95083.68</v>
      </c>
      <c r="F14" s="70">
        <f t="shared" si="9"/>
        <v>95083.68</v>
      </c>
      <c r="G14" s="3"/>
      <c r="H14" s="3"/>
      <c r="I14" s="3"/>
      <c r="J14" s="3"/>
      <c r="K14" s="151"/>
      <c r="L14" s="129"/>
      <c r="M14" s="129"/>
      <c r="N14" s="129"/>
      <c r="O14" s="129"/>
      <c r="P14" s="129"/>
      <c r="Q14" s="141"/>
      <c r="R14" s="3"/>
      <c r="S14" s="146" t="s">
        <v>258</v>
      </c>
      <c r="T14" s="147">
        <f t="shared" si="8"/>
        <v>272310</v>
      </c>
      <c r="U14" s="148" t="s">
        <v>250</v>
      </c>
      <c r="V14" s="3"/>
      <c r="W14" s="152" t="s">
        <v>259</v>
      </c>
      <c r="X14" s="153">
        <f>Y14*Z14</f>
        <v>469962.11277241207</v>
      </c>
      <c r="Y14" s="153">
        <v>0.9</v>
      </c>
      <c r="Z14" s="153">
        <f>'E-Inv AF y Am'!E56</f>
        <v>522180.12530268007</v>
      </c>
      <c r="AA14" s="154"/>
    </row>
    <row r="15" spans="1:27" ht="12.75" customHeight="1">
      <c r="A15" s="26" t="s">
        <v>214</v>
      </c>
      <c r="B15" s="103">
        <f>R76</f>
        <v>47692.799999999996</v>
      </c>
      <c r="C15" s="103">
        <f>Q76</f>
        <v>52991.999999999993</v>
      </c>
      <c r="D15" s="103">
        <f t="shared" ref="D15:F15" si="10">C15</f>
        <v>52991.999999999993</v>
      </c>
      <c r="E15" s="103">
        <f t="shared" si="10"/>
        <v>52991.999999999993</v>
      </c>
      <c r="F15" s="134">
        <f t="shared" si="10"/>
        <v>52991.999999999993</v>
      </c>
      <c r="G15" s="3"/>
      <c r="H15" s="3"/>
      <c r="I15" s="3"/>
      <c r="J15" s="3"/>
      <c r="K15" s="536" t="s">
        <v>260</v>
      </c>
      <c r="L15" s="537"/>
      <c r="M15" s="537"/>
      <c r="N15" s="537"/>
      <c r="O15" s="537"/>
      <c r="P15" s="129"/>
      <c r="Q15" s="141"/>
      <c r="R15" s="3"/>
      <c r="S15" s="146" t="s">
        <v>261</v>
      </c>
      <c r="T15" s="147">
        <f>T13/T14</f>
        <v>1.6135999779662884</v>
      </c>
      <c r="U15" s="148" t="s">
        <v>262</v>
      </c>
      <c r="V15" s="3"/>
      <c r="W15" s="155" t="s">
        <v>263</v>
      </c>
      <c r="X15" s="153">
        <f>X14/N31</f>
        <v>1.7258349409585108</v>
      </c>
      <c r="Y15" s="156"/>
      <c r="Z15" s="157"/>
      <c r="AA15" s="158">
        <f>(N18/2)*X15</f>
        <v>499.95712404627096</v>
      </c>
    </row>
    <row r="16" spans="1:27" ht="12.75" customHeight="1">
      <c r="A16" s="26" t="s">
        <v>264</v>
      </c>
      <c r="B16" s="103">
        <f>O92</f>
        <v>5400</v>
      </c>
      <c r="C16" s="103">
        <f>O87</f>
        <v>5400</v>
      </c>
      <c r="D16" s="103">
        <f t="shared" ref="D16:F16" si="11">C16</f>
        <v>5400</v>
      </c>
      <c r="E16" s="103">
        <f t="shared" si="11"/>
        <v>5400</v>
      </c>
      <c r="F16" s="134">
        <f t="shared" si="11"/>
        <v>5400</v>
      </c>
      <c r="G16" s="3"/>
      <c r="H16" s="3"/>
      <c r="I16" s="3"/>
      <c r="J16" s="3"/>
      <c r="K16" s="151"/>
      <c r="L16" s="129"/>
      <c r="M16" s="129"/>
      <c r="N16" s="129"/>
      <c r="O16" s="129"/>
      <c r="P16" s="129"/>
      <c r="Q16" s="141"/>
      <c r="R16" s="3"/>
      <c r="S16" s="146" t="s">
        <v>265</v>
      </c>
      <c r="T16" s="147">
        <f>T13*T7</f>
        <v>5369460.7901999997</v>
      </c>
      <c r="U16" s="148" t="s">
        <v>266</v>
      </c>
      <c r="V16" s="3"/>
      <c r="W16" s="155" t="s">
        <v>267</v>
      </c>
      <c r="X16" s="153">
        <f>Y16*(Z16-'E-Inv AF y Am'!D50)</f>
        <v>469962.11277241207</v>
      </c>
      <c r="Y16" s="153">
        <v>0.9</v>
      </c>
      <c r="Z16" s="153">
        <f>'E-Inv AF y Am'!D56</f>
        <v>536961.31130268006</v>
      </c>
      <c r="AA16" s="159"/>
    </row>
    <row r="17" spans="1:27" ht="12.75" customHeight="1">
      <c r="A17" s="26" t="s">
        <v>38</v>
      </c>
      <c r="B17" s="103">
        <f>InfoInicial!B15*(SUM(B7:B16))</f>
        <v>448324.34170655091</v>
      </c>
      <c r="C17" s="160">
        <f>InfoInicial!B15*(SUM(C7:C16))</f>
        <v>522636.05612686108</v>
      </c>
      <c r="D17" s="103">
        <f>InfoInicial!B15*SUM(D7:D16)</f>
        <v>522636.05612686108</v>
      </c>
      <c r="E17" s="103">
        <f>InfoInicial!B15*SUM(E7:E16)</f>
        <v>521970.902756861</v>
      </c>
      <c r="F17" s="103">
        <f>InfoInicial!B15*SUM(F7:F16)</f>
        <v>521970.902756861</v>
      </c>
      <c r="G17" s="3"/>
      <c r="H17" s="3"/>
      <c r="I17" s="3"/>
      <c r="J17" s="3"/>
      <c r="K17" s="504" t="s">
        <v>268</v>
      </c>
      <c r="L17" s="490"/>
      <c r="M17" s="490"/>
      <c r="N17" s="161">
        <v>934.89</v>
      </c>
      <c r="O17" s="139" t="s">
        <v>241</v>
      </c>
      <c r="P17" s="129"/>
      <c r="Q17" s="162"/>
      <c r="R17" s="3"/>
      <c r="S17" s="146" t="s">
        <v>269</v>
      </c>
      <c r="T17" s="147">
        <f>T16/T14</f>
        <v>19.718191730748043</v>
      </c>
      <c r="U17" s="148" t="s">
        <v>270</v>
      </c>
      <c r="V17" s="3"/>
      <c r="W17" s="155" t="s">
        <v>271</v>
      </c>
      <c r="X17" s="153">
        <f>'E-Inv AF y Am'!D50</f>
        <v>14781.186000000002</v>
      </c>
      <c r="Y17" s="157"/>
      <c r="Z17" s="157"/>
      <c r="AA17" s="159"/>
    </row>
    <row r="18" spans="1:27" ht="12.75" customHeight="1">
      <c r="A18" s="24" t="s">
        <v>272</v>
      </c>
      <c r="B18" s="103">
        <f t="shared" ref="B18:F18" si="12">SUM(B7:B17)</f>
        <v>10411087.490741016</v>
      </c>
      <c r="C18" s="103">
        <f t="shared" si="12"/>
        <v>12136770.636723774</v>
      </c>
      <c r="D18" s="103">
        <f t="shared" si="12"/>
        <v>12136770.636723774</v>
      </c>
      <c r="E18" s="103">
        <f t="shared" si="12"/>
        <v>12121324.297353772</v>
      </c>
      <c r="F18" s="103">
        <f t="shared" si="12"/>
        <v>12121324.297353772</v>
      </c>
      <c r="G18" s="3"/>
      <c r="H18" s="3"/>
      <c r="I18" s="3"/>
      <c r="J18" s="3"/>
      <c r="K18" s="504" t="s">
        <v>273</v>
      </c>
      <c r="L18" s="490"/>
      <c r="M18" s="490"/>
      <c r="N18" s="161">
        <v>579.38</v>
      </c>
      <c r="O18" s="139" t="s">
        <v>241</v>
      </c>
      <c r="P18" s="129"/>
      <c r="Q18" s="162"/>
      <c r="R18" s="3"/>
      <c r="S18" s="145"/>
      <c r="U18" s="131"/>
      <c r="V18" s="3"/>
      <c r="W18" s="152" t="s">
        <v>274</v>
      </c>
      <c r="X18" s="153">
        <f>X17+X16</f>
        <v>484743.29877241206</v>
      </c>
      <c r="Y18" s="157"/>
      <c r="Z18" s="157"/>
      <c r="AA18" s="159"/>
    </row>
    <row r="19" spans="1:27" ht="12.75" customHeight="1">
      <c r="A19" s="163"/>
      <c r="B19" s="164"/>
      <c r="C19" s="164"/>
      <c r="D19" s="164"/>
      <c r="E19" s="164"/>
      <c r="F19" s="165"/>
      <c r="G19" s="3"/>
      <c r="H19" s="3"/>
      <c r="I19" s="3"/>
      <c r="J19" s="3"/>
      <c r="K19" s="504" t="s">
        <v>275</v>
      </c>
      <c r="L19" s="490"/>
      <c r="M19" s="490"/>
      <c r="N19" s="161">
        <v>355.51</v>
      </c>
      <c r="O19" s="139" t="s">
        <v>241</v>
      </c>
      <c r="P19" s="129"/>
      <c r="Q19" s="162"/>
      <c r="R19" s="3"/>
      <c r="S19" s="146" t="s">
        <v>20</v>
      </c>
      <c r="U19" s="131"/>
      <c r="V19" s="3"/>
      <c r="W19" s="155" t="s">
        <v>276</v>
      </c>
      <c r="X19" s="153">
        <f>X18/N31</f>
        <v>1.7801156724777352</v>
      </c>
      <c r="Y19" s="157"/>
      <c r="Z19" s="157"/>
      <c r="AA19" s="158">
        <f>(N18/2)*X19</f>
        <v>515.68170916007512</v>
      </c>
    </row>
    <row r="20" spans="1:27" ht="12.75" customHeight="1">
      <c r="A20" s="166" t="s">
        <v>277</v>
      </c>
      <c r="B20" s="167">
        <f t="shared" ref="B20:F20" si="13">(B17*0.5+B16+B12+B11+B10+B19+B14*0.5)/B18</f>
        <v>0.37787753076942721</v>
      </c>
      <c r="C20" s="167">
        <f t="shared" si="13"/>
        <v>0.37184546877571156</v>
      </c>
      <c r="D20" s="167">
        <f t="shared" si="13"/>
        <v>0.37184546877571156</v>
      </c>
      <c r="E20" s="167">
        <f t="shared" si="13"/>
        <v>0.37107244174077447</v>
      </c>
      <c r="F20" s="167">
        <f t="shared" si="13"/>
        <v>0.37107244174077447</v>
      </c>
      <c r="G20" s="3"/>
      <c r="H20" s="3"/>
      <c r="I20" s="3"/>
      <c r="J20" s="3"/>
      <c r="K20" s="504" t="s">
        <v>278</v>
      </c>
      <c r="L20" s="490"/>
      <c r="M20" s="490"/>
      <c r="N20" s="161">
        <v>0</v>
      </c>
      <c r="O20" s="139" t="s">
        <v>241</v>
      </c>
      <c r="P20" s="129"/>
      <c r="Q20" s="162"/>
      <c r="R20" s="3"/>
      <c r="S20" s="146" t="s">
        <v>279</v>
      </c>
      <c r="T20" s="147">
        <f>O26</f>
        <v>372528.69</v>
      </c>
      <c r="U20" s="148" t="s">
        <v>241</v>
      </c>
      <c r="V20" s="3"/>
      <c r="W20" s="168" t="s">
        <v>280</v>
      </c>
      <c r="X20" s="169">
        <f>X18/M12</f>
        <v>2.1324306282788892</v>
      </c>
      <c r="Y20" s="170"/>
      <c r="Z20" s="170"/>
      <c r="AA20" s="171">
        <f>(N18/2)*X20</f>
        <v>617.74382870611146</v>
      </c>
    </row>
    <row r="21" spans="1:27" ht="13.5" customHeight="1">
      <c r="A21" s="71" t="s">
        <v>281</v>
      </c>
      <c r="B21" s="172">
        <f t="shared" ref="B21:F21" si="14">(B13+B7+B8+B15+(0.5*B14)+(0.5*B17))/B18</f>
        <v>0.62212246923057246</v>
      </c>
      <c r="C21" s="172">
        <f t="shared" si="14"/>
        <v>0.62815453122428833</v>
      </c>
      <c r="D21" s="172">
        <f t="shared" si="14"/>
        <v>0.62815453122428833</v>
      </c>
      <c r="E21" s="172">
        <f t="shared" si="14"/>
        <v>0.62892755825922542</v>
      </c>
      <c r="F21" s="172">
        <f t="shared" si="14"/>
        <v>0.62892755825922542</v>
      </c>
      <c r="G21" s="3"/>
      <c r="H21" s="3"/>
      <c r="I21" s="3"/>
      <c r="J21" s="3"/>
      <c r="K21" s="151"/>
      <c r="L21" s="129"/>
      <c r="M21" s="129"/>
      <c r="N21" s="129"/>
      <c r="O21" s="129"/>
      <c r="P21" s="129"/>
      <c r="Q21" s="141"/>
      <c r="R21" s="3"/>
      <c r="S21" s="146" t="s">
        <v>282</v>
      </c>
      <c r="T21" s="147">
        <f>M12*T15</f>
        <v>366802.91768730525</v>
      </c>
      <c r="U21" s="148" t="s">
        <v>241</v>
      </c>
      <c r="V21" s="3"/>
      <c r="W21" s="3"/>
      <c r="X21" s="3"/>
      <c r="Y21" s="3"/>
      <c r="Z21" s="3"/>
      <c r="AA21" s="3"/>
    </row>
    <row r="22" spans="1:27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536" t="s">
        <v>283</v>
      </c>
      <c r="L22" s="537"/>
      <c r="M22" s="537"/>
      <c r="N22" s="537"/>
      <c r="O22" s="537"/>
      <c r="P22" s="129"/>
      <c r="Q22" s="141"/>
      <c r="R22" s="3"/>
      <c r="S22" s="146" t="s">
        <v>284</v>
      </c>
      <c r="T22">
        <f>N17</f>
        <v>934.89</v>
      </c>
      <c r="U22" s="148" t="s">
        <v>241</v>
      </c>
      <c r="V22" s="3"/>
      <c r="W22" s="3"/>
      <c r="X22" s="3"/>
      <c r="Y22" s="3"/>
      <c r="Z22" s="3"/>
      <c r="AA22" s="3"/>
    </row>
    <row r="23" spans="1:27" ht="13.5" customHeight="1">
      <c r="A23" s="173"/>
      <c r="B23" s="67" t="s">
        <v>285</v>
      </c>
      <c r="C23" s="67"/>
      <c r="D23" s="67"/>
      <c r="E23" s="67"/>
      <c r="F23" s="67"/>
      <c r="G23" s="174"/>
      <c r="H23" s="3"/>
      <c r="I23" s="3"/>
      <c r="J23" s="3"/>
      <c r="K23" s="151"/>
      <c r="L23" s="129"/>
      <c r="M23" s="129"/>
      <c r="N23" s="129"/>
      <c r="O23" s="129"/>
      <c r="P23" s="129"/>
      <c r="Q23" s="141"/>
      <c r="R23" s="3"/>
      <c r="S23" s="175" t="s">
        <v>286</v>
      </c>
      <c r="T23" s="50">
        <f>T20-T21-T22</f>
        <v>4790.8823126947527</v>
      </c>
      <c r="U23" s="176" t="s">
        <v>241</v>
      </c>
      <c r="V23" s="3"/>
      <c r="W23" s="3"/>
      <c r="X23" s="3"/>
      <c r="Y23" s="3"/>
      <c r="Z23" s="3"/>
      <c r="AA23" s="3"/>
    </row>
    <row r="24" spans="1:27" ht="12.75" customHeight="1">
      <c r="A24" s="61"/>
      <c r="B24" s="120" t="s">
        <v>287</v>
      </c>
      <c r="C24" s="120"/>
      <c r="D24" s="120"/>
      <c r="E24" s="120"/>
      <c r="F24" s="120"/>
      <c r="G24" s="122" t="s">
        <v>288</v>
      </c>
      <c r="H24" s="3"/>
      <c r="I24" s="3"/>
      <c r="J24" s="3"/>
      <c r="K24" s="504" t="s">
        <v>289</v>
      </c>
      <c r="L24" s="490"/>
      <c r="M24" s="490"/>
      <c r="N24" s="129"/>
      <c r="O24" s="138">
        <v>371593.8</v>
      </c>
      <c r="P24" s="139" t="s">
        <v>241</v>
      </c>
      <c r="Q24" s="141"/>
      <c r="R24" s="3"/>
      <c r="S24" s="175" t="s">
        <v>265</v>
      </c>
      <c r="T24" s="50">
        <f>O26*T7</f>
        <v>4552300.5918000005</v>
      </c>
      <c r="U24" s="176" t="s">
        <v>266</v>
      </c>
      <c r="V24" s="3"/>
      <c r="W24" s="3"/>
      <c r="X24" s="3"/>
      <c r="Y24" s="3"/>
      <c r="Z24" s="3"/>
      <c r="AA24" s="3"/>
    </row>
    <row r="25" spans="1:27" ht="13.5" customHeight="1">
      <c r="A25" s="61" t="s">
        <v>153</v>
      </c>
      <c r="B25" s="177" t="s">
        <v>20</v>
      </c>
      <c r="C25" s="177" t="s">
        <v>156</v>
      </c>
      <c r="D25" s="177" t="s">
        <v>157</v>
      </c>
      <c r="E25" s="177" t="s">
        <v>158</v>
      </c>
      <c r="F25" s="177" t="s">
        <v>159</v>
      </c>
      <c r="G25" s="178" t="s">
        <v>20</v>
      </c>
      <c r="H25" s="3"/>
      <c r="I25" s="3"/>
      <c r="J25" s="3"/>
      <c r="K25" s="504" t="s">
        <v>290</v>
      </c>
      <c r="L25" s="490"/>
      <c r="M25" s="490"/>
      <c r="N25" s="490"/>
      <c r="O25" s="161">
        <v>934.89</v>
      </c>
      <c r="P25" s="139" t="s">
        <v>241</v>
      </c>
      <c r="Q25" s="141"/>
      <c r="R25" s="3"/>
      <c r="S25" s="175" t="s">
        <v>291</v>
      </c>
      <c r="T25" s="50">
        <f>T21*T7</f>
        <v>4482331.6541388705</v>
      </c>
      <c r="U25" s="176" t="s">
        <v>266</v>
      </c>
      <c r="V25" s="3"/>
      <c r="W25" s="3"/>
      <c r="X25" s="3"/>
      <c r="Y25" s="3"/>
      <c r="Z25" s="3"/>
      <c r="AA25" s="3"/>
    </row>
    <row r="26" spans="1:27" ht="13.5" customHeight="1">
      <c r="A26" s="21" t="s">
        <v>209</v>
      </c>
      <c r="B26" s="66">
        <f>T26</f>
        <v>11424.355800000001</v>
      </c>
      <c r="C26" s="66">
        <f>T26</f>
        <v>11424.355800000001</v>
      </c>
      <c r="D26" s="66">
        <f t="shared" ref="D26:F26" si="15">C26</f>
        <v>11424.355800000001</v>
      </c>
      <c r="E26" s="66">
        <f t="shared" si="15"/>
        <v>11424.355800000001</v>
      </c>
      <c r="F26" s="66">
        <f t="shared" si="15"/>
        <v>11424.355800000001</v>
      </c>
      <c r="G26" s="68">
        <f>T27</f>
        <v>58544.581861129882</v>
      </c>
      <c r="H26" s="3"/>
      <c r="I26" s="3"/>
      <c r="J26" s="3"/>
      <c r="K26" s="504" t="s">
        <v>292</v>
      </c>
      <c r="L26" s="490"/>
      <c r="M26" s="490"/>
      <c r="N26" s="490"/>
      <c r="O26" s="138">
        <v>372528.69</v>
      </c>
      <c r="P26" s="139" t="s">
        <v>241</v>
      </c>
      <c r="Q26" s="141"/>
      <c r="R26" s="3"/>
      <c r="S26" s="175" t="s">
        <v>293</v>
      </c>
      <c r="T26" s="50">
        <f>T22*T7</f>
        <v>11424.355800000001</v>
      </c>
      <c r="U26" s="176" t="s">
        <v>266</v>
      </c>
      <c r="V26" s="3"/>
      <c r="W26" s="3"/>
      <c r="X26" s="3"/>
      <c r="Y26" s="3"/>
      <c r="Z26" s="3"/>
      <c r="AA26" s="3"/>
    </row>
    <row r="27" spans="1:27" ht="12.75" customHeight="1">
      <c r="A27" s="26" t="s">
        <v>238</v>
      </c>
      <c r="B27" s="70">
        <f>L56</f>
        <v>1931.9900672028205</v>
      </c>
      <c r="C27" s="70">
        <f t="shared" ref="C27:F27" si="16">B27</f>
        <v>1931.9900672028205</v>
      </c>
      <c r="D27" s="70">
        <f t="shared" si="16"/>
        <v>1931.9900672028205</v>
      </c>
      <c r="E27" s="70">
        <f t="shared" si="16"/>
        <v>1931.9900672028205</v>
      </c>
      <c r="F27" s="70">
        <f t="shared" si="16"/>
        <v>1931.9900672028205</v>
      </c>
      <c r="G27" s="80">
        <f>L57</f>
        <v>25704.291197532333</v>
      </c>
      <c r="H27" s="3"/>
      <c r="I27" s="3"/>
      <c r="J27" s="3"/>
      <c r="K27" s="151"/>
      <c r="L27" s="129"/>
      <c r="M27" s="129"/>
      <c r="N27" s="129"/>
      <c r="O27" s="129"/>
      <c r="P27" s="129"/>
      <c r="Q27" s="141"/>
      <c r="R27" s="3"/>
      <c r="S27" s="179" t="s">
        <v>294</v>
      </c>
      <c r="T27" s="180">
        <f>T23*T7</f>
        <v>58544.581861129882</v>
      </c>
      <c r="U27" s="181" t="s">
        <v>266</v>
      </c>
      <c r="V27" s="3"/>
      <c r="W27" s="3"/>
      <c r="X27" s="3"/>
      <c r="Y27" s="3"/>
      <c r="Z27" s="3"/>
      <c r="AA27" s="3"/>
    </row>
    <row r="28" spans="1:27" ht="12.75" customHeight="1">
      <c r="A28" s="26" t="s">
        <v>242</v>
      </c>
      <c r="B28" s="30"/>
      <c r="C28" s="30"/>
      <c r="D28" s="30"/>
      <c r="E28" s="30"/>
      <c r="F28" s="30"/>
      <c r="G28" s="85"/>
      <c r="H28" s="3"/>
      <c r="I28" s="3"/>
      <c r="J28" s="3"/>
      <c r="K28" s="151"/>
      <c r="L28" s="510" t="s">
        <v>295</v>
      </c>
      <c r="M28" s="490"/>
      <c r="N28" s="129"/>
      <c r="O28" s="129"/>
      <c r="P28" s="129"/>
      <c r="Q28" s="141"/>
      <c r="R28" s="3"/>
      <c r="V28" s="3"/>
      <c r="W28" s="3"/>
      <c r="X28" s="3"/>
      <c r="Y28" s="3"/>
      <c r="Z28" s="3"/>
      <c r="AA28" s="3"/>
    </row>
    <row r="29" spans="1:27" ht="12.75" customHeight="1">
      <c r="A29" s="26" t="s">
        <v>246</v>
      </c>
      <c r="B29" s="70">
        <f>AA20</f>
        <v>617.74382870611146</v>
      </c>
      <c r="C29" s="70">
        <f>AA19</f>
        <v>515.68170916007512</v>
      </c>
      <c r="D29" s="70">
        <f>AA19</f>
        <v>515.68170916007512</v>
      </c>
      <c r="E29" s="70">
        <f>AA15</f>
        <v>499.95712404627096</v>
      </c>
      <c r="F29" s="70">
        <f>AA15</f>
        <v>499.95712404627096</v>
      </c>
      <c r="G29" s="182">
        <v>0</v>
      </c>
      <c r="H29" s="3"/>
      <c r="I29" s="3"/>
      <c r="J29" s="3"/>
      <c r="K29" s="151"/>
      <c r="L29" s="129"/>
      <c r="M29" s="129"/>
      <c r="N29" s="129"/>
      <c r="O29" s="129"/>
      <c r="P29" s="129"/>
      <c r="Q29" s="141"/>
      <c r="R29" s="3"/>
      <c r="V29" s="3"/>
      <c r="W29" s="3"/>
      <c r="X29" s="3"/>
      <c r="Y29" s="3"/>
      <c r="Z29" s="3"/>
      <c r="AA29" s="3"/>
    </row>
    <row r="30" spans="1:27" ht="12.75" customHeight="1">
      <c r="A30" s="26" t="s">
        <v>248</v>
      </c>
      <c r="B30" s="70">
        <f>T50</f>
        <v>3860.5859212938121</v>
      </c>
      <c r="C30" s="70">
        <f>W45</f>
        <v>3791.4698688994158</v>
      </c>
      <c r="D30" s="70">
        <f t="shared" ref="D30:F30" si="17">C30</f>
        <v>3791.4698688994158</v>
      </c>
      <c r="E30" s="70">
        <f t="shared" si="17"/>
        <v>3791.4698688994158</v>
      </c>
      <c r="F30" s="70">
        <f t="shared" si="17"/>
        <v>3791.4698688994158</v>
      </c>
      <c r="G30" s="182">
        <v>0</v>
      </c>
      <c r="H30" s="3"/>
      <c r="I30" s="3"/>
      <c r="J30" s="3"/>
      <c r="K30" s="504" t="s">
        <v>296</v>
      </c>
      <c r="L30" s="490"/>
      <c r="M30" s="490"/>
      <c r="N30" s="138">
        <v>439399.41</v>
      </c>
      <c r="O30" s="139" t="s">
        <v>241</v>
      </c>
      <c r="P30" s="129"/>
      <c r="Q30" s="141"/>
      <c r="R30" s="3"/>
      <c r="V30" s="3"/>
      <c r="W30" s="3"/>
      <c r="X30" s="3"/>
      <c r="Y30" s="3"/>
      <c r="Z30" s="3"/>
      <c r="AA30" s="3"/>
    </row>
    <row r="31" spans="1:27" ht="12.75" customHeight="1">
      <c r="A31" s="26" t="s">
        <v>210</v>
      </c>
      <c r="B31" s="70">
        <f t="shared" ref="B31:C31" si="18">T67</f>
        <v>73.124443691202174</v>
      </c>
      <c r="C31" s="70">
        <f t="shared" si="18"/>
        <v>81.249381879113528</v>
      </c>
      <c r="D31" s="70">
        <f t="shared" ref="D31:F31" si="19">C31</f>
        <v>81.249381879113528</v>
      </c>
      <c r="E31" s="70">
        <f t="shared" si="19"/>
        <v>81.249381879113528</v>
      </c>
      <c r="F31" s="70">
        <f t="shared" si="19"/>
        <v>81.249381879113528</v>
      </c>
      <c r="G31" s="80">
        <f>T69</f>
        <v>11283.48862614284</v>
      </c>
      <c r="H31" s="3"/>
      <c r="I31" s="3"/>
      <c r="J31" s="3"/>
      <c r="K31" s="504" t="s">
        <v>297</v>
      </c>
      <c r="L31" s="490"/>
      <c r="M31" s="490"/>
      <c r="N31" s="183">
        <v>272310</v>
      </c>
      <c r="O31" s="139" t="s">
        <v>250</v>
      </c>
      <c r="P31" s="129"/>
      <c r="Q31" s="141"/>
      <c r="R31" s="3"/>
      <c r="V31" s="3"/>
      <c r="W31" s="3"/>
      <c r="X31" s="3"/>
      <c r="Y31" s="3"/>
      <c r="Z31" s="3"/>
      <c r="AA31" s="3"/>
    </row>
    <row r="32" spans="1:27" ht="12.75" customHeight="1">
      <c r="A32" s="26" t="s">
        <v>298</v>
      </c>
      <c r="B32" s="184">
        <f>L87</f>
        <v>85.979481364327413</v>
      </c>
      <c r="C32" s="184">
        <f>K87</f>
        <v>101.15233101685578</v>
      </c>
      <c r="D32" s="184">
        <f t="shared" ref="D32:F32" si="20">C32</f>
        <v>101.15233101685578</v>
      </c>
      <c r="E32" s="184">
        <f t="shared" si="20"/>
        <v>101.15233101685578</v>
      </c>
      <c r="F32" s="185">
        <f t="shared" si="20"/>
        <v>101.15233101685578</v>
      </c>
      <c r="G32" s="80">
        <f>L89</f>
        <v>16078.258114231103</v>
      </c>
      <c r="H32" s="3"/>
      <c r="I32" s="3"/>
      <c r="J32" s="3"/>
      <c r="K32" s="522" t="s">
        <v>299</v>
      </c>
      <c r="L32" s="514"/>
      <c r="M32" s="514"/>
      <c r="N32" s="187">
        <v>167089.41</v>
      </c>
      <c r="O32" s="188" t="s">
        <v>241</v>
      </c>
      <c r="P32" s="189"/>
      <c r="Q32" s="190"/>
      <c r="R32" s="3"/>
      <c r="V32" s="3"/>
      <c r="W32" s="3"/>
      <c r="X32" s="3"/>
      <c r="Y32" s="3"/>
      <c r="Z32" s="3"/>
      <c r="AA32" s="3"/>
    </row>
    <row r="33" spans="1:27" ht="12.75" customHeight="1">
      <c r="A33" s="26" t="s">
        <v>300</v>
      </c>
      <c r="B33" s="70">
        <f>T76</f>
        <v>56.374178252726665</v>
      </c>
      <c r="C33" s="70">
        <f t="shared" ref="C33:F33" si="21">B33</f>
        <v>56.374178252726665</v>
      </c>
      <c r="D33" s="70">
        <f t="shared" si="21"/>
        <v>56.374178252726665</v>
      </c>
      <c r="E33" s="70">
        <f t="shared" si="21"/>
        <v>56.374178252726665</v>
      </c>
      <c r="F33" s="70">
        <f t="shared" si="21"/>
        <v>56.374178252726665</v>
      </c>
      <c r="G33" s="80">
        <f>V76</f>
        <v>3399.6340288641659</v>
      </c>
      <c r="H33" s="3"/>
      <c r="I33" s="3"/>
      <c r="J33" s="3"/>
      <c r="Q33" s="129"/>
      <c r="R33" s="3"/>
      <c r="V33" s="3"/>
      <c r="W33" s="3"/>
      <c r="X33" s="3"/>
      <c r="Y33" s="3"/>
      <c r="Z33" s="3"/>
      <c r="AA33" s="3"/>
    </row>
    <row r="34" spans="1:27" ht="12.75" customHeight="1">
      <c r="A34" s="26" t="s">
        <v>301</v>
      </c>
      <c r="B34" s="185">
        <f>O94</f>
        <v>6.8728562497226617</v>
      </c>
      <c r="C34" s="70">
        <f>O89</f>
        <v>5.7446513165142674</v>
      </c>
      <c r="D34" s="70">
        <f t="shared" ref="D34:F34" si="22">C34</f>
        <v>5.7446513165142674</v>
      </c>
      <c r="E34" s="70">
        <f t="shared" si="22"/>
        <v>5.7446513165142674</v>
      </c>
      <c r="F34" s="70">
        <f t="shared" si="22"/>
        <v>5.7446513165142674</v>
      </c>
      <c r="G34" s="182">
        <v>0</v>
      </c>
      <c r="H34" s="3"/>
      <c r="I34" s="3"/>
      <c r="J34" s="3"/>
      <c r="Q34" s="129"/>
      <c r="R34" s="3"/>
      <c r="S34" s="541" t="s">
        <v>302</v>
      </c>
      <c r="T34" s="112"/>
      <c r="U34" s="112"/>
      <c r="V34" s="191"/>
      <c r="W34" s="143"/>
      <c r="X34" s="3"/>
      <c r="Y34" s="3"/>
      <c r="Z34" s="3"/>
      <c r="AA34" s="3"/>
    </row>
    <row r="35" spans="1:27" ht="12.75" customHeight="1">
      <c r="A35" s="26" t="s">
        <v>303</v>
      </c>
      <c r="B35" s="70">
        <f>InfoInicial!B15*(SUM(B26:B34))</f>
        <v>812.56619595423251</v>
      </c>
      <c r="C35" s="70">
        <f>InfoInicial!B15*SUM(C26:C34)</f>
        <v>805.86080944773846</v>
      </c>
      <c r="D35" s="70">
        <f>InfoInicial!B15*SUM(D26:D34)</f>
        <v>805.86080944773846</v>
      </c>
      <c r="E35" s="70">
        <f>InfoInicial!B15*SUM(E26:E34)</f>
        <v>805.15320311761718</v>
      </c>
      <c r="F35" s="70">
        <f>InfoInicial!B15*SUM(F26:F34)</f>
        <v>805.15320311761718</v>
      </c>
      <c r="G35" s="80"/>
      <c r="H35" s="3"/>
      <c r="I35" s="3"/>
      <c r="J35" s="3"/>
      <c r="K35" s="538" t="s">
        <v>304</v>
      </c>
      <c r="L35" s="142"/>
      <c r="M35" s="143"/>
      <c r="Q35" s="129"/>
      <c r="R35" s="3"/>
      <c r="S35" s="145"/>
      <c r="V35" s="3"/>
      <c r="W35" s="192"/>
      <c r="X35" s="3"/>
      <c r="Y35" s="3"/>
      <c r="Z35" s="3"/>
      <c r="AA35" s="3"/>
    </row>
    <row r="36" spans="1:27" ht="13.5" customHeight="1">
      <c r="A36" s="71" t="s">
        <v>305</v>
      </c>
      <c r="B36" s="137">
        <f t="shared" ref="B36:G36" si="23">SUM(B26:B35)</f>
        <v>18869.592772714957</v>
      </c>
      <c r="C36" s="137">
        <f t="shared" si="23"/>
        <v>18713.878797175261</v>
      </c>
      <c r="D36" s="137">
        <f t="shared" si="23"/>
        <v>18713.878797175261</v>
      </c>
      <c r="E36" s="137">
        <f t="shared" si="23"/>
        <v>18697.446605731333</v>
      </c>
      <c r="F36" s="137">
        <f t="shared" si="23"/>
        <v>18697.446605731333</v>
      </c>
      <c r="G36" s="193">
        <f t="shared" si="23"/>
        <v>115010.25382790032</v>
      </c>
      <c r="H36" s="3"/>
      <c r="I36" s="3"/>
      <c r="J36" s="3"/>
      <c r="K36" s="175" t="s">
        <v>306</v>
      </c>
      <c r="L36" s="133">
        <v>6</v>
      </c>
      <c r="M36" s="192"/>
      <c r="Q36" s="129"/>
      <c r="R36" s="3"/>
      <c r="S36" s="194" t="s">
        <v>251</v>
      </c>
      <c r="T36" s="195"/>
      <c r="U36" s="195"/>
      <c r="V36" s="196"/>
      <c r="W36" s="197"/>
      <c r="X36" s="3"/>
      <c r="Y36" s="3"/>
      <c r="Z36" s="3"/>
      <c r="AA36" s="3"/>
    </row>
    <row r="37" spans="1:27" ht="14.25" customHeight="1">
      <c r="A37" s="39"/>
      <c r="B37" s="198"/>
      <c r="C37" s="198"/>
      <c r="D37" s="198"/>
      <c r="E37" s="198"/>
      <c r="F37" s="198"/>
      <c r="G37" s="198"/>
      <c r="H37" s="3"/>
      <c r="I37" s="3"/>
      <c r="J37" s="3"/>
      <c r="K37" s="175" t="s">
        <v>307</v>
      </c>
      <c r="L37" s="133">
        <v>6</v>
      </c>
      <c r="M37" s="192"/>
      <c r="Q37" s="129"/>
      <c r="R37" s="3"/>
      <c r="S37" s="199" t="s">
        <v>308</v>
      </c>
      <c r="T37" s="200" t="s">
        <v>309</v>
      </c>
      <c r="U37" s="201" t="s">
        <v>310</v>
      </c>
      <c r="V37" s="201" t="s">
        <v>311</v>
      </c>
      <c r="W37" s="202" t="s">
        <v>312</v>
      </c>
      <c r="X37" s="3"/>
      <c r="Y37" s="3"/>
      <c r="Z37" s="3"/>
      <c r="AA37" s="3"/>
    </row>
    <row r="38" spans="1:27" ht="13.5" customHeight="1">
      <c r="A38" s="73"/>
      <c r="B38" s="203" t="s">
        <v>313</v>
      </c>
      <c r="C38" s="203"/>
      <c r="D38" s="203"/>
      <c r="E38" s="203"/>
      <c r="F38" s="204"/>
      <c r="G38" s="3"/>
      <c r="H38" s="3"/>
      <c r="I38" s="3"/>
      <c r="J38" s="3"/>
      <c r="K38" s="175" t="s">
        <v>314</v>
      </c>
      <c r="L38" s="36">
        <v>1</v>
      </c>
      <c r="M38" s="192"/>
      <c r="Q38" s="129"/>
      <c r="R38" s="3"/>
      <c r="S38" s="199" t="s">
        <v>315</v>
      </c>
      <c r="T38" s="200">
        <v>60000</v>
      </c>
      <c r="U38" s="205">
        <v>43160</v>
      </c>
      <c r="V38" s="206">
        <v>0.6</v>
      </c>
      <c r="W38" s="207">
        <f>(T38*1/3+(T38*V38))*12</f>
        <v>672000</v>
      </c>
      <c r="X38" s="3"/>
      <c r="Y38" s="3"/>
      <c r="Z38" s="3"/>
      <c r="AA38" s="3"/>
    </row>
    <row r="39" spans="1:27" ht="13.5" customHeight="1">
      <c r="A39" s="71"/>
      <c r="B39" s="177" t="s">
        <v>20</v>
      </c>
      <c r="C39" s="177" t="s">
        <v>156</v>
      </c>
      <c r="D39" s="177" t="s">
        <v>157</v>
      </c>
      <c r="E39" s="177" t="s">
        <v>158</v>
      </c>
      <c r="F39" s="17" t="s">
        <v>159</v>
      </c>
      <c r="G39" s="198"/>
      <c r="H39" s="3"/>
      <c r="I39" s="3"/>
      <c r="J39" s="3"/>
      <c r="K39" s="175" t="s">
        <v>316</v>
      </c>
      <c r="L39" s="36">
        <v>70</v>
      </c>
      <c r="M39" s="176" t="s">
        <v>266</v>
      </c>
      <c r="Q39" s="129"/>
      <c r="R39" s="3"/>
      <c r="S39" s="155" t="s">
        <v>317</v>
      </c>
      <c r="T39" s="208">
        <v>50000</v>
      </c>
      <c r="U39" s="208">
        <v>1</v>
      </c>
      <c r="V39" s="209">
        <v>0.6</v>
      </c>
      <c r="W39" s="207">
        <f t="shared" ref="W39:W42" si="24">(T39*U39+(T39*V39))*12</f>
        <v>960000</v>
      </c>
      <c r="X39" s="3"/>
      <c r="Y39" s="3"/>
      <c r="Z39" s="3"/>
      <c r="AA39" s="3"/>
    </row>
    <row r="40" spans="1:27" ht="13.5" customHeight="1">
      <c r="A40" s="79" t="s">
        <v>272</v>
      </c>
      <c r="B40" s="66">
        <f t="shared" ref="B40:F40" si="25">B18</f>
        <v>10411087.490741016</v>
      </c>
      <c r="C40" s="555">
        <f>C18</f>
        <v>12136770.636723774</v>
      </c>
      <c r="D40" s="555">
        <f t="shared" si="25"/>
        <v>12136770.636723774</v>
      </c>
      <c r="E40" s="555">
        <f t="shared" si="25"/>
        <v>12121324.297353772</v>
      </c>
      <c r="F40" s="554">
        <f t="shared" si="25"/>
        <v>12121324.297353772</v>
      </c>
      <c r="G40" s="198"/>
      <c r="H40" s="3"/>
      <c r="I40" s="3"/>
      <c r="J40" s="3"/>
      <c r="K40" s="175" t="s">
        <v>318</v>
      </c>
      <c r="L40" s="44">
        <v>0.7</v>
      </c>
      <c r="M40" s="176"/>
      <c r="N40" s="3"/>
      <c r="O40" s="3"/>
      <c r="P40" s="3"/>
      <c r="Q40" s="3"/>
      <c r="R40" s="3"/>
      <c r="S40" s="155" t="s">
        <v>319</v>
      </c>
      <c r="T40" s="208">
        <v>35000</v>
      </c>
      <c r="U40" s="208">
        <v>1</v>
      </c>
      <c r="V40" s="210">
        <v>0.6</v>
      </c>
      <c r="W40" s="207">
        <f t="shared" si="24"/>
        <v>672000</v>
      </c>
      <c r="X40" s="3"/>
      <c r="Y40" s="3"/>
      <c r="Z40" s="3"/>
      <c r="AA40" s="3"/>
    </row>
    <row r="41" spans="1:27" ht="12.75" customHeight="1">
      <c r="A41" s="26" t="s">
        <v>320</v>
      </c>
      <c r="B41" s="70"/>
      <c r="C41" s="70"/>
      <c r="D41" s="70"/>
      <c r="E41" s="70"/>
      <c r="F41" s="85"/>
      <c r="G41" s="198"/>
      <c r="H41" s="3"/>
      <c r="I41" s="3"/>
      <c r="J41" s="3"/>
      <c r="K41" s="175" t="s">
        <v>321</v>
      </c>
      <c r="L41" s="44">
        <v>0.6</v>
      </c>
      <c r="M41" s="192"/>
      <c r="N41" s="3"/>
      <c r="O41" s="3"/>
      <c r="P41" s="3"/>
      <c r="Q41" s="3"/>
      <c r="R41" s="3"/>
      <c r="S41" s="155" t="s">
        <v>322</v>
      </c>
      <c r="T41" s="208">
        <v>25000</v>
      </c>
      <c r="U41" s="208">
        <v>2</v>
      </c>
      <c r="V41" s="210">
        <v>0.6</v>
      </c>
      <c r="W41" s="207">
        <f t="shared" si="24"/>
        <v>780000</v>
      </c>
      <c r="X41" s="3"/>
      <c r="Y41" s="3"/>
      <c r="Z41" s="3"/>
      <c r="AA41" s="3"/>
    </row>
    <row r="42" spans="1:27" ht="12.75" customHeight="1">
      <c r="A42" s="26" t="s">
        <v>323</v>
      </c>
      <c r="B42" s="70">
        <f>G36</f>
        <v>115010.25382790032</v>
      </c>
      <c r="C42" s="70"/>
      <c r="D42" s="70"/>
      <c r="E42" s="70"/>
      <c r="F42" s="85"/>
      <c r="G42" s="198"/>
      <c r="H42" s="3"/>
      <c r="I42" s="3"/>
      <c r="J42" s="3"/>
      <c r="K42" s="175" t="s">
        <v>324</v>
      </c>
      <c r="L42" s="3"/>
      <c r="M42" s="192"/>
      <c r="N42" s="3"/>
      <c r="O42" s="3"/>
      <c r="P42" s="3"/>
      <c r="Q42" s="3"/>
      <c r="R42" s="3"/>
      <c r="S42" s="155" t="s">
        <v>325</v>
      </c>
      <c r="T42" s="208">
        <v>25000</v>
      </c>
      <c r="U42" s="208">
        <v>1</v>
      </c>
      <c r="V42" s="210">
        <v>0.6</v>
      </c>
      <c r="W42" s="207">
        <f t="shared" si="24"/>
        <v>480000</v>
      </c>
      <c r="X42" s="3"/>
      <c r="Y42" s="3"/>
      <c r="Z42" s="3"/>
      <c r="AA42" s="3"/>
    </row>
    <row r="43" spans="1:27" ht="12.75" customHeight="1">
      <c r="A43" s="26" t="s">
        <v>326</v>
      </c>
      <c r="B43" s="70">
        <f>B36</f>
        <v>18869.592772714957</v>
      </c>
      <c r="C43" s="70">
        <f t="shared" ref="C43:E43" si="26">C36-B36</f>
        <v>-155.71397553969655</v>
      </c>
      <c r="D43" s="70">
        <f t="shared" si="26"/>
        <v>0</v>
      </c>
      <c r="E43" s="70">
        <f t="shared" si="26"/>
        <v>-16.432191443927877</v>
      </c>
      <c r="F43" s="80">
        <f>E36-F36</f>
        <v>0</v>
      </c>
      <c r="G43" s="198"/>
      <c r="H43" s="3"/>
      <c r="I43" s="3"/>
      <c r="J43" s="3"/>
      <c r="K43" s="211"/>
      <c r="L43" s="3"/>
      <c r="M43" s="192"/>
      <c r="N43" s="3"/>
      <c r="O43" s="3"/>
      <c r="P43" s="3"/>
      <c r="Q43" s="3"/>
      <c r="R43" s="3"/>
      <c r="S43" s="155" t="s">
        <v>327</v>
      </c>
      <c r="T43" s="212"/>
      <c r="U43" s="212"/>
      <c r="V43" s="157"/>
      <c r="W43" s="207">
        <f>SUM(W38:W42)</f>
        <v>3564000</v>
      </c>
      <c r="X43" s="3"/>
      <c r="Y43" s="3"/>
      <c r="Z43" s="3"/>
      <c r="AA43" s="3"/>
    </row>
    <row r="44" spans="1:27" ht="12.75" customHeight="1">
      <c r="A44" s="24" t="s">
        <v>328</v>
      </c>
      <c r="B44" s="70">
        <f>B40-B42-B43</f>
        <v>10277207.644140402</v>
      </c>
      <c r="C44" s="556">
        <f t="shared" ref="C44:F44" si="27">C40-C43</f>
        <v>12136926.350699313</v>
      </c>
      <c r="D44" s="556">
        <f t="shared" si="27"/>
        <v>12136770.636723774</v>
      </c>
      <c r="E44" s="556">
        <f t="shared" si="27"/>
        <v>12121340.729545217</v>
      </c>
      <c r="F44" s="556">
        <f t="shared" si="27"/>
        <v>12121324.297353772</v>
      </c>
      <c r="G44" s="198"/>
      <c r="H44" s="3"/>
      <c r="I44" s="3"/>
      <c r="J44" s="3"/>
      <c r="K44" s="175" t="s">
        <v>329</v>
      </c>
      <c r="L44" s="36">
        <v>6</v>
      </c>
      <c r="M44" s="192"/>
      <c r="N44" s="3"/>
      <c r="O44" s="3"/>
      <c r="P44" s="3"/>
      <c r="Q44" s="3"/>
      <c r="R44" s="3"/>
      <c r="S44" s="155" t="s">
        <v>330</v>
      </c>
      <c r="T44" s="212"/>
      <c r="U44" s="212"/>
      <c r="V44" s="157"/>
      <c r="W44" s="213">
        <f>W43/N31</f>
        <v>13.088024677756968</v>
      </c>
      <c r="X44" s="3"/>
      <c r="Y44" s="3"/>
      <c r="Z44" s="3"/>
      <c r="AA44" s="3"/>
    </row>
    <row r="45" spans="1:27" ht="12.75" customHeight="1">
      <c r="A45" s="166" t="s">
        <v>331</v>
      </c>
      <c r="B45" s="214">
        <f t="shared" ref="B45:F45" si="28">B44/O3</f>
        <v>18.281251368158504</v>
      </c>
      <c r="C45" s="214">
        <f t="shared" si="28"/>
        <v>17.828102310894661</v>
      </c>
      <c r="D45" s="214">
        <f t="shared" si="28"/>
        <v>17.827873580439608</v>
      </c>
      <c r="E45" s="214">
        <f t="shared" si="28"/>
        <v>17.805208372142364</v>
      </c>
      <c r="F45" s="215">
        <f t="shared" si="28"/>
        <v>17.805184234664569</v>
      </c>
      <c r="G45" s="198"/>
      <c r="H45" s="3"/>
      <c r="I45" s="3"/>
      <c r="J45" s="3"/>
      <c r="K45" s="175" t="s">
        <v>332</v>
      </c>
      <c r="L45" s="36">
        <v>1880</v>
      </c>
      <c r="M45" s="192"/>
      <c r="N45" s="3"/>
      <c r="O45" s="3"/>
      <c r="P45" s="3"/>
      <c r="Q45" s="3"/>
      <c r="R45" s="3"/>
      <c r="S45" s="155" t="s">
        <v>333</v>
      </c>
      <c r="T45" s="212"/>
      <c r="U45" s="212"/>
      <c r="V45" s="157"/>
      <c r="W45" s="216">
        <f>N18/2*W44</f>
        <v>3791.4698688994158</v>
      </c>
      <c r="X45" s="3"/>
      <c r="Y45" s="3"/>
      <c r="Z45" s="3"/>
      <c r="AA45" s="3"/>
    </row>
    <row r="46" spans="1:27" ht="12.75" customHeight="1">
      <c r="A46" s="166"/>
      <c r="B46" s="214"/>
      <c r="C46" s="214"/>
      <c r="D46" s="214"/>
      <c r="E46" s="214"/>
      <c r="F46" s="215"/>
      <c r="G46" s="198">
        <f>B47+B48</f>
        <v>0.98714064724557526</v>
      </c>
      <c r="H46" s="3"/>
      <c r="I46" s="3"/>
      <c r="J46" s="3"/>
      <c r="K46" s="175" t="s">
        <v>334</v>
      </c>
      <c r="L46" s="36">
        <f>L39*(1+L40+L41)</f>
        <v>161</v>
      </c>
      <c r="M46" s="176" t="s">
        <v>266</v>
      </c>
      <c r="N46" s="3"/>
      <c r="O46" s="3"/>
      <c r="P46" s="3"/>
      <c r="Q46" s="3"/>
      <c r="R46" s="3"/>
      <c r="S46" s="145"/>
      <c r="W46" s="154"/>
      <c r="X46" s="3"/>
      <c r="Y46" s="3"/>
      <c r="Z46" s="3"/>
      <c r="AA46" s="3"/>
    </row>
    <row r="47" spans="1:27" ht="12.75" customHeight="1">
      <c r="A47" s="166" t="s">
        <v>277</v>
      </c>
      <c r="B47" s="167">
        <f t="shared" ref="B47:F47" si="29">((B40*B20)-B29-B30-B32*0.5-B35*0.5-B34)/B40</f>
        <v>0.37740356727144514</v>
      </c>
      <c r="C47" s="167">
        <f t="shared" si="29"/>
        <v>0.3714527446366242</v>
      </c>
      <c r="D47" s="167">
        <f t="shared" si="29"/>
        <v>0.3714527446366242</v>
      </c>
      <c r="E47" s="167">
        <f t="shared" si="29"/>
        <v>0.37068054360367358</v>
      </c>
      <c r="F47" s="167">
        <f t="shared" si="29"/>
        <v>0.37068054360367358</v>
      </c>
      <c r="G47" s="198">
        <f>F47+F48</f>
        <v>0.99845747493037429</v>
      </c>
      <c r="H47" s="3"/>
      <c r="I47" s="3"/>
      <c r="J47" s="3"/>
      <c r="K47" s="211"/>
      <c r="L47" s="3"/>
      <c r="M47" s="192"/>
      <c r="N47" s="3"/>
      <c r="O47" s="3"/>
      <c r="P47" s="3"/>
      <c r="Q47" s="3"/>
      <c r="R47" s="3"/>
      <c r="S47" s="194" t="s">
        <v>335</v>
      </c>
      <c r="T47" s="212"/>
      <c r="V47" s="3"/>
      <c r="W47" s="192"/>
      <c r="X47" s="3"/>
      <c r="Y47" s="3"/>
      <c r="Z47" s="3"/>
      <c r="AA47" s="3"/>
    </row>
    <row r="48" spans="1:27" ht="13.5" customHeight="1">
      <c r="A48" s="71" t="s">
        <v>281</v>
      </c>
      <c r="B48" s="172">
        <f>((B40*B21)-B26-B33-B27-B31-(0.5*B32)-(0.5*B35)-B42)/B40</f>
        <v>0.60973707997413007</v>
      </c>
      <c r="C48" s="172">
        <f t="shared" ref="C48:F48" si="30">((C40*C21)-C26-C33-C27-C31-0.5*C32-0.5*C35-C42)/C40</f>
        <v>0.6270053395311237</v>
      </c>
      <c r="D48" s="172">
        <f t="shared" si="30"/>
        <v>0.6270053395311237</v>
      </c>
      <c r="E48" s="172">
        <f t="shared" si="30"/>
        <v>0.62777693132670065</v>
      </c>
      <c r="F48" s="172">
        <f t="shared" si="30"/>
        <v>0.62777693132670065</v>
      </c>
      <c r="G48" s="198"/>
      <c r="H48" s="3"/>
      <c r="I48" s="3"/>
      <c r="J48" s="3"/>
      <c r="K48" s="175" t="s">
        <v>336</v>
      </c>
      <c r="L48" s="3"/>
      <c r="M48" s="192"/>
      <c r="N48" s="3"/>
      <c r="O48" s="3"/>
      <c r="P48" s="3"/>
      <c r="Q48" s="3"/>
      <c r="R48" s="3"/>
      <c r="S48" s="199" t="s">
        <v>337</v>
      </c>
      <c r="T48" s="217">
        <f>W43*0.85</f>
        <v>3029400</v>
      </c>
      <c r="V48" s="3"/>
      <c r="W48" s="192"/>
      <c r="X48" s="3"/>
      <c r="Y48" s="3"/>
      <c r="Z48" s="3"/>
      <c r="AA48" s="3"/>
    </row>
    <row r="49" spans="1:27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75" t="s">
        <v>265</v>
      </c>
      <c r="L49" s="50">
        <f>L46*L45*L44</f>
        <v>1816080</v>
      </c>
      <c r="M49" s="176" t="s">
        <v>266</v>
      </c>
      <c r="N49" s="3"/>
      <c r="O49" s="3"/>
      <c r="P49" s="3"/>
      <c r="Q49" s="3"/>
      <c r="R49" s="3"/>
      <c r="S49" s="199" t="s">
        <v>338</v>
      </c>
      <c r="T49" s="218">
        <f>T48/M12</f>
        <v>13.326610933390217</v>
      </c>
      <c r="V49" s="3"/>
      <c r="W49" s="192"/>
      <c r="X49" s="3"/>
      <c r="Y49" s="3"/>
      <c r="Z49" s="3"/>
      <c r="AA49" s="3"/>
    </row>
    <row r="50" spans="1:27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75" t="s">
        <v>269</v>
      </c>
      <c r="L50" s="219">
        <f>L49/N31</f>
        <v>6.6691638206455881</v>
      </c>
      <c r="M50" s="176" t="s">
        <v>266</v>
      </c>
      <c r="N50" s="3"/>
      <c r="O50" s="3"/>
      <c r="P50" s="3"/>
      <c r="Q50" s="3"/>
      <c r="R50" s="3"/>
      <c r="S50" s="220" t="s">
        <v>339</v>
      </c>
      <c r="T50" s="221">
        <f>N18/2*T49</f>
        <v>3860.5859212938121</v>
      </c>
      <c r="U50" s="186"/>
      <c r="V50" s="222"/>
      <c r="W50" s="223"/>
      <c r="X50" s="3"/>
      <c r="Y50" s="3"/>
      <c r="Z50" s="3"/>
      <c r="AA50" s="3"/>
    </row>
    <row r="51" spans="1:27" ht="13.5" customHeight="1">
      <c r="A51" s="65"/>
      <c r="B51" s="67" t="s">
        <v>340</v>
      </c>
      <c r="C51" s="67"/>
      <c r="D51" s="67"/>
      <c r="E51" s="67"/>
      <c r="F51" s="174"/>
      <c r="G51" s="3"/>
      <c r="H51" s="3"/>
      <c r="I51" s="3"/>
      <c r="J51" s="3"/>
      <c r="K51" s="211"/>
      <c r="L51" s="3"/>
      <c r="M51" s="192"/>
      <c r="N51" s="3"/>
      <c r="O51" s="3"/>
      <c r="P51" s="3"/>
      <c r="Q51" s="3"/>
      <c r="R51" s="3"/>
      <c r="V51" s="3"/>
      <c r="W51" s="3"/>
      <c r="X51" s="3"/>
      <c r="Y51" s="3"/>
      <c r="Z51" s="3"/>
      <c r="AA51" s="3"/>
    </row>
    <row r="52" spans="1:27" ht="13.5" customHeight="1">
      <c r="A52" s="224" t="s">
        <v>153</v>
      </c>
      <c r="B52" s="16" t="s">
        <v>20</v>
      </c>
      <c r="C52" s="16" t="s">
        <v>156</v>
      </c>
      <c r="D52" s="16" t="s">
        <v>157</v>
      </c>
      <c r="E52" s="16" t="s">
        <v>158</v>
      </c>
      <c r="F52" s="17" t="s">
        <v>159</v>
      </c>
      <c r="G52" s="3"/>
      <c r="H52" s="3"/>
      <c r="I52" s="3"/>
      <c r="J52" s="3"/>
      <c r="K52" s="175" t="s">
        <v>20</v>
      </c>
      <c r="L52" s="3"/>
      <c r="M52" s="192"/>
      <c r="N52" s="3"/>
      <c r="O52" s="3"/>
      <c r="P52" s="3"/>
      <c r="Q52" s="3"/>
      <c r="R52" s="3"/>
      <c r="V52" s="3"/>
      <c r="W52" s="3"/>
      <c r="X52" s="3"/>
      <c r="Y52" s="3"/>
      <c r="Z52" s="3"/>
      <c r="AA52" s="3"/>
    </row>
    <row r="53" spans="1:27" ht="13.5" customHeight="1">
      <c r="A53" s="173" t="s">
        <v>341</v>
      </c>
      <c r="B53" s="225">
        <f>N107</f>
        <v>140334.91471666665</v>
      </c>
      <c r="C53" s="225">
        <f>N106</f>
        <v>165099.89966666666</v>
      </c>
      <c r="D53" s="225">
        <f t="shared" ref="D53:F53" si="31">C53</f>
        <v>165099.89966666666</v>
      </c>
      <c r="E53" s="225">
        <f t="shared" si="31"/>
        <v>165099.89966666666</v>
      </c>
      <c r="F53" s="226">
        <f t="shared" si="31"/>
        <v>165099.89966666666</v>
      </c>
      <c r="G53" s="3"/>
      <c r="H53" s="3"/>
      <c r="I53" s="3"/>
      <c r="J53" s="3"/>
      <c r="K53" s="175" t="s">
        <v>265</v>
      </c>
      <c r="L53" s="50">
        <f>L49*0.85</f>
        <v>1543668</v>
      </c>
      <c r="M53" s="176" t="s">
        <v>266</v>
      </c>
      <c r="N53" s="3"/>
      <c r="O53" s="3"/>
      <c r="P53" s="3"/>
      <c r="Q53" s="3"/>
      <c r="R53" s="3"/>
      <c r="V53" s="3"/>
      <c r="W53" s="3"/>
      <c r="X53" s="3"/>
      <c r="Y53" s="3"/>
      <c r="Z53" s="3"/>
      <c r="AA53" s="3"/>
    </row>
    <row r="54" spans="1:27" ht="12.75" customHeight="1">
      <c r="A54" s="227" t="s">
        <v>245</v>
      </c>
      <c r="B54" s="66">
        <f>L62</f>
        <v>120000</v>
      </c>
      <c r="C54" s="66">
        <f t="shared" ref="C54:F54" si="32">B54</f>
        <v>120000</v>
      </c>
      <c r="D54" s="66">
        <f t="shared" si="32"/>
        <v>120000</v>
      </c>
      <c r="E54" s="66">
        <f t="shared" si="32"/>
        <v>120000</v>
      </c>
      <c r="F54" s="228">
        <f t="shared" si="32"/>
        <v>120000</v>
      </c>
      <c r="G54" s="3"/>
      <c r="H54" s="3"/>
      <c r="I54" s="3"/>
      <c r="J54" s="3"/>
      <c r="K54" s="175"/>
      <c r="L54" s="50"/>
      <c r="M54" s="176"/>
      <c r="N54" s="3"/>
      <c r="O54" s="3"/>
      <c r="P54" s="3"/>
      <c r="Q54" s="3"/>
      <c r="R54" s="3"/>
      <c r="S54" s="229"/>
      <c r="T54" s="230"/>
      <c r="U54" s="231"/>
      <c r="V54" s="231"/>
      <c r="W54" s="3"/>
      <c r="X54" s="3"/>
      <c r="Y54" s="3"/>
      <c r="Z54" s="3"/>
      <c r="AA54" s="3"/>
    </row>
    <row r="55" spans="1:27" ht="12.75" customHeight="1">
      <c r="A55" s="26" t="s">
        <v>342</v>
      </c>
      <c r="B55" s="70">
        <f>M113</f>
        <v>26848.065565134006</v>
      </c>
      <c r="C55" s="70">
        <f t="shared" ref="C55:D55" si="33">B55</f>
        <v>26848.065565134006</v>
      </c>
      <c r="D55" s="70">
        <f t="shared" si="33"/>
        <v>26848.065565134006</v>
      </c>
      <c r="E55" s="70">
        <f>M114</f>
        <v>26109.006265134005</v>
      </c>
      <c r="F55" s="85">
        <f>E55</f>
        <v>26109.006265134005</v>
      </c>
      <c r="G55" s="3"/>
      <c r="H55" s="3"/>
      <c r="I55" s="3"/>
      <c r="J55" s="3"/>
      <c r="K55" s="175" t="s">
        <v>343</v>
      </c>
      <c r="L55" s="50">
        <f>L50*M12</f>
        <v>1516031.7187352648</v>
      </c>
      <c r="M55" s="176" t="s">
        <v>266</v>
      </c>
      <c r="N55" s="3"/>
      <c r="O55" s="3"/>
      <c r="P55" s="3"/>
      <c r="Q55" s="3"/>
      <c r="R55" s="3"/>
      <c r="S55" s="232" t="s">
        <v>210</v>
      </c>
      <c r="T55" s="233" t="s">
        <v>344</v>
      </c>
      <c r="U55" s="234" t="s">
        <v>20</v>
      </c>
      <c r="V55" s="234" t="s">
        <v>345</v>
      </c>
      <c r="W55" s="3"/>
      <c r="X55" s="3"/>
      <c r="Y55" s="3"/>
      <c r="Z55" s="3"/>
      <c r="AA55" s="3"/>
    </row>
    <row r="56" spans="1:27" ht="12.75" customHeight="1">
      <c r="A56" s="26" t="s">
        <v>210</v>
      </c>
      <c r="B56" s="70">
        <f>L123</f>
        <v>107615.45742244416</v>
      </c>
      <c r="C56" s="70">
        <f>L122</f>
        <v>126606.42049699313</v>
      </c>
      <c r="D56" s="70">
        <f t="shared" ref="D56:F56" si="34">C56</f>
        <v>126606.42049699313</v>
      </c>
      <c r="E56" s="70">
        <f t="shared" si="34"/>
        <v>126606.42049699313</v>
      </c>
      <c r="F56" s="80">
        <f t="shared" si="34"/>
        <v>126606.42049699313</v>
      </c>
      <c r="G56" s="3"/>
      <c r="H56" s="3"/>
      <c r="I56" s="3"/>
      <c r="J56" s="3"/>
      <c r="K56" s="175" t="s">
        <v>346</v>
      </c>
      <c r="L56" s="50">
        <f>(L50/2)*N18</f>
        <v>1931.9900672028205</v>
      </c>
      <c r="M56" s="176" t="s">
        <v>266</v>
      </c>
      <c r="N56" s="3"/>
      <c r="O56" s="3"/>
      <c r="P56" s="3"/>
      <c r="Q56" s="3"/>
      <c r="R56" s="3"/>
      <c r="S56" s="235" t="s">
        <v>117</v>
      </c>
      <c r="T56" s="236">
        <v>1.0999999999999999E-2</v>
      </c>
      <c r="U56" s="237"/>
      <c r="V56" s="238">
        <f>(('E-Inv AF y Am'!B12+'E-Inv AF y Am'!B13+'E-Inv AF y Am'!B15)*T56)</f>
        <v>9618.2204744999999</v>
      </c>
      <c r="W56" s="3"/>
      <c r="X56" s="3"/>
      <c r="Y56" s="3"/>
      <c r="Z56" s="3"/>
      <c r="AA56" s="3"/>
    </row>
    <row r="57" spans="1:27" ht="12.75" customHeight="1">
      <c r="A57" s="26" t="s">
        <v>347</v>
      </c>
      <c r="B57" s="70">
        <f>0.85*C57</f>
        <v>1616.4225599999997</v>
      </c>
      <c r="C57" s="70">
        <f>0.02*C14</f>
        <v>1901.6735999999999</v>
      </c>
      <c r="D57" s="70">
        <f t="shared" ref="D57:F57" si="35">C57</f>
        <v>1901.6735999999999</v>
      </c>
      <c r="E57" s="70">
        <f t="shared" si="35"/>
        <v>1901.6735999999999</v>
      </c>
      <c r="F57" s="80">
        <f t="shared" si="35"/>
        <v>1901.6735999999999</v>
      </c>
      <c r="G57" s="3"/>
      <c r="H57" s="3"/>
      <c r="I57" s="3"/>
      <c r="J57" s="3"/>
      <c r="K57" s="239" t="s">
        <v>348</v>
      </c>
      <c r="L57" s="240">
        <f>L53-L55-L56</f>
        <v>25704.291197532333</v>
      </c>
      <c r="M57" s="241" t="s">
        <v>266</v>
      </c>
      <c r="N57" s="3"/>
      <c r="O57" s="3"/>
      <c r="P57" s="3"/>
      <c r="Q57" s="3"/>
      <c r="R57" s="3"/>
      <c r="S57" s="242" t="s">
        <v>349</v>
      </c>
      <c r="T57" s="236">
        <v>1.4999999999999999E-2</v>
      </c>
      <c r="U57" s="243"/>
      <c r="V57" s="171">
        <f>T57*N30</f>
        <v>6590.9911499999989</v>
      </c>
      <c r="W57" s="3"/>
      <c r="X57" s="3"/>
      <c r="Y57" s="3"/>
      <c r="Z57" s="3"/>
      <c r="AA57" s="3"/>
    </row>
    <row r="58" spans="1:27" ht="12.75" customHeight="1">
      <c r="A58" s="26" t="s">
        <v>350</v>
      </c>
      <c r="B58" s="70">
        <f>M127</f>
        <v>14076</v>
      </c>
      <c r="C58" s="70">
        <f>L127</f>
        <v>16560</v>
      </c>
      <c r="D58" s="70">
        <f t="shared" ref="D58:F58" si="36">C58</f>
        <v>16560</v>
      </c>
      <c r="E58" s="70">
        <f t="shared" si="36"/>
        <v>16560</v>
      </c>
      <c r="F58" s="80">
        <f t="shared" si="36"/>
        <v>16560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42" t="s">
        <v>341</v>
      </c>
      <c r="T58" s="236">
        <v>0.03</v>
      </c>
      <c r="U58" s="243"/>
      <c r="V58" s="171">
        <f>T58*(L49)</f>
        <v>54482.400000000001</v>
      </c>
      <c r="W58" s="3"/>
      <c r="X58" s="3"/>
      <c r="Y58" s="3"/>
      <c r="Z58" s="3"/>
      <c r="AA58" s="3"/>
    </row>
    <row r="59" spans="1:27" ht="12.75" customHeight="1">
      <c r="A59" s="26" t="s">
        <v>351</v>
      </c>
      <c r="B59" s="70">
        <f t="shared" ref="B59:F59" si="37">2500*12+20000</f>
        <v>50000</v>
      </c>
      <c r="C59" s="70">
        <f t="shared" si="37"/>
        <v>50000</v>
      </c>
      <c r="D59" s="70">
        <f t="shared" si="37"/>
        <v>50000</v>
      </c>
      <c r="E59" s="70">
        <f t="shared" si="37"/>
        <v>50000</v>
      </c>
      <c r="F59" s="70">
        <f t="shared" si="37"/>
        <v>50000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44" t="s">
        <v>352</v>
      </c>
      <c r="T59" s="245">
        <v>1.2E-2</v>
      </c>
      <c r="U59" s="246"/>
      <c r="V59" s="247">
        <f>T59*'E-Inv AF y Am'!B12</f>
        <v>5683.2</v>
      </c>
      <c r="W59" s="3"/>
      <c r="X59" s="3"/>
      <c r="Y59" s="3"/>
      <c r="Z59" s="3"/>
      <c r="AA59" s="3"/>
    </row>
    <row r="60" spans="1:27" ht="12.75" customHeight="1">
      <c r="A60" s="26" t="s">
        <v>264</v>
      </c>
      <c r="B60" s="70">
        <f>M136</f>
        <v>70882.752000000008</v>
      </c>
      <c r="C60" s="70">
        <f t="shared" ref="C60:F60" si="38">B60</f>
        <v>70882.752000000008</v>
      </c>
      <c r="D60" s="70">
        <f t="shared" si="38"/>
        <v>70882.752000000008</v>
      </c>
      <c r="E60" s="70">
        <f t="shared" si="38"/>
        <v>70882.752000000008</v>
      </c>
      <c r="F60" s="80">
        <f t="shared" si="38"/>
        <v>70882.752000000008</v>
      </c>
      <c r="G60" s="3"/>
      <c r="H60" s="3"/>
      <c r="I60" s="3"/>
      <c r="J60" s="3"/>
      <c r="K60" s="539" t="s">
        <v>353</v>
      </c>
      <c r="L60" s="248">
        <f>'E-Inv AF y Am'!N8</f>
        <v>300000</v>
      </c>
      <c r="M60" s="3"/>
      <c r="N60" s="3"/>
      <c r="O60" s="3"/>
      <c r="P60" s="3"/>
      <c r="Q60" s="3"/>
      <c r="R60" s="3"/>
      <c r="S60" s="242" t="s">
        <v>192</v>
      </c>
      <c r="T60" s="249"/>
      <c r="U60" s="250">
        <f>0.9*V60</f>
        <v>68737.330462049998</v>
      </c>
      <c r="V60" s="251">
        <f>SUM(V56:V59)</f>
        <v>76374.811624499998</v>
      </c>
      <c r="W60" s="3"/>
      <c r="X60" s="3"/>
      <c r="Y60" s="3"/>
      <c r="Z60" s="3"/>
      <c r="AA60" s="3"/>
    </row>
    <row r="61" spans="1:27" ht="12.75" customHeight="1">
      <c r="A61" s="26" t="s">
        <v>38</v>
      </c>
      <c r="B61" s="70">
        <f>SUM(B53:B60)*InfoInicial!B15</f>
        <v>23911.812551891016</v>
      </c>
      <c r="C61" s="70">
        <f>SUM(C53:C60)*InfoInicial!B15</f>
        <v>26005.446509795718</v>
      </c>
      <c r="D61" s="70">
        <f>SUM(D53:D60)*InfoInicial!B15</f>
        <v>26005.446509795718</v>
      </c>
      <c r="E61" s="70">
        <f>SUM(E53:E60)*InfoInicial!B15</f>
        <v>25972.18884129572</v>
      </c>
      <c r="F61" s="80">
        <f>SUM(F53:F60)*InfoInicial!B15</f>
        <v>25972.18884129572</v>
      </c>
      <c r="G61" s="3"/>
      <c r="H61" s="3"/>
      <c r="I61" s="3"/>
      <c r="J61" s="3"/>
      <c r="K61" s="175" t="s">
        <v>354</v>
      </c>
      <c r="L61" s="192">
        <f>L60*0.5</f>
        <v>150000</v>
      </c>
      <c r="M61" s="3"/>
      <c r="N61" s="3"/>
      <c r="O61" s="3"/>
      <c r="P61" s="3"/>
      <c r="Q61" s="3"/>
      <c r="R61" s="3"/>
      <c r="W61" s="3"/>
      <c r="X61" s="3"/>
      <c r="Y61" s="3"/>
      <c r="Z61" s="3"/>
      <c r="AA61" s="3"/>
    </row>
    <row r="62" spans="1:27" ht="12.75" customHeight="1">
      <c r="A62" s="26"/>
      <c r="B62" s="100"/>
      <c r="C62" s="100"/>
      <c r="D62" s="100"/>
      <c r="E62" s="100"/>
      <c r="F62" s="252"/>
      <c r="G62" s="3"/>
      <c r="H62" s="3"/>
      <c r="I62" s="3"/>
      <c r="J62" s="3"/>
      <c r="K62" s="175" t="s">
        <v>355</v>
      </c>
      <c r="L62" s="192">
        <f>L60*0.4</f>
        <v>120000</v>
      </c>
      <c r="M62" s="3"/>
      <c r="N62" s="3"/>
      <c r="O62" s="3"/>
      <c r="P62" s="3"/>
      <c r="Q62" s="3"/>
      <c r="R62" s="3"/>
      <c r="W62" s="3"/>
      <c r="X62" s="3"/>
      <c r="Y62" s="3"/>
      <c r="Z62" s="3"/>
      <c r="AA62" s="3"/>
    </row>
    <row r="63" spans="1:27" ht="12.75" customHeight="1">
      <c r="A63" s="24" t="s">
        <v>356</v>
      </c>
      <c r="B63" s="70">
        <f t="shared" ref="B63:F63" si="39">SUM(B53:B61)</f>
        <v>555285.42481613578</v>
      </c>
      <c r="C63" s="70">
        <f t="shared" si="39"/>
        <v>603904.25783858949</v>
      </c>
      <c r="D63" s="70">
        <f t="shared" si="39"/>
        <v>603904.25783858949</v>
      </c>
      <c r="E63" s="70">
        <f t="shared" si="39"/>
        <v>603131.94087008946</v>
      </c>
      <c r="F63" s="70">
        <f t="shared" si="39"/>
        <v>603131.94087008946</v>
      </c>
      <c r="G63" s="3"/>
      <c r="H63" s="3"/>
      <c r="I63" s="3"/>
      <c r="J63" s="3"/>
      <c r="K63" s="239" t="s">
        <v>357</v>
      </c>
      <c r="L63" s="223">
        <f>L60*0.1</f>
        <v>30000</v>
      </c>
      <c r="M63" s="3"/>
      <c r="N63" s="3"/>
      <c r="O63" s="3"/>
      <c r="P63" s="3"/>
      <c r="Q63" s="3"/>
      <c r="R63" s="3"/>
      <c r="W63" s="3"/>
      <c r="X63" s="3"/>
      <c r="Y63" s="3"/>
      <c r="Z63" s="3"/>
      <c r="AA63" s="3"/>
    </row>
    <row r="64" spans="1:27" ht="12.75" customHeight="1">
      <c r="A64" s="24"/>
      <c r="B64" s="70"/>
      <c r="C64" s="70"/>
      <c r="D64" s="70"/>
      <c r="E64" s="70"/>
      <c r="F64" s="80"/>
      <c r="G64" s="19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253" t="s">
        <v>210</v>
      </c>
      <c r="T64" s="254" t="s">
        <v>20</v>
      </c>
      <c r="U64" s="255" t="s">
        <v>251</v>
      </c>
      <c r="V64" s="196"/>
      <c r="W64" s="3"/>
      <c r="X64" s="3"/>
      <c r="Y64" s="3"/>
      <c r="Z64" s="3"/>
      <c r="AA64" s="3"/>
    </row>
    <row r="65" spans="1:27" ht="12.75" customHeight="1">
      <c r="A65" s="166" t="s">
        <v>277</v>
      </c>
      <c r="B65" s="256">
        <f t="shared" ref="B65:F65" si="40">SUM(B53:B61)/B63</f>
        <v>1</v>
      </c>
      <c r="C65" s="256">
        <f t="shared" si="40"/>
        <v>1</v>
      </c>
      <c r="D65" s="256">
        <f t="shared" si="40"/>
        <v>1</v>
      </c>
      <c r="E65" s="256">
        <f t="shared" si="40"/>
        <v>1</v>
      </c>
      <c r="F65" s="256">
        <f t="shared" si="40"/>
        <v>1</v>
      </c>
      <c r="G65" s="19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57" t="s">
        <v>358</v>
      </c>
      <c r="T65" s="258">
        <f t="shared" ref="T65:U65" si="41">U60</f>
        <v>68737.330462049998</v>
      </c>
      <c r="U65" s="259">
        <f t="shared" si="41"/>
        <v>76374.811624499998</v>
      </c>
      <c r="V65" s="260" t="s">
        <v>359</v>
      </c>
      <c r="W65" s="3"/>
      <c r="X65" s="3"/>
      <c r="Y65" s="3"/>
      <c r="Z65" s="3"/>
      <c r="AA65" s="3"/>
    </row>
    <row r="66" spans="1:27" ht="13.5" customHeight="1">
      <c r="A66" s="71" t="s">
        <v>281</v>
      </c>
      <c r="B66" s="261">
        <f t="shared" ref="B66:F66" si="42">0/B63</f>
        <v>0</v>
      </c>
      <c r="C66" s="261">
        <f t="shared" si="42"/>
        <v>0</v>
      </c>
      <c r="D66" s="261">
        <f t="shared" si="42"/>
        <v>0</v>
      </c>
      <c r="E66" s="261">
        <f t="shared" si="42"/>
        <v>0</v>
      </c>
      <c r="F66" s="261">
        <f t="shared" si="42"/>
        <v>0</v>
      </c>
      <c r="G66" s="19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62" t="s">
        <v>330</v>
      </c>
      <c r="T66" s="263">
        <f>T65/N31</f>
        <v>0.25242308568194338</v>
      </c>
      <c r="U66" s="264">
        <f>U65/N31</f>
        <v>0.28047009520215932</v>
      </c>
      <c r="V66" s="196"/>
      <c r="W66" s="3"/>
      <c r="X66" s="3"/>
      <c r="Y66" s="3"/>
      <c r="Z66" s="3"/>
      <c r="AA66" s="3"/>
    </row>
    <row r="67" spans="1:2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62" t="s">
        <v>360</v>
      </c>
      <c r="T67" s="263">
        <f>(N18/2)*T66</f>
        <v>73.124443691202174</v>
      </c>
      <c r="U67" s="264">
        <f>U66*(N18/2)</f>
        <v>81.249381879113528</v>
      </c>
      <c r="V67" s="196"/>
      <c r="W67" s="3"/>
      <c r="X67" s="3"/>
      <c r="Y67" s="3"/>
      <c r="Z67" s="3"/>
      <c r="AA67" s="3"/>
    </row>
    <row r="68" spans="1:27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65" t="s">
        <v>361</v>
      </c>
      <c r="T68" s="266">
        <f>T66*M12</f>
        <v>57380.717392215949</v>
      </c>
      <c r="U68" s="171">
        <f>U66*N31</f>
        <v>76374.811624499998</v>
      </c>
      <c r="V68" s="196"/>
      <c r="W68" s="3"/>
      <c r="X68" s="3"/>
      <c r="Y68" s="3"/>
      <c r="Z68" s="3"/>
      <c r="AA68" s="3"/>
    </row>
    <row r="69" spans="1:27" ht="13.5" customHeight="1">
      <c r="A69" s="65"/>
      <c r="B69" s="67" t="s">
        <v>362</v>
      </c>
      <c r="C69" s="67"/>
      <c r="D69" s="67"/>
      <c r="E69" s="67"/>
      <c r="F69" s="17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65" t="s">
        <v>363</v>
      </c>
      <c r="T69" s="267">
        <f>T65-T67-T68</f>
        <v>11283.48862614284</v>
      </c>
      <c r="U69" s="249"/>
      <c r="V69" s="196"/>
      <c r="W69" s="3"/>
      <c r="X69" s="3"/>
      <c r="Y69" s="3"/>
      <c r="Z69" s="3"/>
      <c r="AA69" s="3"/>
    </row>
    <row r="70" spans="1:27" ht="13.5" customHeight="1">
      <c r="A70" s="224" t="s">
        <v>153</v>
      </c>
      <c r="B70" s="16" t="s">
        <v>20</v>
      </c>
      <c r="C70" s="16" t="s">
        <v>156</v>
      </c>
      <c r="D70" s="16" t="s">
        <v>157</v>
      </c>
      <c r="E70" s="16" t="s">
        <v>158</v>
      </c>
      <c r="F70" s="17" t="s">
        <v>159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3.5" customHeight="1">
      <c r="A71" s="21" t="s">
        <v>341</v>
      </c>
      <c r="B71" s="66">
        <f>U107</f>
        <v>140334.88666666666</v>
      </c>
      <c r="C71" s="66">
        <f>U106</f>
        <v>165099.86666666667</v>
      </c>
      <c r="D71" s="66">
        <f t="shared" ref="D71:F71" si="43">C71</f>
        <v>165099.86666666667</v>
      </c>
      <c r="E71" s="66">
        <f t="shared" si="43"/>
        <v>165099.86666666667</v>
      </c>
      <c r="F71" s="68">
        <f t="shared" si="43"/>
        <v>165099.86666666667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>
      <c r="A72" s="227" t="s">
        <v>245</v>
      </c>
      <c r="B72" s="66">
        <f>L63</f>
        <v>30000</v>
      </c>
      <c r="C72" s="66">
        <f t="shared" ref="C72:F72" si="44">B72</f>
        <v>30000</v>
      </c>
      <c r="D72" s="66">
        <f t="shared" si="44"/>
        <v>30000</v>
      </c>
      <c r="E72" s="66">
        <f t="shared" si="44"/>
        <v>30000</v>
      </c>
      <c r="F72" s="68">
        <f t="shared" si="44"/>
        <v>30000</v>
      </c>
      <c r="G72" s="3"/>
      <c r="H72" s="3"/>
      <c r="I72" s="3"/>
      <c r="J72" s="3"/>
      <c r="K72" s="268"/>
      <c r="L72" s="269"/>
      <c r="P72" s="19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>
      <c r="A73" s="227" t="s">
        <v>364</v>
      </c>
      <c r="B73" s="66">
        <f t="shared" ref="B73:F73" si="45">B55</f>
        <v>26848.065565134006</v>
      </c>
      <c r="C73" s="66">
        <f t="shared" si="45"/>
        <v>26848.065565134006</v>
      </c>
      <c r="D73" s="66">
        <f t="shared" si="45"/>
        <v>26848.065565134006</v>
      </c>
      <c r="E73" s="66">
        <f t="shared" si="45"/>
        <v>26109.006265134005</v>
      </c>
      <c r="F73" s="68">
        <f t="shared" si="45"/>
        <v>26109.006265134005</v>
      </c>
      <c r="G73" s="3"/>
      <c r="H73" s="3"/>
      <c r="I73" s="3"/>
      <c r="J73" s="3"/>
      <c r="K73" s="268"/>
      <c r="L73" s="269"/>
      <c r="P73" s="19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26" t="s">
        <v>210</v>
      </c>
      <c r="B74" s="70">
        <f>S129</f>
        <v>297094.5698672377</v>
      </c>
      <c r="C74" s="70">
        <f>S130</f>
        <v>262759.86236723774</v>
      </c>
      <c r="D74" s="70">
        <f t="shared" ref="D74:F74" si="46">C74</f>
        <v>262759.86236723774</v>
      </c>
      <c r="E74" s="70">
        <f t="shared" si="46"/>
        <v>262759.86236723774</v>
      </c>
      <c r="F74" s="80">
        <f t="shared" si="46"/>
        <v>262759.86236723774</v>
      </c>
      <c r="G74" s="3"/>
      <c r="H74" s="3"/>
      <c r="I74" s="3"/>
      <c r="J74" s="270"/>
      <c r="K74" s="543" t="s">
        <v>365</v>
      </c>
      <c r="L74" s="269"/>
      <c r="P74" s="19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6" t="s">
        <v>366</v>
      </c>
      <c r="B75" s="70">
        <f t="shared" ref="B75:F75" si="47">B57</f>
        <v>1616.4225599999997</v>
      </c>
      <c r="C75" s="70">
        <f t="shared" si="47"/>
        <v>1901.6735999999999</v>
      </c>
      <c r="D75" s="70">
        <f t="shared" si="47"/>
        <v>1901.6735999999999</v>
      </c>
      <c r="E75" s="70">
        <f t="shared" si="47"/>
        <v>1901.6735999999999</v>
      </c>
      <c r="F75" s="70">
        <f t="shared" si="47"/>
        <v>1901.6735999999999</v>
      </c>
      <c r="G75" s="3"/>
      <c r="H75" s="3"/>
      <c r="I75" s="3"/>
      <c r="J75" s="175" t="s">
        <v>99</v>
      </c>
      <c r="K75" s="271">
        <v>1.1000000000000001</v>
      </c>
      <c r="L75" s="272"/>
      <c r="N75" s="273" t="s">
        <v>214</v>
      </c>
      <c r="O75" s="274" t="s">
        <v>367</v>
      </c>
      <c r="P75" s="274" t="s">
        <v>368</v>
      </c>
      <c r="Q75" s="275" t="s">
        <v>369</v>
      </c>
      <c r="R75" s="276" t="s">
        <v>370</v>
      </c>
      <c r="S75" s="277" t="s">
        <v>371</v>
      </c>
      <c r="T75" s="277" t="s">
        <v>372</v>
      </c>
      <c r="U75" s="277" t="s">
        <v>373</v>
      </c>
      <c r="V75" s="274" t="s">
        <v>363</v>
      </c>
    </row>
    <row r="76" spans="1:27" ht="12.75" customHeight="1">
      <c r="A76" s="26" t="s">
        <v>350</v>
      </c>
      <c r="B76" s="70">
        <f t="shared" ref="B76:F76" si="48">B58</f>
        <v>14076</v>
      </c>
      <c r="C76" s="70">
        <f t="shared" si="48"/>
        <v>16560</v>
      </c>
      <c r="D76" s="70">
        <f t="shared" si="48"/>
        <v>16560</v>
      </c>
      <c r="E76" s="70">
        <f t="shared" si="48"/>
        <v>16560</v>
      </c>
      <c r="F76" s="70">
        <f t="shared" si="48"/>
        <v>16560</v>
      </c>
      <c r="G76" s="3"/>
      <c r="H76" s="3"/>
      <c r="I76" s="3"/>
      <c r="J76" s="175" t="s">
        <v>104</v>
      </c>
      <c r="K76" s="271">
        <v>7.5</v>
      </c>
      <c r="L76" s="272"/>
      <c r="N76" s="278" t="s">
        <v>374</v>
      </c>
      <c r="O76" s="279">
        <v>800</v>
      </c>
      <c r="P76" s="279">
        <v>5.52</v>
      </c>
      <c r="Q76" s="280">
        <f>12*O76*P76</f>
        <v>52991.999999999993</v>
      </c>
      <c r="R76" s="281">
        <f>0.9*Q76</f>
        <v>47692.799999999996</v>
      </c>
      <c r="S76" s="282">
        <f>Q76/N31</f>
        <v>0.1946017406632147</v>
      </c>
      <c r="T76" s="282">
        <f>(N18/2)*S76</f>
        <v>56.374178252726665</v>
      </c>
      <c r="U76" s="258">
        <f>S76*M12</f>
        <v>44236.791792883101</v>
      </c>
      <c r="V76" s="283">
        <f>R76-T76-U76</f>
        <v>3399.6340288641659</v>
      </c>
    </row>
    <row r="77" spans="1:27" ht="12.75" customHeight="1">
      <c r="A77" s="26" t="s">
        <v>351</v>
      </c>
      <c r="B77" s="70">
        <f t="shared" ref="B77:F77" si="49">B59</f>
        <v>50000</v>
      </c>
      <c r="C77" s="70">
        <f t="shared" si="49"/>
        <v>50000</v>
      </c>
      <c r="D77" s="70">
        <f t="shared" si="49"/>
        <v>50000</v>
      </c>
      <c r="E77" s="70">
        <f t="shared" si="49"/>
        <v>50000</v>
      </c>
      <c r="F77" s="70">
        <f t="shared" si="49"/>
        <v>50000</v>
      </c>
      <c r="G77" s="3"/>
      <c r="H77" s="3"/>
      <c r="I77" s="3"/>
      <c r="J77" s="175" t="s">
        <v>108</v>
      </c>
      <c r="K77" s="271">
        <v>5.5</v>
      </c>
      <c r="L77" s="272"/>
      <c r="P77" s="19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>
      <c r="A78" s="26" t="s">
        <v>264</v>
      </c>
      <c r="B78" s="70">
        <f>U117</f>
        <v>382196.9448</v>
      </c>
      <c r="C78" s="70">
        <f>T117</f>
        <v>457780.80000000005</v>
      </c>
      <c r="D78" s="70">
        <f t="shared" ref="D78:F78" si="50">C78</f>
        <v>457780.80000000005</v>
      </c>
      <c r="E78" s="70">
        <f t="shared" si="50"/>
        <v>457780.80000000005</v>
      </c>
      <c r="F78" s="80">
        <f t="shared" si="50"/>
        <v>457780.80000000005</v>
      </c>
      <c r="G78" s="3"/>
      <c r="H78" s="3"/>
      <c r="I78" s="3"/>
      <c r="J78" s="175" t="s">
        <v>111</v>
      </c>
      <c r="K78" s="271">
        <v>2</v>
      </c>
      <c r="L78" s="272"/>
      <c r="P78" s="19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26" t="s">
        <v>38</v>
      </c>
      <c r="B79" s="70">
        <f>SUM(B71:B78)*InfoInicial!B15</f>
        <v>42397.510025656724</v>
      </c>
      <c r="C79" s="70">
        <f>SUM(C71:C78)*InfoInicial!B15</f>
        <v>45492.762068956727</v>
      </c>
      <c r="D79" s="70">
        <f>SUM(D71:D78)*InfoInicial!B15</f>
        <v>45492.762068956727</v>
      </c>
      <c r="E79" s="70">
        <f>SUM(E71:E78)*InfoInicial!B15</f>
        <v>45459.504400456724</v>
      </c>
      <c r="F79" s="70">
        <f>SUM(F71:F78)*InfoInicial!B15</f>
        <v>45459.504400456724</v>
      </c>
      <c r="G79" s="3"/>
      <c r="H79" s="3"/>
      <c r="I79" s="3"/>
      <c r="J79" s="175" t="s">
        <v>113</v>
      </c>
      <c r="K79" s="271">
        <v>0.4</v>
      </c>
      <c r="L79" s="272"/>
      <c r="N79" s="284" t="s">
        <v>375</v>
      </c>
      <c r="O79" s="285"/>
      <c r="P79" s="286"/>
      <c r="Q79" s="286"/>
      <c r="R79" s="3"/>
      <c r="S79" s="287"/>
      <c r="T79" s="288"/>
      <c r="U79" s="288"/>
      <c r="V79" s="289" t="s">
        <v>376</v>
      </c>
      <c r="W79" s="516" t="s">
        <v>377</v>
      </c>
      <c r="X79" s="508"/>
      <c r="Y79" s="289" t="s">
        <v>20</v>
      </c>
      <c r="Z79" s="290" t="s">
        <v>378</v>
      </c>
      <c r="AA79" s="3"/>
    </row>
    <row r="80" spans="1:27" ht="12.75" customHeight="1">
      <c r="A80" s="26"/>
      <c r="B80" s="100"/>
      <c r="C80" s="100"/>
      <c r="D80" s="100"/>
      <c r="E80" s="100"/>
      <c r="F80" s="252"/>
      <c r="G80" s="3"/>
      <c r="H80" s="3"/>
      <c r="I80" s="3"/>
      <c r="J80" s="175" t="s">
        <v>379</v>
      </c>
      <c r="K80" s="176">
        <v>1450.8</v>
      </c>
      <c r="L80" s="3"/>
      <c r="M80" s="3"/>
      <c r="N80" s="291"/>
      <c r="O80" s="292"/>
      <c r="P80" s="293"/>
      <c r="Q80" s="294"/>
      <c r="R80" s="3"/>
      <c r="S80" s="295" t="s">
        <v>380</v>
      </c>
      <c r="T80" s="296"/>
      <c r="U80" s="296"/>
      <c r="V80" s="297" t="s">
        <v>381</v>
      </c>
      <c r="W80" s="511" t="s">
        <v>199</v>
      </c>
      <c r="X80" s="490"/>
      <c r="Y80" s="298">
        <v>562172</v>
      </c>
      <c r="Z80" s="299">
        <v>680775</v>
      </c>
      <c r="AA80" s="3"/>
    </row>
    <row r="81" spans="1:27" ht="12.75" customHeight="1">
      <c r="A81" s="24" t="s">
        <v>382</v>
      </c>
      <c r="B81" s="70">
        <f t="shared" ref="B81:F81" si="51">SUM(B71:B79)</f>
        <v>984564.39948469517</v>
      </c>
      <c r="C81" s="70">
        <f t="shared" si="51"/>
        <v>1056443.0302679951</v>
      </c>
      <c r="D81" s="70">
        <f t="shared" si="51"/>
        <v>1056443.0302679951</v>
      </c>
      <c r="E81" s="70">
        <f t="shared" si="51"/>
        <v>1055670.7132994952</v>
      </c>
      <c r="F81" s="70">
        <f t="shared" si="51"/>
        <v>1055670.7132994952</v>
      </c>
      <c r="G81" s="3"/>
      <c r="H81" s="3"/>
      <c r="I81" s="3"/>
      <c r="J81" s="175" t="s">
        <v>383</v>
      </c>
      <c r="K81" s="192">
        <f>235*8</f>
        <v>1880</v>
      </c>
      <c r="L81" s="3"/>
      <c r="M81" s="3"/>
      <c r="N81" s="300" t="s">
        <v>384</v>
      </c>
      <c r="O81" s="301">
        <v>0.01</v>
      </c>
      <c r="P81" s="292"/>
      <c r="Q81" s="302"/>
      <c r="R81" s="3"/>
      <c r="S81" s="515" t="s">
        <v>385</v>
      </c>
      <c r="T81" s="490"/>
      <c r="U81" s="490"/>
      <c r="V81" s="297" t="s">
        <v>381</v>
      </c>
      <c r="W81" s="511" t="s">
        <v>199</v>
      </c>
      <c r="X81" s="490"/>
      <c r="Y81" s="298">
        <v>6127</v>
      </c>
      <c r="Z81" s="299">
        <v>6127</v>
      </c>
      <c r="AA81" s="3"/>
    </row>
    <row r="82" spans="1:27" ht="12.75" customHeight="1">
      <c r="A82" s="24"/>
      <c r="B82" s="70"/>
      <c r="C82" s="70"/>
      <c r="D82" s="70"/>
      <c r="E82" s="70"/>
      <c r="F82" s="80"/>
      <c r="G82" s="3"/>
      <c r="H82" s="3"/>
      <c r="I82" s="3"/>
      <c r="J82" s="239" t="s">
        <v>386</v>
      </c>
      <c r="K82" s="241">
        <v>2.504</v>
      </c>
      <c r="L82" s="3"/>
      <c r="M82" s="3"/>
      <c r="N82" s="300" t="s">
        <v>387</v>
      </c>
      <c r="O82" s="303">
        <v>0.01</v>
      </c>
      <c r="P82" s="292"/>
      <c r="Q82" s="302"/>
      <c r="R82" s="3"/>
      <c r="S82" s="295" t="s">
        <v>349</v>
      </c>
      <c r="T82" s="296"/>
      <c r="U82" s="296"/>
      <c r="V82" s="297" t="s">
        <v>381</v>
      </c>
      <c r="W82" s="511" t="s">
        <v>199</v>
      </c>
      <c r="X82" s="490"/>
      <c r="Y82" s="298">
        <v>568299</v>
      </c>
      <c r="Z82" s="299">
        <v>680775</v>
      </c>
      <c r="AA82" s="3"/>
    </row>
    <row r="83" spans="1:27" ht="12.75" customHeight="1">
      <c r="A83" s="166" t="s">
        <v>277</v>
      </c>
      <c r="B83" s="256">
        <f t="shared" ref="B83:F83" si="52">(B71+B74+B75+B76+B78+B79)/B81</f>
        <v>0.89147681388738342</v>
      </c>
      <c r="C83" s="256">
        <f t="shared" si="52"/>
        <v>0.89886055139383236</v>
      </c>
      <c r="D83" s="256">
        <f t="shared" si="52"/>
        <v>0.89886055139383236</v>
      </c>
      <c r="E83" s="256">
        <f t="shared" si="52"/>
        <v>0.89948664396164713</v>
      </c>
      <c r="F83" s="256">
        <f t="shared" si="52"/>
        <v>0.89948664396164713</v>
      </c>
      <c r="G83" s="3"/>
      <c r="H83" s="3"/>
      <c r="I83" s="3"/>
      <c r="J83" s="3"/>
      <c r="K83" s="3"/>
      <c r="L83" s="3"/>
      <c r="M83" s="3"/>
      <c r="N83" s="300"/>
      <c r="O83" s="303"/>
      <c r="P83" s="292"/>
      <c r="Q83" s="302"/>
      <c r="R83" s="3"/>
      <c r="S83" s="515" t="s">
        <v>388</v>
      </c>
      <c r="T83" s="490"/>
      <c r="U83" s="296"/>
      <c r="V83" s="297" t="s">
        <v>389</v>
      </c>
      <c r="W83" s="511" t="s">
        <v>199</v>
      </c>
      <c r="X83" s="490"/>
      <c r="Y83" s="304">
        <v>144274.19</v>
      </c>
      <c r="Z83" s="305">
        <v>167089.41</v>
      </c>
      <c r="AA83" s="3"/>
    </row>
    <row r="84" spans="1:27" ht="13.5" customHeight="1">
      <c r="A84" s="71" t="s">
        <v>281</v>
      </c>
      <c r="B84" s="261">
        <f t="shared" ref="B84:F84" si="53">B77/B81</f>
        <v>5.0783879679347721E-2</v>
      </c>
      <c r="C84" s="261">
        <f t="shared" si="53"/>
        <v>4.7328628773589579E-2</v>
      </c>
      <c r="D84" s="261">
        <f t="shared" si="53"/>
        <v>4.7328628773589579E-2</v>
      </c>
      <c r="E84" s="261">
        <f t="shared" si="53"/>
        <v>4.736325387272057E-2</v>
      </c>
      <c r="F84" s="261">
        <f t="shared" si="53"/>
        <v>4.736325387272057E-2</v>
      </c>
      <c r="G84" s="3"/>
      <c r="H84" s="3"/>
      <c r="I84" s="3"/>
      <c r="J84" s="306"/>
      <c r="K84" s="233" t="s">
        <v>251</v>
      </c>
      <c r="L84" s="233" t="s">
        <v>20</v>
      </c>
      <c r="M84" s="3"/>
      <c r="N84" s="307" t="s">
        <v>251</v>
      </c>
      <c r="O84" s="292"/>
      <c r="P84" s="292"/>
      <c r="Q84" s="308" t="s">
        <v>349</v>
      </c>
      <c r="R84" s="3"/>
      <c r="S84" s="515" t="s">
        <v>390</v>
      </c>
      <c r="T84" s="490"/>
      <c r="U84" s="490"/>
      <c r="V84" s="297" t="s">
        <v>389</v>
      </c>
      <c r="W84" s="511" t="s">
        <v>199</v>
      </c>
      <c r="X84" s="490"/>
      <c r="Y84" s="304">
        <v>9348.92</v>
      </c>
      <c r="Z84" s="305">
        <v>9348.92</v>
      </c>
      <c r="AA84" s="3"/>
    </row>
    <row r="85" spans="1:27" ht="13.5" customHeight="1">
      <c r="A85" s="3"/>
      <c r="B85" s="3"/>
      <c r="C85" s="3"/>
      <c r="D85" s="3"/>
      <c r="E85" s="3"/>
      <c r="F85" s="3"/>
      <c r="G85" s="3"/>
      <c r="H85" s="3"/>
      <c r="I85" s="3"/>
      <c r="J85" s="309" t="s">
        <v>337</v>
      </c>
      <c r="K85" s="310">
        <f>(SUM(K75:K79)*K81*K82)+K80*12</f>
        <v>95083.68</v>
      </c>
      <c r="L85" s="267">
        <f>0.85*K85</f>
        <v>80821.127999999997</v>
      </c>
      <c r="M85" s="3"/>
      <c r="N85" s="300" t="s">
        <v>391</v>
      </c>
      <c r="O85" s="311">
        <f>O81*('E-Inv AF y Am'!B7+'E-Inv AF y Am'!B8)*Q85</f>
        <v>2700</v>
      </c>
      <c r="P85" s="292"/>
      <c r="Q85" s="312">
        <v>0.9</v>
      </c>
      <c r="R85" s="3"/>
      <c r="S85" s="515" t="s">
        <v>392</v>
      </c>
      <c r="T85" s="490"/>
      <c r="U85" s="296"/>
      <c r="V85" s="297" t="s">
        <v>389</v>
      </c>
      <c r="W85" s="511" t="s">
        <v>199</v>
      </c>
      <c r="X85" s="490"/>
      <c r="Y85" s="304">
        <v>380942.72</v>
      </c>
      <c r="Z85" s="305">
        <v>439399.41</v>
      </c>
      <c r="AA85" s="3"/>
    </row>
    <row r="86" spans="1:27" ht="13.5" customHeight="1">
      <c r="A86" s="3"/>
      <c r="B86" s="3"/>
      <c r="C86" s="3"/>
      <c r="D86" s="3"/>
      <c r="E86" s="3"/>
      <c r="F86" s="3"/>
      <c r="G86" s="3"/>
      <c r="H86" s="3"/>
      <c r="I86" s="3"/>
      <c r="J86" s="309" t="s">
        <v>330</v>
      </c>
      <c r="K86" s="313">
        <f>K85/N31</f>
        <v>0.34917439682714552</v>
      </c>
      <c r="L86" s="314">
        <f>L85/N31</f>
        <v>0.2967982373030737</v>
      </c>
      <c r="M86" s="3"/>
      <c r="N86" s="300" t="s">
        <v>393</v>
      </c>
      <c r="O86" s="311">
        <f>O82*('E-Inv AF y Am'!B7+'E-Inv AF y Am'!B8)*Q85</f>
        <v>2700</v>
      </c>
      <c r="P86" s="292"/>
      <c r="Q86" s="302"/>
      <c r="R86" s="3"/>
      <c r="S86" s="295" t="s">
        <v>394</v>
      </c>
      <c r="T86" s="296"/>
      <c r="U86" s="296"/>
      <c r="V86" s="297" t="s">
        <v>389</v>
      </c>
      <c r="W86" s="512">
        <v>46823</v>
      </c>
      <c r="X86" s="490"/>
      <c r="Y86" s="304">
        <v>18732.099999999999</v>
      </c>
      <c r="Z86" s="305">
        <v>18732.099999999999</v>
      </c>
      <c r="AA86" s="3"/>
    </row>
    <row r="87" spans="1:27" ht="16.5" customHeight="1">
      <c r="A87" s="315" t="s">
        <v>395</v>
      </c>
      <c r="B87" s="316"/>
      <c r="C87" s="316"/>
      <c r="D87" s="316"/>
      <c r="E87" s="316"/>
      <c r="F87" s="317"/>
      <c r="G87" s="3"/>
      <c r="H87" s="3"/>
      <c r="I87" s="3"/>
      <c r="J87" s="309" t="s">
        <v>372</v>
      </c>
      <c r="K87" s="313">
        <f>(N18/2)*K86</f>
        <v>101.15233101685578</v>
      </c>
      <c r="L87" s="314">
        <f>(N18/2)*L86</f>
        <v>85.979481364327413</v>
      </c>
      <c r="M87" s="3"/>
      <c r="N87" s="300" t="s">
        <v>397</v>
      </c>
      <c r="O87" s="320">
        <f>SUM(O85:O86)</f>
        <v>5400</v>
      </c>
      <c r="P87" s="292"/>
      <c r="Q87" s="302"/>
      <c r="R87" s="3"/>
      <c r="S87" s="321" t="s">
        <v>399</v>
      </c>
      <c r="T87" s="322"/>
      <c r="U87" s="322"/>
      <c r="V87" s="324" t="s">
        <v>389</v>
      </c>
      <c r="W87" s="513">
        <v>46823</v>
      </c>
      <c r="X87" s="514"/>
      <c r="Y87" s="327">
        <v>352851.82</v>
      </c>
      <c r="Z87" s="329">
        <v>439399.41</v>
      </c>
      <c r="AA87" s="3"/>
    </row>
    <row r="88" spans="1:27" ht="13.5" customHeight="1">
      <c r="A88" s="26"/>
      <c r="B88" s="120" t="s">
        <v>20</v>
      </c>
      <c r="C88" s="120" t="s">
        <v>156</v>
      </c>
      <c r="D88" s="120" t="s">
        <v>157</v>
      </c>
      <c r="E88" s="120" t="s">
        <v>158</v>
      </c>
      <c r="F88" s="17" t="s">
        <v>159</v>
      </c>
      <c r="G88" s="3"/>
      <c r="H88" s="3"/>
      <c r="I88" s="3"/>
      <c r="J88" s="220" t="s">
        <v>401</v>
      </c>
      <c r="K88" s="249"/>
      <c r="L88" s="333">
        <f>L86*(M12/12)*11.5</f>
        <v>64656.89040440457</v>
      </c>
      <c r="M88" s="3"/>
      <c r="N88" s="300" t="s">
        <v>403</v>
      </c>
      <c r="O88" s="335">
        <f>O87/N31</f>
        <v>1.9830340420843893E-2</v>
      </c>
      <c r="P88" s="292"/>
      <c r="Q88" s="336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>
      <c r="A89" s="26" t="s">
        <v>404</v>
      </c>
      <c r="B89" s="337">
        <f>Y80</f>
        <v>562172</v>
      </c>
      <c r="C89" s="337">
        <f t="shared" ref="C89:D89" si="54">P3</f>
        <v>680775</v>
      </c>
      <c r="D89" s="337">
        <f t="shared" si="54"/>
        <v>680775</v>
      </c>
      <c r="E89" s="337">
        <f t="shared" ref="E89:F89" si="55">D89</f>
        <v>680775</v>
      </c>
      <c r="F89" s="338">
        <f t="shared" si="55"/>
        <v>680775</v>
      </c>
      <c r="G89" s="3"/>
      <c r="H89" s="3"/>
      <c r="I89" s="3"/>
      <c r="J89" s="220" t="s">
        <v>405</v>
      </c>
      <c r="K89" s="249"/>
      <c r="L89" s="267">
        <f>L85-L87-L88</f>
        <v>16078.258114231103</v>
      </c>
      <c r="M89" s="3"/>
      <c r="N89" s="300" t="s">
        <v>406</v>
      </c>
      <c r="O89" s="335">
        <f>(N18/2)*O88</f>
        <v>5.7446513165142674</v>
      </c>
      <c r="P89" s="292"/>
      <c r="Q89" s="302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" t="s">
        <v>407</v>
      </c>
      <c r="B90" s="70">
        <f>O4</f>
        <v>48</v>
      </c>
      <c r="C90" s="70">
        <f t="shared" ref="C90:F90" si="56">B90</f>
        <v>48</v>
      </c>
      <c r="D90" s="70">
        <f t="shared" si="56"/>
        <v>48</v>
      </c>
      <c r="E90" s="70">
        <f t="shared" si="56"/>
        <v>48</v>
      </c>
      <c r="F90" s="80">
        <f t="shared" si="56"/>
        <v>48</v>
      </c>
      <c r="G90" s="3"/>
      <c r="H90" s="3"/>
      <c r="I90" s="3"/>
      <c r="J90" s="3"/>
      <c r="K90" s="3"/>
      <c r="L90" s="3"/>
      <c r="M90" s="3"/>
      <c r="N90" s="291"/>
      <c r="O90" s="292"/>
      <c r="P90" s="292"/>
      <c r="Q90" s="302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>
      <c r="A91" s="24" t="s">
        <v>411</v>
      </c>
      <c r="B91" s="70">
        <f t="shared" ref="B91:F91" si="57">B89*B90</f>
        <v>26984256</v>
      </c>
      <c r="C91" s="556">
        <f t="shared" si="57"/>
        <v>32677200</v>
      </c>
      <c r="D91" s="556">
        <f t="shared" si="57"/>
        <v>32677200</v>
      </c>
      <c r="E91" s="556">
        <f t="shared" si="57"/>
        <v>32677200</v>
      </c>
      <c r="F91" s="556">
        <f t="shared" si="57"/>
        <v>32677200</v>
      </c>
      <c r="G91" s="3"/>
      <c r="H91" s="3"/>
      <c r="I91" s="3"/>
      <c r="J91" s="3"/>
      <c r="K91" s="3"/>
      <c r="L91" s="3"/>
      <c r="M91" s="3"/>
      <c r="N91" s="307" t="s">
        <v>20</v>
      </c>
      <c r="O91" s="292"/>
      <c r="P91" s="292"/>
      <c r="Q91" s="302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>
      <c r="A92" s="26"/>
      <c r="B92" s="70"/>
      <c r="C92" s="70"/>
      <c r="D92" s="70"/>
      <c r="E92" s="70"/>
      <c r="F92" s="80"/>
      <c r="G92" s="3"/>
      <c r="H92" s="3"/>
      <c r="I92" s="3"/>
      <c r="J92" s="3"/>
      <c r="K92" s="3"/>
      <c r="L92" s="3"/>
      <c r="M92" s="3"/>
      <c r="N92" s="300" t="s">
        <v>265</v>
      </c>
      <c r="O92" s="320">
        <f>O87</f>
        <v>5400</v>
      </c>
      <c r="P92" s="292"/>
      <c r="Q92" s="302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26" t="s">
        <v>413</v>
      </c>
      <c r="B93" s="70">
        <f t="shared" ref="B93:F93" si="58">B7</f>
        <v>4552300.5918000005</v>
      </c>
      <c r="C93" s="70">
        <f t="shared" si="58"/>
        <v>5369460.7901999997</v>
      </c>
      <c r="D93" s="70">
        <f t="shared" si="58"/>
        <v>5369460.7901999997</v>
      </c>
      <c r="E93" s="70">
        <f t="shared" si="58"/>
        <v>5369460.7901999997</v>
      </c>
      <c r="F93" s="70">
        <f t="shared" si="58"/>
        <v>5369460.7901999997</v>
      </c>
      <c r="G93" s="3"/>
      <c r="H93" s="3"/>
      <c r="I93" s="3"/>
      <c r="J93" s="3"/>
      <c r="K93" s="3"/>
      <c r="L93" s="3"/>
      <c r="M93" s="3"/>
      <c r="N93" s="300" t="s">
        <v>415</v>
      </c>
      <c r="O93" s="340">
        <f>O92/(M12+N18/2)</f>
        <v>2.3724865372372748E-2</v>
      </c>
      <c r="P93" s="292"/>
      <c r="Q93" s="302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>
      <c r="A94" s="26" t="s">
        <v>238</v>
      </c>
      <c r="B94" s="70">
        <f t="shared" ref="B94:F94" si="59">B8</f>
        <v>1543668</v>
      </c>
      <c r="C94" s="70">
        <f t="shared" si="59"/>
        <v>1816080</v>
      </c>
      <c r="D94" s="70">
        <f t="shared" si="59"/>
        <v>1816080</v>
      </c>
      <c r="E94" s="70">
        <f t="shared" si="59"/>
        <v>1816080</v>
      </c>
      <c r="F94" s="70">
        <f t="shared" si="59"/>
        <v>1816080</v>
      </c>
      <c r="G94" s="3"/>
      <c r="H94" s="3"/>
      <c r="I94" s="3"/>
      <c r="J94" s="3"/>
      <c r="K94" s="3"/>
      <c r="L94" s="3"/>
      <c r="M94" s="3"/>
      <c r="N94" s="300" t="s">
        <v>406</v>
      </c>
      <c r="O94" s="341">
        <f>O93*N18/2</f>
        <v>6.8728562497226617</v>
      </c>
      <c r="P94" s="302"/>
      <c r="Q94" s="302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>
      <c r="A95" s="26" t="s">
        <v>420</v>
      </c>
      <c r="B95" s="70">
        <f t="shared" ref="B95:F95" si="60">B18-B7-B8</f>
        <v>4315118.8989410158</v>
      </c>
      <c r="C95" s="70">
        <f t="shared" si="60"/>
        <v>4951229.8465237739</v>
      </c>
      <c r="D95" s="70">
        <f t="shared" si="60"/>
        <v>4951229.8465237739</v>
      </c>
      <c r="E95" s="70">
        <f t="shared" si="60"/>
        <v>4935783.5071537727</v>
      </c>
      <c r="F95" s="70">
        <f t="shared" si="60"/>
        <v>4935783.5071537727</v>
      </c>
      <c r="G95" s="3"/>
      <c r="H95" s="3"/>
      <c r="I95" s="3"/>
      <c r="J95" s="3"/>
      <c r="K95" s="3"/>
      <c r="L95" s="3"/>
      <c r="M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>
      <c r="A96" s="26"/>
      <c r="B96" s="70"/>
      <c r="C96" s="70"/>
      <c r="D96" s="70"/>
      <c r="E96" s="70"/>
      <c r="F96" s="80"/>
      <c r="G96" s="3"/>
      <c r="H96" s="3"/>
      <c r="I96" s="3"/>
      <c r="J96" s="3"/>
      <c r="K96" s="3"/>
      <c r="L96" s="3"/>
      <c r="M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A97" s="26" t="s">
        <v>421</v>
      </c>
      <c r="B97" s="342">
        <f t="shared" ref="B97:E97" si="61">B18</f>
        <v>10411087.490741016</v>
      </c>
      <c r="C97" s="557">
        <f t="shared" si="61"/>
        <v>12136770.636723774</v>
      </c>
      <c r="D97" s="557">
        <f t="shared" si="61"/>
        <v>12136770.636723774</v>
      </c>
      <c r="E97" s="557">
        <f t="shared" si="61"/>
        <v>12121324.297353772</v>
      </c>
      <c r="F97" s="558">
        <f>SUM(F93:F95)</f>
        <v>12121324.297353772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A98" s="26"/>
      <c r="B98" s="70"/>
      <c r="C98" s="70"/>
      <c r="D98" s="70"/>
      <c r="E98" s="70"/>
      <c r="F98" s="8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A99" s="26" t="s">
        <v>320</v>
      </c>
      <c r="B99" s="70"/>
      <c r="C99" s="70"/>
      <c r="D99" s="70"/>
      <c r="E99" s="70"/>
      <c r="F99" s="8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A100" s="43" t="s">
        <v>288</v>
      </c>
      <c r="B100" s="70">
        <f>G36</f>
        <v>115010.25382790032</v>
      </c>
      <c r="C100" s="70"/>
      <c r="D100" s="70"/>
      <c r="E100" s="70"/>
      <c r="F100" s="8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43" t="s">
        <v>326</v>
      </c>
      <c r="B101" s="70">
        <f t="shared" ref="B101:F101" si="62">B43</f>
        <v>18869.592772714957</v>
      </c>
      <c r="C101" s="70">
        <f t="shared" si="62"/>
        <v>-155.71397553969655</v>
      </c>
      <c r="D101" s="70">
        <f t="shared" si="62"/>
        <v>0</v>
      </c>
      <c r="E101" s="70">
        <f t="shared" si="62"/>
        <v>-16.432191443927877</v>
      </c>
      <c r="F101" s="80">
        <f t="shared" si="62"/>
        <v>0</v>
      </c>
      <c r="G101" s="3"/>
      <c r="H101" s="3"/>
      <c r="I101" s="3"/>
      <c r="J101" s="36" t="s">
        <v>425</v>
      </c>
      <c r="K101" s="3"/>
      <c r="L101" s="3"/>
      <c r="M101" s="3"/>
      <c r="N101" s="3"/>
      <c r="O101" s="3"/>
      <c r="P101" s="3"/>
      <c r="Q101" s="36" t="s">
        <v>426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26"/>
      <c r="B102" s="70"/>
      <c r="C102" s="70"/>
      <c r="D102" s="70"/>
      <c r="E102" s="70"/>
      <c r="F102" s="80"/>
      <c r="G102" s="3"/>
      <c r="H102" s="3"/>
      <c r="I102" s="3"/>
      <c r="J102" s="523" t="s">
        <v>427</v>
      </c>
      <c r="K102" s="523" t="s">
        <v>309</v>
      </c>
      <c r="L102" s="523" t="s">
        <v>430</v>
      </c>
      <c r="M102" s="523" t="s">
        <v>321</v>
      </c>
      <c r="N102" s="523" t="s">
        <v>431</v>
      </c>
      <c r="O102" s="3"/>
      <c r="P102" s="3"/>
      <c r="Q102" s="523" t="s">
        <v>427</v>
      </c>
      <c r="R102" s="523" t="s">
        <v>309</v>
      </c>
      <c r="S102" s="523" t="s">
        <v>430</v>
      </c>
      <c r="T102" s="523" t="s">
        <v>321</v>
      </c>
      <c r="U102" s="523" t="s">
        <v>431</v>
      </c>
      <c r="V102" s="3"/>
      <c r="W102" s="3"/>
      <c r="X102" s="3"/>
      <c r="Y102" s="3"/>
      <c r="Z102" s="3"/>
      <c r="AA102" s="3"/>
    </row>
    <row r="103" spans="1:27" ht="12.75" customHeight="1">
      <c r="A103" s="24" t="s">
        <v>432</v>
      </c>
      <c r="B103" s="70">
        <f t="shared" ref="B103:F103" si="63">B97-B100-B101</f>
        <v>10277207.644140402</v>
      </c>
      <c r="C103" s="556">
        <f t="shared" si="63"/>
        <v>12136926.350699313</v>
      </c>
      <c r="D103" s="556">
        <f t="shared" si="63"/>
        <v>12136770.636723774</v>
      </c>
      <c r="E103" s="556">
        <f t="shared" si="63"/>
        <v>12121340.729545217</v>
      </c>
      <c r="F103" s="556">
        <f t="shared" si="63"/>
        <v>12121324.297353772</v>
      </c>
      <c r="G103" s="3"/>
      <c r="H103" s="3"/>
      <c r="I103" s="3"/>
      <c r="J103" s="524"/>
      <c r="K103" s="524"/>
      <c r="L103" s="524"/>
      <c r="M103" s="524"/>
      <c r="N103" s="524"/>
      <c r="O103" s="3"/>
      <c r="P103" s="3"/>
      <c r="Q103" s="524"/>
      <c r="R103" s="524"/>
      <c r="S103" s="524"/>
      <c r="T103" s="524"/>
      <c r="U103" s="524"/>
      <c r="V103" s="3"/>
      <c r="W103" s="3"/>
      <c r="X103" s="3"/>
      <c r="Y103" s="3"/>
      <c r="Z103" s="3"/>
      <c r="AA103" s="3"/>
    </row>
    <row r="104" spans="1:27" ht="12.75" customHeight="1">
      <c r="A104" s="43" t="s">
        <v>435</v>
      </c>
      <c r="B104" s="342">
        <f t="shared" ref="B104:C104" si="64">O3</f>
        <v>562172</v>
      </c>
      <c r="C104" s="557">
        <f t="shared" si="64"/>
        <v>680775</v>
      </c>
      <c r="D104" s="557">
        <f t="shared" ref="D104:F104" si="65">C104</f>
        <v>680775</v>
      </c>
      <c r="E104" s="557">
        <f t="shared" si="65"/>
        <v>680775</v>
      </c>
      <c r="F104" s="558">
        <f t="shared" si="65"/>
        <v>680775</v>
      </c>
      <c r="G104" s="3"/>
      <c r="H104" s="3"/>
      <c r="I104" s="3"/>
      <c r="J104" s="242" t="s">
        <v>436</v>
      </c>
      <c r="K104" s="346">
        <v>50000</v>
      </c>
      <c r="L104" s="347">
        <v>0.5</v>
      </c>
      <c r="M104" s="347">
        <v>0.1</v>
      </c>
      <c r="N104" s="350">
        <f>K104+(K104*L104)+(K104-M104)</f>
        <v>124999.9</v>
      </c>
      <c r="O104" s="3"/>
      <c r="P104" s="3"/>
      <c r="Q104" s="242" t="s">
        <v>439</v>
      </c>
      <c r="R104" s="346">
        <v>50000</v>
      </c>
      <c r="S104" s="347">
        <v>0.5</v>
      </c>
      <c r="T104" s="347">
        <v>0.1</v>
      </c>
      <c r="U104" s="350">
        <f>R104+(R104*S104)+(R104-T104)</f>
        <v>124999.9</v>
      </c>
      <c r="V104" s="3"/>
      <c r="W104" s="3"/>
      <c r="X104" s="3"/>
      <c r="Y104" s="3"/>
      <c r="Z104" s="3"/>
      <c r="AA104" s="3"/>
    </row>
    <row r="105" spans="1:27" ht="12.75" customHeight="1">
      <c r="A105" s="26" t="s">
        <v>440</v>
      </c>
      <c r="B105" s="70">
        <f t="shared" ref="B105:F105" si="66">B103/B104</f>
        <v>18.281251368158504</v>
      </c>
      <c r="C105" s="70">
        <f t="shared" si="66"/>
        <v>17.828102310894661</v>
      </c>
      <c r="D105" s="70">
        <f t="shared" si="66"/>
        <v>17.827873580439608</v>
      </c>
      <c r="E105" s="70">
        <f t="shared" si="66"/>
        <v>17.805208372142364</v>
      </c>
      <c r="F105" s="70">
        <f t="shared" si="66"/>
        <v>17.805184234664569</v>
      </c>
      <c r="G105" s="3"/>
      <c r="H105" s="3"/>
      <c r="I105" s="3"/>
      <c r="J105" s="242" t="s">
        <v>441</v>
      </c>
      <c r="K105" s="351">
        <v>60000</v>
      </c>
      <c r="L105" s="352">
        <v>0.5</v>
      </c>
      <c r="M105" s="352">
        <v>0.1</v>
      </c>
      <c r="N105" s="350">
        <f>(K105+(K105*L105/100)+(K105-M105/100))/3</f>
        <v>40099.99966666667</v>
      </c>
      <c r="O105" s="3"/>
      <c r="P105" s="3"/>
      <c r="Q105" s="242" t="s">
        <v>441</v>
      </c>
      <c r="R105" s="351">
        <v>60000</v>
      </c>
      <c r="S105" s="352">
        <v>0.5</v>
      </c>
      <c r="T105" s="351">
        <v>10</v>
      </c>
      <c r="U105" s="350">
        <f>(R105+(R105*S105/100)+(R105-T105/100))/3</f>
        <v>40099.966666666667</v>
      </c>
      <c r="V105" s="3"/>
      <c r="W105" s="3"/>
      <c r="X105" s="3"/>
      <c r="Y105" s="3"/>
      <c r="Z105" s="3"/>
      <c r="AA105" s="3"/>
    </row>
    <row r="106" spans="1:27" ht="12.75" customHeight="1">
      <c r="A106" s="26"/>
      <c r="B106" s="342"/>
      <c r="C106" s="342"/>
      <c r="D106" s="342"/>
      <c r="E106" s="342"/>
      <c r="F106" s="343"/>
      <c r="G106" s="3"/>
      <c r="H106" s="3"/>
      <c r="I106" s="3"/>
      <c r="J106" s="260"/>
      <c r="K106" s="354"/>
      <c r="L106" s="355"/>
      <c r="M106" s="357" t="s">
        <v>251</v>
      </c>
      <c r="N106" s="358">
        <f>SUM(N104:N105)</f>
        <v>165099.89966666666</v>
      </c>
      <c r="O106" s="3"/>
      <c r="P106" s="3"/>
      <c r="Q106" s="260"/>
      <c r="R106" s="354"/>
      <c r="S106" s="355"/>
      <c r="T106" s="357" t="s">
        <v>251</v>
      </c>
      <c r="U106" s="358">
        <f>SUM(U104:U105)</f>
        <v>165099.86666666667</v>
      </c>
      <c r="V106" s="3"/>
      <c r="W106" s="3"/>
      <c r="X106" s="3"/>
      <c r="Y106" s="3"/>
      <c r="Z106" s="3"/>
      <c r="AA106" s="3"/>
    </row>
    <row r="107" spans="1:27" ht="12.75" customHeight="1">
      <c r="A107" s="26" t="s">
        <v>320</v>
      </c>
      <c r="B107" s="342"/>
      <c r="C107" s="342"/>
      <c r="D107" s="342"/>
      <c r="E107" s="342"/>
      <c r="F107" s="343"/>
      <c r="G107" s="3"/>
      <c r="H107" s="3"/>
      <c r="I107" s="3"/>
      <c r="J107" s="260"/>
      <c r="K107" s="354"/>
      <c r="L107" s="360"/>
      <c r="M107" s="235" t="s">
        <v>20</v>
      </c>
      <c r="N107" s="362">
        <f>N106*0.85</f>
        <v>140334.91471666665</v>
      </c>
      <c r="O107" s="3"/>
      <c r="P107" s="3"/>
      <c r="Q107" s="260" t="s">
        <v>448</v>
      </c>
      <c r="R107" s="354" t="s">
        <v>449</v>
      </c>
      <c r="S107" s="360"/>
      <c r="T107" s="235" t="s">
        <v>20</v>
      </c>
      <c r="U107" s="362">
        <f>U106*0.85</f>
        <v>140334.88666666666</v>
      </c>
      <c r="V107" s="3"/>
      <c r="W107" s="3"/>
      <c r="X107" s="3"/>
      <c r="Y107" s="3"/>
      <c r="Z107" s="3"/>
      <c r="AA107" s="3"/>
    </row>
    <row r="108" spans="1:27" ht="12.75" customHeight="1">
      <c r="A108" s="26" t="s">
        <v>451</v>
      </c>
      <c r="B108" s="70">
        <f>B105*(Y81)</f>
        <v>112009.22713270715</v>
      </c>
      <c r="C108" s="70">
        <f>C105*Z81</f>
        <v>109232.78285885158</v>
      </c>
      <c r="D108" s="70">
        <f>D105*Z81</f>
        <v>109231.38142735348</v>
      </c>
      <c r="E108" s="70">
        <f>E105*Z81</f>
        <v>109092.51169611626</v>
      </c>
      <c r="F108" s="80">
        <f>F105*Z81</f>
        <v>109092.36380578982</v>
      </c>
      <c r="G108" s="3"/>
      <c r="H108" s="3"/>
      <c r="I108" s="3"/>
      <c r="J108" s="196"/>
      <c r="K108" s="196"/>
      <c r="L108" s="196"/>
      <c r="O108" s="3"/>
      <c r="P108" s="3"/>
      <c r="Q108" s="36" t="s">
        <v>453</v>
      </c>
      <c r="R108" s="36" t="s">
        <v>454</v>
      </c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26"/>
      <c r="B109" s="342"/>
      <c r="C109" s="342"/>
      <c r="D109" s="342"/>
      <c r="E109" s="342"/>
      <c r="F109" s="343"/>
      <c r="G109" s="3"/>
      <c r="H109" s="3"/>
      <c r="I109" s="3"/>
      <c r="J109" s="196"/>
      <c r="K109" s="196"/>
      <c r="L109" s="196"/>
      <c r="O109" s="3"/>
      <c r="P109" s="3"/>
      <c r="Q109" s="36" t="s">
        <v>350</v>
      </c>
      <c r="R109" s="36" t="s">
        <v>454</v>
      </c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A110" s="24" t="s">
        <v>455</v>
      </c>
      <c r="B110" s="70">
        <f t="shared" ref="B110:F110" si="67">B103-B108</f>
        <v>10165198.417007694</v>
      </c>
      <c r="C110" s="556">
        <f t="shared" si="67"/>
        <v>12027693.567840461</v>
      </c>
      <c r="D110" s="556">
        <f t="shared" si="67"/>
        <v>12027539.25529642</v>
      </c>
      <c r="E110" s="556">
        <f t="shared" si="67"/>
        <v>12012248.2178491</v>
      </c>
      <c r="F110" s="556">
        <f t="shared" si="67"/>
        <v>12012231.933547983</v>
      </c>
      <c r="G110" s="3"/>
      <c r="H110" s="3"/>
      <c r="I110" s="3"/>
      <c r="J110" s="36" t="s">
        <v>456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A111" s="26"/>
      <c r="B111" s="70"/>
      <c r="C111" s="70"/>
      <c r="D111" s="70"/>
      <c r="E111" s="70"/>
      <c r="F111" s="80"/>
      <c r="G111" s="3"/>
      <c r="H111" s="3"/>
      <c r="I111" s="3"/>
      <c r="J111" s="517" t="s">
        <v>457</v>
      </c>
      <c r="K111" s="518"/>
      <c r="L111" s="518"/>
      <c r="M111" s="519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A112" s="24" t="s">
        <v>459</v>
      </c>
      <c r="B112" s="70">
        <f t="shared" ref="B112:F112" si="68">B63</f>
        <v>555285.42481613578</v>
      </c>
      <c r="C112" s="70">
        <f t="shared" si="68"/>
        <v>603904.25783858949</v>
      </c>
      <c r="D112" s="70">
        <f t="shared" si="68"/>
        <v>603904.25783858949</v>
      </c>
      <c r="E112" s="70">
        <f t="shared" si="68"/>
        <v>603131.94087008946</v>
      </c>
      <c r="F112" s="80">
        <f t="shared" si="68"/>
        <v>603131.94087008946</v>
      </c>
      <c r="G112" s="3"/>
      <c r="H112" s="3"/>
      <c r="I112" s="3"/>
      <c r="J112" s="364"/>
      <c r="K112" s="366" t="s">
        <v>256</v>
      </c>
      <c r="L112" s="366" t="s">
        <v>255</v>
      </c>
      <c r="M112" s="367" t="s">
        <v>461</v>
      </c>
      <c r="N112" s="3"/>
      <c r="O112" s="3"/>
      <c r="P112" s="3"/>
      <c r="Q112" s="517" t="s">
        <v>463</v>
      </c>
      <c r="R112" s="518"/>
      <c r="S112" s="518"/>
      <c r="T112" s="518"/>
      <c r="U112" s="519"/>
      <c r="V112" s="3"/>
      <c r="W112" s="3"/>
      <c r="X112" s="3"/>
      <c r="Y112" s="3"/>
      <c r="Z112" s="3"/>
      <c r="AA112" s="3"/>
    </row>
    <row r="113" spans="1:27" ht="12.75" customHeight="1">
      <c r="A113" s="24" t="s">
        <v>464</v>
      </c>
      <c r="B113" s="342">
        <f t="shared" ref="B113:F113" si="69">B81</f>
        <v>984564.39948469517</v>
      </c>
      <c r="C113" s="557">
        <f t="shared" si="69"/>
        <v>1056443.0302679951</v>
      </c>
      <c r="D113" s="557">
        <f t="shared" si="69"/>
        <v>1056443.0302679951</v>
      </c>
      <c r="E113" s="557">
        <f t="shared" si="69"/>
        <v>1055670.7132994952</v>
      </c>
      <c r="F113" s="558">
        <f t="shared" si="69"/>
        <v>1055670.7132994952</v>
      </c>
      <c r="G113" s="3"/>
      <c r="H113" s="3"/>
      <c r="I113" s="3"/>
      <c r="J113" s="368" t="s">
        <v>465</v>
      </c>
      <c r="K113" s="369">
        <f>'E-Inv AF y Am'!D56</f>
        <v>536961.31130268006</v>
      </c>
      <c r="L113" s="347">
        <v>0.05</v>
      </c>
      <c r="M113" s="370">
        <f t="shared" ref="M113:M114" si="70">K113*L113</f>
        <v>26848.065565134006</v>
      </c>
      <c r="N113" s="3"/>
      <c r="O113" s="3"/>
      <c r="P113" s="3"/>
      <c r="Q113" s="526"/>
      <c r="R113" s="490"/>
      <c r="S113" s="371" t="s">
        <v>467</v>
      </c>
      <c r="T113" s="371" t="s">
        <v>251</v>
      </c>
      <c r="U113" s="372" t="s">
        <v>20</v>
      </c>
      <c r="V113" s="3"/>
      <c r="W113" s="3"/>
      <c r="X113" s="3"/>
      <c r="Y113" s="3"/>
      <c r="Z113" s="3"/>
      <c r="AA113" s="3"/>
    </row>
    <row r="114" spans="1:27" ht="12.75" customHeight="1">
      <c r="A114" s="26"/>
      <c r="B114" s="342"/>
      <c r="C114" s="342"/>
      <c r="D114" s="342"/>
      <c r="E114" s="342"/>
      <c r="F114" s="343"/>
      <c r="G114" s="3"/>
      <c r="H114" s="3"/>
      <c r="I114" s="3"/>
      <c r="J114" s="368" t="s">
        <v>469</v>
      </c>
      <c r="K114" s="369">
        <f>'E-Inv AF y Am'!E56</f>
        <v>522180.12530268007</v>
      </c>
      <c r="L114" s="347">
        <v>0.05</v>
      </c>
      <c r="M114" s="370">
        <f t="shared" si="70"/>
        <v>26109.006265134005</v>
      </c>
      <c r="N114" s="3"/>
      <c r="O114" s="3"/>
      <c r="P114" s="3"/>
      <c r="Q114" s="521" t="s">
        <v>470</v>
      </c>
      <c r="R114" s="519"/>
      <c r="S114" s="374">
        <v>3.5000000000000003E-2</v>
      </c>
      <c r="T114" s="171">
        <f>L3*N31*S114</f>
        <v>457480.80000000005</v>
      </c>
      <c r="U114" s="171">
        <f>S114*L3*M12</f>
        <v>381896.9448</v>
      </c>
      <c r="V114" s="3"/>
      <c r="W114" s="3"/>
      <c r="X114" s="3"/>
      <c r="Y114" s="3"/>
      <c r="Z114" s="3"/>
      <c r="AA114" s="3"/>
    </row>
    <row r="115" spans="1:27" ht="12.75" customHeight="1">
      <c r="A115" s="24" t="s">
        <v>473</v>
      </c>
      <c r="B115" s="342">
        <f t="shared" ref="B115:F115" si="71">SUM(B110:B113)</f>
        <v>11705048.241308525</v>
      </c>
      <c r="C115" s="557">
        <f t="shared" si="71"/>
        <v>13688040.855947046</v>
      </c>
      <c r="D115" s="557">
        <f t="shared" si="71"/>
        <v>13687886.543403005</v>
      </c>
      <c r="E115" s="557">
        <f t="shared" si="71"/>
        <v>13671050.872018684</v>
      </c>
      <c r="F115" s="557">
        <f t="shared" si="71"/>
        <v>13671034.587717567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3" t="s">
        <v>474</v>
      </c>
      <c r="R115" s="375">
        <v>0.01</v>
      </c>
      <c r="S115" s="375">
        <v>0.05</v>
      </c>
      <c r="T115" s="14">
        <f>M130</f>
        <v>150</v>
      </c>
      <c r="U115" s="14">
        <f>T115</f>
        <v>150</v>
      </c>
      <c r="V115" s="3"/>
      <c r="W115" s="3"/>
      <c r="X115" s="3"/>
      <c r="Y115" s="3"/>
      <c r="Z115" s="3"/>
      <c r="AA115" s="3"/>
    </row>
    <row r="116" spans="1:27" ht="12.75" customHeight="1">
      <c r="A116" s="26"/>
      <c r="B116" s="342"/>
      <c r="C116" s="342"/>
      <c r="D116" s="342"/>
      <c r="E116" s="342"/>
      <c r="F116" s="343"/>
      <c r="G116" s="3"/>
      <c r="H116" s="3"/>
      <c r="I116" s="3"/>
      <c r="J116" s="36" t="s">
        <v>476</v>
      </c>
      <c r="K116" s="3"/>
      <c r="L116" s="3"/>
      <c r="M116" s="3"/>
      <c r="N116" s="3"/>
      <c r="O116" s="3"/>
      <c r="P116" s="3"/>
      <c r="Q116" s="13" t="s">
        <v>393</v>
      </c>
      <c r="R116" s="375">
        <v>0.01</v>
      </c>
      <c r="S116" s="375">
        <v>0.05</v>
      </c>
      <c r="T116" s="14">
        <f t="shared" ref="T116:U116" si="72">T115</f>
        <v>150</v>
      </c>
      <c r="U116" s="14">
        <f t="shared" si="72"/>
        <v>150</v>
      </c>
      <c r="V116" s="3"/>
      <c r="W116" s="3"/>
      <c r="X116" s="3"/>
      <c r="Y116" s="3"/>
      <c r="Z116" s="3"/>
      <c r="AA116" s="3"/>
    </row>
    <row r="117" spans="1:27" ht="12.75" customHeight="1">
      <c r="A117" s="24" t="s">
        <v>477</v>
      </c>
      <c r="B117" s="342">
        <f t="shared" ref="B117:F117" si="73">B115/B104</f>
        <v>20.821115675111042</v>
      </c>
      <c r="C117" s="342">
        <f t="shared" si="73"/>
        <v>20.106556286507356</v>
      </c>
      <c r="D117" s="342">
        <f t="shared" si="73"/>
        <v>20.106329614634799</v>
      </c>
      <c r="E117" s="342">
        <f t="shared" si="73"/>
        <v>20.081599459467053</v>
      </c>
      <c r="F117" s="343">
        <f t="shared" si="73"/>
        <v>20.081575539227448</v>
      </c>
      <c r="G117" s="3"/>
      <c r="H117" s="3"/>
      <c r="I117" s="3"/>
      <c r="J117" s="517" t="s">
        <v>210</v>
      </c>
      <c r="K117" s="518"/>
      <c r="L117" s="519"/>
      <c r="M117" s="3"/>
      <c r="N117" s="3"/>
      <c r="O117" s="3"/>
      <c r="P117" s="3"/>
      <c r="S117" s="41" t="s">
        <v>189</v>
      </c>
      <c r="T117" s="376">
        <f>T114+T115+T116</f>
        <v>457780.80000000005</v>
      </c>
      <c r="U117" s="147">
        <f>U116+U115+U114</f>
        <v>382196.9448</v>
      </c>
      <c r="V117" s="3"/>
      <c r="W117" s="3"/>
      <c r="X117" s="3"/>
      <c r="Y117" s="3"/>
      <c r="Z117" s="3"/>
      <c r="AA117" s="3"/>
    </row>
    <row r="118" spans="1:27" ht="12.75" customHeight="1">
      <c r="A118" s="26"/>
      <c r="B118" s="342"/>
      <c r="C118" s="342"/>
      <c r="D118" s="342"/>
      <c r="E118" s="342"/>
      <c r="F118" s="343"/>
      <c r="G118" s="3"/>
      <c r="H118" s="3"/>
      <c r="I118" s="3"/>
      <c r="J118" s="520" t="s">
        <v>479</v>
      </c>
      <c r="K118" s="519"/>
      <c r="L118" s="367" t="s">
        <v>480</v>
      </c>
      <c r="M118" s="3"/>
      <c r="N118" s="3"/>
      <c r="O118" s="3"/>
      <c r="P118" s="3"/>
      <c r="V118" s="3"/>
      <c r="W118" s="3"/>
      <c r="X118" s="3"/>
      <c r="Y118" s="3"/>
      <c r="Z118" s="3"/>
      <c r="AA118" s="3"/>
    </row>
    <row r="119" spans="1:27" ht="12.75" customHeight="1">
      <c r="A119" s="24" t="s">
        <v>481</v>
      </c>
      <c r="B119" s="342">
        <f t="shared" ref="B119:F119" si="74">B91-B115</f>
        <v>15279207.758691475</v>
      </c>
      <c r="C119" s="557">
        <f t="shared" si="74"/>
        <v>18989159.144052953</v>
      </c>
      <c r="D119" s="557">
        <f t="shared" si="74"/>
        <v>18989313.456596993</v>
      </c>
      <c r="E119" s="557">
        <f t="shared" si="74"/>
        <v>19006149.127981316</v>
      </c>
      <c r="F119" s="557">
        <f t="shared" si="74"/>
        <v>19006165.412282433</v>
      </c>
      <c r="G119" s="3"/>
      <c r="H119" s="3"/>
      <c r="I119" s="3"/>
      <c r="J119" s="521" t="s">
        <v>352</v>
      </c>
      <c r="K119" s="519"/>
      <c r="L119" s="378">
        <f>V59*0.05</f>
        <v>284.16000000000003</v>
      </c>
      <c r="M119" s="36" t="s">
        <v>484</v>
      </c>
      <c r="N119" s="3"/>
      <c r="O119" s="3"/>
      <c r="P119" s="3"/>
      <c r="V119" s="3"/>
      <c r="W119" s="3"/>
      <c r="X119" s="3"/>
      <c r="Y119" s="3"/>
      <c r="Z119" s="3"/>
      <c r="AA119" s="3"/>
    </row>
    <row r="120" spans="1:27" ht="12.75" customHeight="1">
      <c r="A120" s="24" t="s">
        <v>14</v>
      </c>
      <c r="B120" s="342">
        <f>B119*InfoInicial!B5</f>
        <v>840356.42672803113</v>
      </c>
      <c r="C120" s="557">
        <f>C119*InfoInicial!B5</f>
        <v>1044403.7529229124</v>
      </c>
      <c r="D120" s="557">
        <f>D119*InfoInicial!B5</f>
        <v>1044412.2401128346</v>
      </c>
      <c r="E120" s="557">
        <f>E119*InfoInicial!B5</f>
        <v>1045338.2020389724</v>
      </c>
      <c r="F120" s="558">
        <f>F119*InfoInicial!B5</f>
        <v>1045339.0976755338</v>
      </c>
      <c r="G120" s="3"/>
      <c r="H120" s="3"/>
      <c r="I120" s="3"/>
      <c r="J120" s="521" t="s">
        <v>486</v>
      </c>
      <c r="K120" s="519"/>
      <c r="L120" s="370">
        <f>0.01*C44</f>
        <v>121369.26350699313</v>
      </c>
      <c r="M120" s="36" t="s">
        <v>487</v>
      </c>
      <c r="N120" s="3"/>
      <c r="O120" s="3"/>
      <c r="P120" s="3"/>
      <c r="V120" s="3"/>
      <c r="W120" s="3"/>
      <c r="X120" s="3"/>
      <c r="Y120" s="3"/>
      <c r="Z120" s="3"/>
      <c r="AA120" s="3"/>
    </row>
    <row r="121" spans="1:27" ht="12.75" customHeight="1">
      <c r="A121" s="99" t="s">
        <v>489</v>
      </c>
      <c r="B121" s="342">
        <f>B119*InfoInicial!B4</f>
        <v>5347722.7155420156</v>
      </c>
      <c r="C121" s="557">
        <f>C119*InfoInicial!B4</f>
        <v>6646205.7004185328</v>
      </c>
      <c r="D121" s="557">
        <f>D119*InfoInicial!B4</f>
        <v>6646259.7098089475</v>
      </c>
      <c r="E121" s="557">
        <f>E119*InfoInicial!B4</f>
        <v>6652152.19479346</v>
      </c>
      <c r="F121" s="558">
        <f>F119*InfoInicial!B4</f>
        <v>6652157.8942988515</v>
      </c>
      <c r="G121" s="3"/>
      <c r="H121" s="3"/>
      <c r="I121" s="3"/>
      <c r="J121" s="521" t="s">
        <v>491</v>
      </c>
      <c r="K121" s="519"/>
      <c r="L121" s="370">
        <f>N106*0.03</f>
        <v>4952.9969899999996</v>
      </c>
      <c r="M121" s="36" t="s">
        <v>492</v>
      </c>
      <c r="N121" s="3"/>
      <c r="O121" s="3"/>
      <c r="P121" s="3"/>
      <c r="V121" s="3"/>
      <c r="W121" s="3"/>
      <c r="X121" s="3"/>
      <c r="Y121" s="3"/>
      <c r="Z121" s="3"/>
      <c r="AA121" s="3"/>
    </row>
    <row r="122" spans="1:27" ht="12.75" customHeight="1">
      <c r="A122" s="24"/>
      <c r="B122" s="342"/>
      <c r="C122" s="342"/>
      <c r="D122" s="342"/>
      <c r="E122" s="342"/>
      <c r="F122" s="343"/>
      <c r="G122" s="3"/>
      <c r="H122" s="3"/>
      <c r="I122" s="3"/>
      <c r="J122" s="379" t="s">
        <v>369</v>
      </c>
      <c r="K122" s="380"/>
      <c r="L122" s="381">
        <f>SUM(L119:L121)</f>
        <v>126606.42049699313</v>
      </c>
      <c r="M122" s="3"/>
      <c r="N122" s="3"/>
      <c r="O122" s="3"/>
      <c r="P122" s="3"/>
      <c r="V122" s="3"/>
      <c r="W122" s="3"/>
      <c r="X122" s="3"/>
      <c r="Y122" s="3"/>
      <c r="Z122" s="3"/>
      <c r="AA122" s="3"/>
    </row>
    <row r="123" spans="1:27" ht="12.75" customHeight="1">
      <c r="A123" s="99" t="s">
        <v>495</v>
      </c>
      <c r="B123" s="342">
        <f t="shared" ref="B123:F123" si="75">B119-B120-B121</f>
        <v>9091128.6164214276</v>
      </c>
      <c r="C123" s="557">
        <f t="shared" si="75"/>
        <v>11298549.690711509</v>
      </c>
      <c r="D123" s="557">
        <f t="shared" si="75"/>
        <v>11298641.506675212</v>
      </c>
      <c r="E123" s="557">
        <f t="shared" si="75"/>
        <v>11308658.731148884</v>
      </c>
      <c r="F123" s="557">
        <f t="shared" si="75"/>
        <v>11308668.42030805</v>
      </c>
      <c r="G123" s="3"/>
      <c r="H123" s="3"/>
      <c r="I123" s="3"/>
      <c r="J123" s="379" t="s">
        <v>370</v>
      </c>
      <c r="K123" s="380"/>
      <c r="L123" s="381">
        <f>0.85*L122</f>
        <v>107615.45742244416</v>
      </c>
      <c r="M123" s="3"/>
      <c r="N123" s="3"/>
      <c r="O123" s="3"/>
      <c r="P123" s="3"/>
      <c r="Q123" s="517" t="s">
        <v>210</v>
      </c>
      <c r="R123" s="518"/>
      <c r="S123" s="519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>
      <c r="A124" s="24" t="s">
        <v>497</v>
      </c>
      <c r="B124" s="382">
        <f t="shared" ref="B124:F124" si="76">B123/B91</f>
        <v>0.33690492027726937</v>
      </c>
      <c r="C124" s="382">
        <f t="shared" si="76"/>
        <v>0.3457624793651693</v>
      </c>
      <c r="D124" s="382">
        <f t="shared" si="76"/>
        <v>0.34576528915192278</v>
      </c>
      <c r="E124" s="382">
        <f t="shared" si="76"/>
        <v>0.34607184003368968</v>
      </c>
      <c r="F124" s="382">
        <f t="shared" si="76"/>
        <v>0.34607213654499314</v>
      </c>
      <c r="G124" s="3"/>
      <c r="H124" s="3"/>
      <c r="I124" s="3"/>
      <c r="M124" s="3"/>
      <c r="N124" s="3"/>
      <c r="O124" s="3"/>
      <c r="P124" s="3"/>
      <c r="Q124" s="520" t="s">
        <v>479</v>
      </c>
      <c r="R124" s="519"/>
      <c r="S124" s="367" t="s">
        <v>480</v>
      </c>
      <c r="T124" s="3"/>
      <c r="U124" s="3"/>
      <c r="V124" s="3"/>
      <c r="W124" s="3"/>
      <c r="X124" s="3"/>
      <c r="Y124" s="3"/>
      <c r="Z124" s="3"/>
      <c r="AA124" s="3"/>
    </row>
    <row r="125" spans="1:27" ht="12.75" customHeight="1">
      <c r="A125" s="24"/>
      <c r="B125" s="382"/>
      <c r="C125" s="382"/>
      <c r="D125" s="382"/>
      <c r="E125" s="382"/>
      <c r="F125" s="383"/>
      <c r="G125" s="3"/>
      <c r="H125" s="3"/>
      <c r="I125" s="3"/>
      <c r="J125" s="517" t="s">
        <v>498</v>
      </c>
      <c r="K125" s="519"/>
      <c r="L125" s="525" t="s">
        <v>499</v>
      </c>
      <c r="M125" s="519"/>
      <c r="N125" s="3"/>
      <c r="O125" s="3"/>
      <c r="P125" s="3"/>
      <c r="Q125" s="521" t="s">
        <v>352</v>
      </c>
      <c r="R125" s="519"/>
      <c r="S125" s="378">
        <f>V59*0.05</f>
        <v>284.16000000000003</v>
      </c>
      <c r="T125" s="36" t="s">
        <v>484</v>
      </c>
      <c r="U125" s="3"/>
      <c r="V125" s="3"/>
      <c r="W125" s="3"/>
      <c r="X125" s="3"/>
      <c r="Y125" s="3"/>
      <c r="Z125" s="3"/>
      <c r="AA125" s="3"/>
    </row>
    <row r="126" spans="1:27" ht="12.75" customHeight="1">
      <c r="A126" s="24" t="s">
        <v>500</v>
      </c>
      <c r="B126" s="382"/>
      <c r="C126" s="382"/>
      <c r="D126" s="382"/>
      <c r="E126" s="382"/>
      <c r="F126" s="383"/>
      <c r="G126" s="3"/>
      <c r="H126" s="3"/>
      <c r="I126" s="3"/>
      <c r="J126" s="384" t="s">
        <v>501</v>
      </c>
      <c r="K126" s="385" t="s">
        <v>502</v>
      </c>
      <c r="L126" s="385" t="s">
        <v>336</v>
      </c>
      <c r="M126" s="386" t="s">
        <v>20</v>
      </c>
      <c r="N126" s="3"/>
      <c r="O126" s="3"/>
      <c r="P126" s="3"/>
      <c r="Q126" s="521" t="s">
        <v>486</v>
      </c>
      <c r="R126" s="519"/>
      <c r="S126" s="370">
        <f>0.01*D44</f>
        <v>121367.70636723774</v>
      </c>
      <c r="T126" s="36" t="s">
        <v>487</v>
      </c>
      <c r="U126" s="3"/>
      <c r="V126" s="3"/>
      <c r="W126" s="3"/>
      <c r="X126" s="3"/>
      <c r="Y126" s="3"/>
      <c r="Z126" s="3"/>
      <c r="AA126" s="3"/>
    </row>
    <row r="127" spans="1:27" ht="12.75" customHeight="1">
      <c r="A127" s="99" t="s">
        <v>503</v>
      </c>
      <c r="B127" s="387">
        <f t="shared" ref="B127:F127" si="77">B123</f>
        <v>9091128.6164214276</v>
      </c>
      <c r="C127" s="387">
        <f t="shared" si="77"/>
        <v>11298549.690711509</v>
      </c>
      <c r="D127" s="387">
        <f t="shared" si="77"/>
        <v>11298641.506675212</v>
      </c>
      <c r="E127" s="387">
        <f t="shared" si="77"/>
        <v>11308658.731148884</v>
      </c>
      <c r="F127" s="387">
        <f t="shared" si="77"/>
        <v>11308668.42030805</v>
      </c>
      <c r="G127" s="3"/>
      <c r="H127" s="3"/>
      <c r="I127" s="3"/>
      <c r="J127" s="388">
        <v>500</v>
      </c>
      <c r="K127" s="389">
        <v>5.52</v>
      </c>
      <c r="L127" s="370">
        <f>(J127*K127)*6</f>
        <v>16560</v>
      </c>
      <c r="M127" s="370">
        <f>L127*0.85</f>
        <v>14076</v>
      </c>
      <c r="N127" s="3"/>
      <c r="O127" s="3"/>
      <c r="P127" s="3"/>
      <c r="Q127" s="521" t="s">
        <v>491</v>
      </c>
      <c r="R127" s="519"/>
      <c r="S127" s="370">
        <f>0.03*U106</f>
        <v>4952.9960000000001</v>
      </c>
      <c r="T127" s="36" t="s">
        <v>492</v>
      </c>
      <c r="U127" s="3"/>
      <c r="V127" s="3"/>
      <c r="W127" s="3"/>
      <c r="X127" s="3"/>
      <c r="Y127" s="3"/>
      <c r="Z127" s="3"/>
      <c r="AA127" s="3"/>
    </row>
    <row r="128" spans="1:27" ht="12.75" customHeight="1">
      <c r="A128" s="24" t="s">
        <v>504</v>
      </c>
      <c r="B128" s="387">
        <f t="shared" ref="B128:F128" si="78">B11+B55+B73</f>
        <v>538439.4299026801</v>
      </c>
      <c r="C128" s="387">
        <f t="shared" si="78"/>
        <v>538439.4299026801</v>
      </c>
      <c r="D128" s="387">
        <f t="shared" si="78"/>
        <v>538439.4299026801</v>
      </c>
      <c r="E128" s="387">
        <f t="shared" si="78"/>
        <v>522180.12530268013</v>
      </c>
      <c r="F128" s="387">
        <f t="shared" si="78"/>
        <v>522180.12530268013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90" t="s">
        <v>505</v>
      </c>
      <c r="R128" s="197"/>
      <c r="S128" s="391" t="s">
        <v>506</v>
      </c>
      <c r="T128" s="3"/>
      <c r="U128" s="3"/>
      <c r="V128" s="3"/>
      <c r="W128" s="3"/>
      <c r="X128" s="3"/>
      <c r="Y128" s="3"/>
      <c r="Z128" s="3"/>
      <c r="AA128" s="3"/>
    </row>
    <row r="129" spans="1:27" ht="13.5" customHeight="1">
      <c r="A129" s="71" t="s">
        <v>192</v>
      </c>
      <c r="B129" s="387">
        <f t="shared" ref="B129:F129" si="79">B127+B128</f>
        <v>9629568.0463241078</v>
      </c>
      <c r="C129" s="387">
        <f t="shared" si="79"/>
        <v>11836989.12061419</v>
      </c>
      <c r="D129" s="387">
        <f t="shared" si="79"/>
        <v>11837080.936577892</v>
      </c>
      <c r="E129" s="387">
        <f t="shared" si="79"/>
        <v>11830838.856451564</v>
      </c>
      <c r="F129" s="387">
        <f t="shared" si="79"/>
        <v>11830848.54561073</v>
      </c>
      <c r="G129" s="3"/>
      <c r="H129" s="3"/>
      <c r="I129" s="3"/>
      <c r="J129" s="392" t="s">
        <v>507</v>
      </c>
      <c r="K129" s="393"/>
      <c r="L129" s="394" t="s">
        <v>508</v>
      </c>
      <c r="M129" s="395" t="s">
        <v>358</v>
      </c>
      <c r="N129" s="3"/>
      <c r="O129" s="3"/>
      <c r="P129" s="3"/>
      <c r="Q129" s="235" t="s">
        <v>370</v>
      </c>
      <c r="R129" s="396"/>
      <c r="S129" s="397">
        <f>(S125+S126+S127)+0.75*M12</f>
        <v>297094.5698672377</v>
      </c>
      <c r="T129" s="3"/>
      <c r="U129" s="3"/>
      <c r="V129" s="3"/>
      <c r="W129" s="3"/>
      <c r="X129" s="3"/>
      <c r="Y129" s="3"/>
      <c r="Z129" s="3"/>
      <c r="AA129" s="3"/>
    </row>
    <row r="130" spans="1:27" ht="13.5" customHeight="1">
      <c r="A130" s="24"/>
      <c r="B130" s="30"/>
      <c r="C130" s="30"/>
      <c r="D130" s="30"/>
      <c r="E130" s="30"/>
      <c r="F130" s="85"/>
      <c r="G130" s="3"/>
      <c r="H130" s="3"/>
      <c r="I130" s="3"/>
      <c r="J130" s="242" t="s">
        <v>391</v>
      </c>
      <c r="K130" s="398">
        <v>0.01</v>
      </c>
      <c r="L130" s="399">
        <v>0.05</v>
      </c>
      <c r="M130" s="378">
        <f>'E-Inv AF y Am'!B8*L130*K130</f>
        <v>150</v>
      </c>
      <c r="N130" s="3"/>
      <c r="O130" s="3"/>
      <c r="P130" s="3"/>
      <c r="Q130" s="13" t="s">
        <v>509</v>
      </c>
      <c r="R130" s="14"/>
      <c r="S130" s="400">
        <f>S125+S126+S127+0.5*N31</f>
        <v>262759.86236723774</v>
      </c>
      <c r="T130" s="3"/>
      <c r="U130" s="3"/>
      <c r="V130" s="3"/>
      <c r="W130" s="3"/>
      <c r="X130" s="3"/>
      <c r="Y130" s="3"/>
      <c r="Z130" s="3"/>
      <c r="AA130" s="3"/>
    </row>
    <row r="131" spans="1:27" ht="12.75" customHeight="1">
      <c r="A131" s="24" t="s">
        <v>510</v>
      </c>
      <c r="B131" s="30">
        <f t="shared" ref="B131:F131" si="80">B40*B47</f>
        <v>3929181.5581807783</v>
      </c>
      <c r="C131" s="30">
        <f t="shared" si="80"/>
        <v>4508236.7640362345</v>
      </c>
      <c r="D131" s="30">
        <f t="shared" si="80"/>
        <v>4508236.7640362345</v>
      </c>
      <c r="E131" s="30">
        <f t="shared" si="80"/>
        <v>4493139.0797395129</v>
      </c>
      <c r="F131" s="30">
        <f t="shared" si="80"/>
        <v>4493139.0797395129</v>
      </c>
      <c r="G131" s="3"/>
      <c r="H131" s="3"/>
      <c r="I131" s="3"/>
      <c r="J131" s="242" t="s">
        <v>511</v>
      </c>
      <c r="K131" s="399">
        <v>0.01</v>
      </c>
      <c r="L131" s="399">
        <v>0.05</v>
      </c>
      <c r="M131" s="378">
        <f>'E-Inv AF y Am'!B8*L131*K131</f>
        <v>150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>
      <c r="A132" s="99" t="s">
        <v>512</v>
      </c>
      <c r="B132" s="30">
        <f t="shared" ref="B132:F132" si="81">B40*B48</f>
        <v>6348026.0859596198</v>
      </c>
      <c r="C132" s="30">
        <f t="shared" si="81"/>
        <v>7609819.9938903619</v>
      </c>
      <c r="D132" s="30">
        <f t="shared" si="81"/>
        <v>7609819.9938903619</v>
      </c>
      <c r="E132" s="30">
        <f t="shared" si="81"/>
        <v>7609487.7710085269</v>
      </c>
      <c r="F132" s="30">
        <f t="shared" si="81"/>
        <v>7609487.7710085269</v>
      </c>
      <c r="G132" s="3"/>
      <c r="H132" s="3"/>
      <c r="I132" s="3"/>
      <c r="J132" s="242" t="s">
        <v>513</v>
      </c>
      <c r="K132" s="399">
        <v>0.03</v>
      </c>
      <c r="L132" s="396"/>
      <c r="M132" s="378">
        <v>0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>
      <c r="A133" s="24" t="s">
        <v>514</v>
      </c>
      <c r="B133" s="30">
        <f t="shared" ref="B133:F133" si="82">B63*B65</f>
        <v>555285.42481613578</v>
      </c>
      <c r="C133" s="30">
        <f t="shared" si="82"/>
        <v>603904.25783858949</v>
      </c>
      <c r="D133" s="30">
        <f t="shared" si="82"/>
        <v>603904.25783858949</v>
      </c>
      <c r="E133" s="30">
        <f t="shared" si="82"/>
        <v>603131.94087008946</v>
      </c>
      <c r="F133" s="30">
        <f t="shared" si="82"/>
        <v>603131.94087008946</v>
      </c>
      <c r="G133" s="3"/>
      <c r="H133" s="3"/>
      <c r="I133" s="3"/>
      <c r="J133" s="242" t="s">
        <v>515</v>
      </c>
      <c r="K133" s="396"/>
      <c r="L133" s="398">
        <v>4.0000000000000002E-4</v>
      </c>
      <c r="M133" s="370">
        <f>L3*N31*L133</f>
        <v>5228.3519999999999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>
      <c r="A134" s="99" t="s">
        <v>516</v>
      </c>
      <c r="B134" s="30">
        <f t="shared" ref="B134:F134" si="83">B63*B66</f>
        <v>0</v>
      </c>
      <c r="C134" s="30">
        <f t="shared" si="83"/>
        <v>0</v>
      </c>
      <c r="D134" s="30">
        <f t="shared" si="83"/>
        <v>0</v>
      </c>
      <c r="E134" s="30">
        <f t="shared" si="83"/>
        <v>0</v>
      </c>
      <c r="F134" s="30">
        <f t="shared" si="83"/>
        <v>0</v>
      </c>
      <c r="G134" s="3"/>
      <c r="H134" s="3"/>
      <c r="I134" s="3"/>
      <c r="J134" s="242" t="s">
        <v>517</v>
      </c>
      <c r="K134" s="396"/>
      <c r="L134" s="399">
        <v>5.0000000000000001E-3</v>
      </c>
      <c r="M134" s="370">
        <f>L3*N31*L134</f>
        <v>65354.400000000001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>
      <c r="A135" s="24" t="s">
        <v>518</v>
      </c>
      <c r="B135" s="30">
        <f t="shared" ref="B135:F135" si="84">B81*B83</f>
        <v>877716.333919561</v>
      </c>
      <c r="C135" s="30">
        <f t="shared" si="84"/>
        <v>949594.96470286115</v>
      </c>
      <c r="D135" s="30">
        <f t="shared" si="84"/>
        <v>949594.96470286115</v>
      </c>
      <c r="E135" s="30">
        <f t="shared" si="84"/>
        <v>949561.70703436108</v>
      </c>
      <c r="F135" s="30">
        <f t="shared" si="84"/>
        <v>949561.70703436108</v>
      </c>
      <c r="G135" s="3"/>
      <c r="H135" s="3"/>
      <c r="I135" s="3"/>
      <c r="J135" s="401"/>
      <c r="K135" s="396"/>
      <c r="L135" s="396"/>
      <c r="M135" s="40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>
      <c r="A136" s="99" t="s">
        <v>519</v>
      </c>
      <c r="B136" s="30">
        <f t="shared" ref="B136:F136" si="85">B81*B84</f>
        <v>50000</v>
      </c>
      <c r="C136" s="30">
        <f t="shared" si="85"/>
        <v>50000</v>
      </c>
      <c r="D136" s="30">
        <f t="shared" si="85"/>
        <v>50000</v>
      </c>
      <c r="E136" s="30">
        <f t="shared" si="85"/>
        <v>50000</v>
      </c>
      <c r="F136" s="30">
        <f t="shared" si="85"/>
        <v>50000</v>
      </c>
      <c r="G136" s="3"/>
      <c r="H136" s="3"/>
      <c r="I136" s="3"/>
      <c r="J136" s="242" t="s">
        <v>192</v>
      </c>
      <c r="K136" s="402"/>
      <c r="L136" s="402"/>
      <c r="M136" s="370">
        <f>SUM(M130:M134)</f>
        <v>70882.752000000008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24" t="s">
        <v>520</v>
      </c>
      <c r="B137" s="30">
        <f t="shared" ref="B137:F137" si="86">B91-B132-B134-B136</f>
        <v>20586229.914040379</v>
      </c>
      <c r="C137" s="559">
        <f t="shared" si="86"/>
        <v>25017380.00610964</v>
      </c>
      <c r="D137" s="559">
        <f t="shared" si="86"/>
        <v>25017380.00610964</v>
      </c>
      <c r="E137" s="559">
        <f t="shared" si="86"/>
        <v>25017712.228991471</v>
      </c>
      <c r="F137" s="559">
        <f t="shared" si="86"/>
        <v>25017712.228991471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3.5" customHeight="1">
      <c r="A138" s="71" t="s">
        <v>521</v>
      </c>
      <c r="B138" s="403">
        <f t="shared" ref="B138:F138" si="87">(B131+B133+B135)/B137</f>
        <v>0.26047427524645089</v>
      </c>
      <c r="C138" s="403">
        <f t="shared" si="87"/>
        <v>0.24230099175442485</v>
      </c>
      <c r="D138" s="403">
        <f t="shared" si="87"/>
        <v>0.24230099175442485</v>
      </c>
      <c r="E138" s="403">
        <f t="shared" si="87"/>
        <v>0.2416620941317657</v>
      </c>
      <c r="F138" s="403">
        <f t="shared" si="87"/>
        <v>0.2416620941317657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6.5" customHeight="1">
      <c r="A139" s="404" t="s">
        <v>522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405" t="s">
        <v>159</v>
      </c>
      <c r="B142" s="406"/>
      <c r="C142" s="406"/>
      <c r="D142" s="406"/>
      <c r="E142" s="40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>
      <c r="A143" s="357" t="s">
        <v>523</v>
      </c>
      <c r="B143" s="354" t="s">
        <v>524</v>
      </c>
      <c r="C143" s="354" t="s">
        <v>525</v>
      </c>
      <c r="D143" s="354" t="s">
        <v>526</v>
      </c>
      <c r="E143" s="408" t="s">
        <v>527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>
      <c r="A144" s="409">
        <v>0.1</v>
      </c>
      <c r="B144" s="410">
        <f t="shared" ref="B144:B153" si="88">A144*$C$91</f>
        <v>3267720</v>
      </c>
      <c r="C144" s="410">
        <f t="shared" ref="C144:C153" si="89">$C$131+$C$133+$C$135</f>
        <v>6061735.986577685</v>
      </c>
      <c r="D144" s="410">
        <f t="shared" ref="D144:D153" si="90">($C$132+$C$134+$C$136)*A144</f>
        <v>765981.99938903621</v>
      </c>
      <c r="E144" s="411">
        <f t="shared" ref="E144:E153" si="91">D144+C144</f>
        <v>6827717.9859667215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>
      <c r="A145" s="409">
        <v>0.2</v>
      </c>
      <c r="B145" s="410">
        <f t="shared" si="88"/>
        <v>6535440</v>
      </c>
      <c r="C145" s="410">
        <f t="shared" si="89"/>
        <v>6061735.986577685</v>
      </c>
      <c r="D145" s="410">
        <f t="shared" si="90"/>
        <v>1531963.9987780724</v>
      </c>
      <c r="E145" s="411">
        <f t="shared" si="91"/>
        <v>7593699.9853557572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>
      <c r="A146" s="409">
        <v>0.3</v>
      </c>
      <c r="B146" s="410">
        <f t="shared" si="88"/>
        <v>9803160</v>
      </c>
      <c r="C146" s="410">
        <f t="shared" si="89"/>
        <v>6061735.986577685</v>
      </c>
      <c r="D146" s="410">
        <f t="shared" si="90"/>
        <v>2297945.9981671083</v>
      </c>
      <c r="E146" s="411">
        <f t="shared" si="91"/>
        <v>8359681.9847447928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>
      <c r="A147" s="409">
        <v>0.4</v>
      </c>
      <c r="B147" s="410">
        <f t="shared" si="88"/>
        <v>13070880</v>
      </c>
      <c r="C147" s="410">
        <f t="shared" si="89"/>
        <v>6061735.986577685</v>
      </c>
      <c r="D147" s="410">
        <f t="shared" si="90"/>
        <v>3063927.9975561448</v>
      </c>
      <c r="E147" s="411">
        <f t="shared" si="91"/>
        <v>9125663.9841338303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>
      <c r="A148" s="409">
        <v>0.5</v>
      </c>
      <c r="B148" s="410">
        <f t="shared" si="88"/>
        <v>16338600</v>
      </c>
      <c r="C148" s="410">
        <f t="shared" si="89"/>
        <v>6061735.986577685</v>
      </c>
      <c r="D148" s="410">
        <f t="shared" si="90"/>
        <v>3829909.9969451809</v>
      </c>
      <c r="E148" s="411">
        <f t="shared" si="91"/>
        <v>9891645.9835228659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409">
        <v>0.6</v>
      </c>
      <c r="B149" s="410">
        <f t="shared" si="88"/>
        <v>19606320</v>
      </c>
      <c r="C149" s="410">
        <f t="shared" si="89"/>
        <v>6061735.986577685</v>
      </c>
      <c r="D149" s="410">
        <f t="shared" si="90"/>
        <v>4595891.9963342166</v>
      </c>
      <c r="E149" s="561">
        <f t="shared" si="91"/>
        <v>10657627.982911902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409">
        <v>0.7</v>
      </c>
      <c r="B150" s="410">
        <f t="shared" si="88"/>
        <v>22874040</v>
      </c>
      <c r="C150" s="410">
        <f t="shared" si="89"/>
        <v>6061735.986577685</v>
      </c>
      <c r="D150" s="410">
        <f t="shared" si="90"/>
        <v>5361873.9957232531</v>
      </c>
      <c r="E150" s="561">
        <f t="shared" si="91"/>
        <v>11423609.982300937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>
      <c r="A151" s="409">
        <v>0.8</v>
      </c>
      <c r="B151" s="410">
        <f t="shared" si="88"/>
        <v>26141760</v>
      </c>
      <c r="C151" s="410">
        <f t="shared" si="89"/>
        <v>6061735.986577685</v>
      </c>
      <c r="D151" s="410">
        <f t="shared" si="90"/>
        <v>6127855.9951122897</v>
      </c>
      <c r="E151" s="561">
        <f t="shared" si="91"/>
        <v>12189591.981689975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>
      <c r="A152" s="409">
        <v>0.9</v>
      </c>
      <c r="B152" s="410">
        <f t="shared" si="88"/>
        <v>29409480</v>
      </c>
      <c r="C152" s="410">
        <f t="shared" si="89"/>
        <v>6061735.986577685</v>
      </c>
      <c r="D152" s="410">
        <f t="shared" si="90"/>
        <v>6893837.9945013262</v>
      </c>
      <c r="E152" s="561">
        <f t="shared" si="91"/>
        <v>12955573.981079012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>
      <c r="A153" s="412">
        <v>1</v>
      </c>
      <c r="B153" s="410">
        <f t="shared" si="88"/>
        <v>32677200</v>
      </c>
      <c r="C153" s="410">
        <f t="shared" si="89"/>
        <v>6061735.986577685</v>
      </c>
      <c r="D153" s="410">
        <f t="shared" si="90"/>
        <v>7659819.9938903619</v>
      </c>
      <c r="E153" s="561">
        <f t="shared" si="91"/>
        <v>13721555.980468046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>
      <c r="A154" s="196"/>
      <c r="B154" s="196"/>
      <c r="C154" s="196"/>
      <c r="D154" s="196"/>
      <c r="E154" s="19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>
      <c r="A155" s="405" t="s">
        <v>20</v>
      </c>
      <c r="B155" s="406"/>
      <c r="C155" s="406"/>
      <c r="D155" s="406"/>
      <c r="E155" s="40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>
      <c r="A156" s="357" t="s">
        <v>523</v>
      </c>
      <c r="B156" s="354" t="s">
        <v>524</v>
      </c>
      <c r="C156" s="354" t="s">
        <v>525</v>
      </c>
      <c r="D156" s="354" t="s">
        <v>526</v>
      </c>
      <c r="E156" s="408" t="s">
        <v>527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>
      <c r="A157" s="409">
        <v>0.1</v>
      </c>
      <c r="B157" s="410">
        <f t="shared" ref="B157:B166" si="92">A157*$B$91</f>
        <v>2698425.6</v>
      </c>
      <c r="C157" s="413">
        <f t="shared" ref="C157:C166" si="93">$B$131+$B$133+$B$135</f>
        <v>5362183.3169164751</v>
      </c>
      <c r="D157" s="414">
        <f t="shared" ref="D157:D166" si="94">($B$132+$B$134+$B$136)*A157</f>
        <v>639802.60859596205</v>
      </c>
      <c r="E157" s="415">
        <f t="shared" ref="E157:E166" si="95">D157+C157</f>
        <v>6001985.9255124368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>
      <c r="A158" s="409">
        <v>0.2</v>
      </c>
      <c r="B158" s="410">
        <f t="shared" si="92"/>
        <v>5396851.2000000002</v>
      </c>
      <c r="C158" s="413">
        <f t="shared" si="93"/>
        <v>5362183.3169164751</v>
      </c>
      <c r="D158" s="414">
        <f t="shared" si="94"/>
        <v>1279605.2171919241</v>
      </c>
      <c r="E158" s="415">
        <f t="shared" si="95"/>
        <v>6641788.5341083994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>
      <c r="A159" s="409">
        <v>0.3</v>
      </c>
      <c r="B159" s="410">
        <f t="shared" si="92"/>
        <v>8095276.7999999998</v>
      </c>
      <c r="C159" s="413">
        <f t="shared" si="93"/>
        <v>5362183.3169164751</v>
      </c>
      <c r="D159" s="414">
        <f t="shared" si="94"/>
        <v>1919407.8257878858</v>
      </c>
      <c r="E159" s="415">
        <f t="shared" si="95"/>
        <v>7281591.1427043611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>
      <c r="A160" s="409">
        <v>0.4</v>
      </c>
      <c r="B160" s="410">
        <f t="shared" si="92"/>
        <v>10793702.4</v>
      </c>
      <c r="C160" s="413">
        <f t="shared" si="93"/>
        <v>5362183.3169164751</v>
      </c>
      <c r="D160" s="414">
        <f t="shared" si="94"/>
        <v>2559210.4343838482</v>
      </c>
      <c r="E160" s="415">
        <f t="shared" si="95"/>
        <v>7921393.7513003238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>
      <c r="A161" s="409">
        <v>0.5</v>
      </c>
      <c r="B161" s="410">
        <f t="shared" si="92"/>
        <v>13492128</v>
      </c>
      <c r="C161" s="413">
        <f t="shared" si="93"/>
        <v>5362183.3169164751</v>
      </c>
      <c r="D161" s="414">
        <f t="shared" si="94"/>
        <v>3199013.0429798099</v>
      </c>
      <c r="E161" s="415">
        <f t="shared" si="95"/>
        <v>8561196.3598962855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>
      <c r="A162" s="409">
        <v>0.6</v>
      </c>
      <c r="B162" s="410">
        <f t="shared" si="92"/>
        <v>16190553.6</v>
      </c>
      <c r="C162" s="413">
        <f t="shared" si="93"/>
        <v>5362183.3169164751</v>
      </c>
      <c r="D162" s="414">
        <f t="shared" si="94"/>
        <v>3838815.6515757716</v>
      </c>
      <c r="E162" s="415">
        <f t="shared" si="95"/>
        <v>9200998.9684922472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>
      <c r="A163" s="409">
        <v>0.7</v>
      </c>
      <c r="B163" s="410">
        <f t="shared" si="92"/>
        <v>18888979.199999999</v>
      </c>
      <c r="C163" s="413">
        <f t="shared" si="93"/>
        <v>5362183.3169164751</v>
      </c>
      <c r="D163" s="414">
        <f t="shared" si="94"/>
        <v>4478618.2601717338</v>
      </c>
      <c r="E163" s="415">
        <f t="shared" si="95"/>
        <v>9840801.5770882089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>
      <c r="A164" s="409">
        <v>0.8</v>
      </c>
      <c r="B164" s="410">
        <f t="shared" si="92"/>
        <v>21587404.800000001</v>
      </c>
      <c r="C164" s="413">
        <f t="shared" si="93"/>
        <v>5362183.3169164751</v>
      </c>
      <c r="D164" s="414">
        <f t="shared" si="94"/>
        <v>5118420.8687676964</v>
      </c>
      <c r="E164" s="415">
        <f t="shared" si="95"/>
        <v>10480604.185684171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>
      <c r="A165" s="409">
        <v>0.9</v>
      </c>
      <c r="B165" s="410">
        <f t="shared" si="92"/>
        <v>24285830.400000002</v>
      </c>
      <c r="C165" s="413">
        <f t="shared" si="93"/>
        <v>5362183.3169164751</v>
      </c>
      <c r="D165" s="414">
        <f t="shared" si="94"/>
        <v>5758223.4773636581</v>
      </c>
      <c r="E165" s="415">
        <f t="shared" si="95"/>
        <v>11120406.794280134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>
      <c r="A166" s="412">
        <v>1</v>
      </c>
      <c r="B166" s="410">
        <f t="shared" si="92"/>
        <v>26984256</v>
      </c>
      <c r="C166" s="413">
        <f t="shared" si="93"/>
        <v>5362183.3169164751</v>
      </c>
      <c r="D166" s="414">
        <f t="shared" si="94"/>
        <v>6398026.0859596198</v>
      </c>
      <c r="E166" s="415">
        <f t="shared" si="95"/>
        <v>11760209.402876094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>
      <c r="A171" s="3"/>
      <c r="B171" s="3"/>
      <c r="C171" s="3"/>
      <c r="D171" s="3"/>
      <c r="E171" s="3"/>
      <c r="F171" s="36" t="s">
        <v>528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2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2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12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12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</sheetData>
  <mergeCells count="61">
    <mergeCell ref="Q126:R126"/>
    <mergeCell ref="Q127:R127"/>
    <mergeCell ref="J125:K125"/>
    <mergeCell ref="L125:M125"/>
    <mergeCell ref="J117:L117"/>
    <mergeCell ref="Q125:R125"/>
    <mergeCell ref="T102:T103"/>
    <mergeCell ref="U102:U103"/>
    <mergeCell ref="S85:T85"/>
    <mergeCell ref="Q123:S123"/>
    <mergeCell ref="Q124:R124"/>
    <mergeCell ref="Q113:R113"/>
    <mergeCell ref="Q114:R114"/>
    <mergeCell ref="N102:N103"/>
    <mergeCell ref="M102:M103"/>
    <mergeCell ref="Q102:Q103"/>
    <mergeCell ref="R102:R103"/>
    <mergeCell ref="S102:S103"/>
    <mergeCell ref="J121:K121"/>
    <mergeCell ref="K31:M31"/>
    <mergeCell ref="K32:M32"/>
    <mergeCell ref="J102:J103"/>
    <mergeCell ref="K102:K103"/>
    <mergeCell ref="L102:L103"/>
    <mergeCell ref="Q112:U112"/>
    <mergeCell ref="J111:M111"/>
    <mergeCell ref="J118:K118"/>
    <mergeCell ref="J119:K119"/>
    <mergeCell ref="J120:K120"/>
    <mergeCell ref="W79:X79"/>
    <mergeCell ref="W80:X80"/>
    <mergeCell ref="S81:U81"/>
    <mergeCell ref="W81:X81"/>
    <mergeCell ref="W83:X83"/>
    <mergeCell ref="S83:T83"/>
    <mergeCell ref="W82:X82"/>
    <mergeCell ref="W85:X85"/>
    <mergeCell ref="W86:X86"/>
    <mergeCell ref="W87:X87"/>
    <mergeCell ref="W84:X84"/>
    <mergeCell ref="S84:U84"/>
    <mergeCell ref="K30:M30"/>
    <mergeCell ref="K13:L13"/>
    <mergeCell ref="K12:L12"/>
    <mergeCell ref="K15:O15"/>
    <mergeCell ref="L28:M28"/>
    <mergeCell ref="K22:O22"/>
    <mergeCell ref="K24:M24"/>
    <mergeCell ref="N1:S1"/>
    <mergeCell ref="P8:Q8"/>
    <mergeCell ref="K6:N6"/>
    <mergeCell ref="K8:L8"/>
    <mergeCell ref="K9:L9"/>
    <mergeCell ref="K26:N26"/>
    <mergeCell ref="K25:N25"/>
    <mergeCell ref="K19:M19"/>
    <mergeCell ref="K20:M20"/>
    <mergeCell ref="P7:Q7"/>
    <mergeCell ref="K17:M17"/>
    <mergeCell ref="K18:M18"/>
    <mergeCell ref="K11:L11"/>
  </mergeCells>
  <hyperlinks>
    <hyperlink ref="U7" r:id="rId1"/>
  </hyperlinks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4" workbookViewId="0">
      <selection activeCell="A68" sqref="A68"/>
    </sheetView>
  </sheetViews>
  <sheetFormatPr baseColWidth="10" defaultColWidth="14.42578125" defaultRowHeight="15" customHeight="1"/>
  <cols>
    <col min="1" max="1" width="45.42578125" customWidth="1"/>
    <col min="2" max="7" width="14.7109375" customWidth="1"/>
    <col min="8" max="9" width="9" customWidth="1"/>
    <col min="10" max="10" width="20.28515625" customWidth="1"/>
    <col min="11" max="15" width="12" customWidth="1"/>
    <col min="16" max="26" width="9" customWidth="1"/>
  </cols>
  <sheetData>
    <row r="1" spans="1:26" ht="14.25" customHeight="1">
      <c r="A1" s="1" t="s">
        <v>0</v>
      </c>
      <c r="E1" s="2">
        <f>InfoInicial!E1</f>
        <v>5</v>
      </c>
      <c r="F1" s="3"/>
      <c r="G1" s="3"/>
      <c r="H1" s="3"/>
      <c r="I1" s="3"/>
      <c r="J1" s="36"/>
      <c r="K1" s="51"/>
      <c r="L1" s="53"/>
      <c r="M1" s="54"/>
      <c r="N1" s="5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55" t="s">
        <v>146</v>
      </c>
      <c r="B3" s="56"/>
      <c r="C3" s="56"/>
      <c r="D3" s="56"/>
      <c r="E3" s="56"/>
      <c r="F3" s="56"/>
      <c r="G3" s="57"/>
      <c r="H3" s="3"/>
      <c r="I3" s="59" t="s">
        <v>152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61" t="s">
        <v>153</v>
      </c>
      <c r="B4" s="16" t="s">
        <v>19</v>
      </c>
      <c r="C4" s="16" t="s">
        <v>20</v>
      </c>
      <c r="D4" s="16" t="s">
        <v>156</v>
      </c>
      <c r="E4" s="16" t="s">
        <v>157</v>
      </c>
      <c r="F4" s="16" t="s">
        <v>158</v>
      </c>
      <c r="G4" s="17" t="s">
        <v>159</v>
      </c>
      <c r="H4" s="3"/>
      <c r="I4" s="59" t="s">
        <v>160</v>
      </c>
      <c r="J4" s="44">
        <v>0.02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64" t="s">
        <v>161</v>
      </c>
      <c r="B5" s="66"/>
      <c r="C5" s="66"/>
      <c r="D5" s="66"/>
      <c r="E5" s="66"/>
      <c r="F5" s="66"/>
      <c r="G5" s="68"/>
      <c r="H5" s="3"/>
      <c r="I5" s="36" t="s">
        <v>167</v>
      </c>
      <c r="J5" s="44">
        <v>0.8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64" t="s">
        <v>168</v>
      </c>
      <c r="B6" s="70">
        <f>J5*C6</f>
        <v>522835.20000000001</v>
      </c>
      <c r="C6" s="70">
        <f>J4*'E-Costos'!C91</f>
        <v>653544</v>
      </c>
      <c r="D6" s="70">
        <f>J4*'E-Costos'!C91</f>
        <v>653544</v>
      </c>
      <c r="E6" s="70">
        <f>J4*'E-Costos'!D91</f>
        <v>653544</v>
      </c>
      <c r="F6" s="70">
        <f>J4*'E-Costos'!E91</f>
        <v>653544</v>
      </c>
      <c r="G6" s="70">
        <f>J4*'E-Costos'!F91</f>
        <v>653544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64" t="s">
        <v>176</v>
      </c>
      <c r="B7" s="70"/>
      <c r="C7" s="70">
        <f>'E-Costos'!B91*(30/365)</f>
        <v>2217884.0547945206</v>
      </c>
      <c r="D7" s="70">
        <f>'E-Costos'!C91*(30/365)</f>
        <v>2685797.2602739725</v>
      </c>
      <c r="E7" s="70">
        <f>'E-Costos'!D91*(30/365)</f>
        <v>2685797.2602739725</v>
      </c>
      <c r="F7" s="70">
        <f>'E-Costos'!E91*(30/365)</f>
        <v>2685797.2602739725</v>
      </c>
      <c r="G7" s="70">
        <f>'E-Costos'!F91*(30/365)</f>
        <v>2685797.2602739725</v>
      </c>
      <c r="H7" s="3"/>
      <c r="I7" s="76"/>
      <c r="J7" s="3"/>
      <c r="K7" s="3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78"/>
      <c r="B8" s="70"/>
      <c r="C8" s="70"/>
      <c r="D8" s="70"/>
      <c r="E8" s="70"/>
      <c r="F8" s="70"/>
      <c r="G8" s="80"/>
      <c r="H8" s="3"/>
      <c r="I8" s="3"/>
      <c r="J8" s="36"/>
      <c r="K8" s="3"/>
      <c r="L8" s="3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64" t="s">
        <v>181</v>
      </c>
      <c r="B9" s="70">
        <f t="shared" ref="B9:G9" si="0">SUM(B10:B13)</f>
        <v>626652.66067079885</v>
      </c>
      <c r="C9" s="70">
        <f t="shared" si="0"/>
        <v>390742.29561121343</v>
      </c>
      <c r="D9" s="70">
        <f t="shared" si="0"/>
        <v>390586.58163567371</v>
      </c>
      <c r="E9" s="70">
        <f t="shared" si="0"/>
        <v>390586.58163567371</v>
      </c>
      <c r="F9" s="70">
        <f t="shared" si="0"/>
        <v>390570.14944422978</v>
      </c>
      <c r="G9" s="70">
        <f t="shared" si="0"/>
        <v>390570.14944422978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78" t="s">
        <v>183</v>
      </c>
      <c r="B10" s="70">
        <f>'E-Costos'!W86*'E-Costos'!T7</f>
        <v>572177.06000000006</v>
      </c>
      <c r="C10" s="70">
        <f>'E-Costos'!Y86*'E-Costos'!T7</f>
        <v>228906.26199999999</v>
      </c>
      <c r="D10" s="70">
        <f t="shared" ref="D10:G10" si="1">C10</f>
        <v>228906.26199999999</v>
      </c>
      <c r="E10" s="70">
        <f t="shared" si="1"/>
        <v>228906.26199999999</v>
      </c>
      <c r="F10" s="70">
        <f t="shared" si="1"/>
        <v>228906.26199999999</v>
      </c>
      <c r="G10" s="80">
        <f t="shared" si="1"/>
        <v>228906.26199999999</v>
      </c>
      <c r="H10" s="3"/>
      <c r="I10" s="59"/>
      <c r="J10" s="3"/>
      <c r="K10" s="3"/>
      <c r="L10" s="41"/>
      <c r="M10" s="87"/>
      <c r="N10" s="41"/>
      <c r="O10" s="88"/>
      <c r="P10" s="36"/>
      <c r="Q10" s="89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78" t="s">
        <v>191</v>
      </c>
      <c r="B11" s="70">
        <f>0.8*C11</f>
        <v>54475.600670798791</v>
      </c>
      <c r="C11" s="92">
        <f>('E-Costos'!B13*6/12)+('E-Costos'!B56*1/12)+('E-Costos'!B74*1/12)</f>
        <v>68094.500838498483</v>
      </c>
      <c r="D11" s="70">
        <f t="shared" ref="D11:G11" si="2">C11</f>
        <v>68094.500838498483</v>
      </c>
      <c r="E11" s="70">
        <f t="shared" si="2"/>
        <v>68094.500838498483</v>
      </c>
      <c r="F11" s="70">
        <f t="shared" si="2"/>
        <v>68094.500838498483</v>
      </c>
      <c r="G11" s="80">
        <f t="shared" si="2"/>
        <v>68094.500838498483</v>
      </c>
      <c r="H11" s="3"/>
      <c r="I11" s="3"/>
      <c r="J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78" t="s">
        <v>193</v>
      </c>
      <c r="B12" s="94">
        <v>0</v>
      </c>
      <c r="C12" s="96">
        <f>'E-Costos'!B36</f>
        <v>18869.592772714957</v>
      </c>
      <c r="D12" s="70">
        <f>'E-Costos'!C36</f>
        <v>18713.878797175261</v>
      </c>
      <c r="E12" s="96">
        <f>'E-Costos'!D36</f>
        <v>18713.878797175261</v>
      </c>
      <c r="F12" s="96">
        <f>'E-Costos'!E36</f>
        <v>18697.446605731333</v>
      </c>
      <c r="G12" s="96">
        <f>'E-Costos'!F36</f>
        <v>18697.446605731333</v>
      </c>
      <c r="H12" s="3"/>
      <c r="I12" s="3"/>
      <c r="J12" s="3"/>
      <c r="K12" s="36"/>
      <c r="L12" s="14"/>
      <c r="M12" s="36"/>
      <c r="N12" s="1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78" t="s">
        <v>194</v>
      </c>
      <c r="B13" s="94">
        <v>0</v>
      </c>
      <c r="C13" s="96">
        <f>'E-Costos'!T7*'E-Costos'!Y81</f>
        <v>74871.94</v>
      </c>
      <c r="D13" s="96">
        <f t="shared" ref="D13:G13" si="3">C13</f>
        <v>74871.94</v>
      </c>
      <c r="E13" s="96">
        <f t="shared" si="3"/>
        <v>74871.94</v>
      </c>
      <c r="F13" s="96">
        <f t="shared" si="3"/>
        <v>74871.94</v>
      </c>
      <c r="G13" s="98">
        <f t="shared" si="3"/>
        <v>74871.94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78"/>
      <c r="B14" s="70"/>
      <c r="C14" s="70"/>
      <c r="D14" s="70"/>
      <c r="E14" s="70"/>
      <c r="F14" s="70"/>
      <c r="G14" s="80"/>
      <c r="H14" s="3"/>
      <c r="I14" s="5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64" t="s">
        <v>196</v>
      </c>
      <c r="B15" s="70">
        <f t="shared" ref="B15:G15" si="4">SUM(B6,B7,B9)</f>
        <v>1149487.8606707989</v>
      </c>
      <c r="C15" s="70">
        <f t="shared" si="4"/>
        <v>3262170.350405734</v>
      </c>
      <c r="D15" s="70">
        <f t="shared" si="4"/>
        <v>3729927.8419096461</v>
      </c>
      <c r="E15" s="70">
        <f t="shared" si="4"/>
        <v>3729927.8419096461</v>
      </c>
      <c r="F15" s="70">
        <f t="shared" si="4"/>
        <v>3729911.4097182024</v>
      </c>
      <c r="G15" s="70">
        <f t="shared" si="4"/>
        <v>3729911.4097182024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64" t="s">
        <v>197</v>
      </c>
      <c r="B16" s="70"/>
      <c r="C16" s="70"/>
      <c r="D16" s="70"/>
      <c r="E16" s="70"/>
      <c r="F16" s="70"/>
      <c r="G16" s="8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78" t="s">
        <v>198</v>
      </c>
      <c r="B17" s="94" t="s">
        <v>199</v>
      </c>
      <c r="C17" s="70">
        <f>'E-Costos'!B29</f>
        <v>617.74382870611146</v>
      </c>
      <c r="D17" s="70">
        <f>'E-Costos'!C29</f>
        <v>515.68170916007512</v>
      </c>
      <c r="E17" s="70">
        <f>'E-Costos'!D29</f>
        <v>515.68170916007512</v>
      </c>
      <c r="F17" s="70">
        <f>'E-Costos'!E29</f>
        <v>499.95712404627096</v>
      </c>
      <c r="G17" s="70">
        <f>'E-Costos'!F29</f>
        <v>499.95712404627096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78" t="s">
        <v>200</v>
      </c>
      <c r="B18" s="94" t="s">
        <v>199</v>
      </c>
      <c r="C18" s="103">
        <f>(('E-Costos'!B11-'E-Costos'!B29)/'E-Costos'!M12)*'E-Costos'!Y81</f>
        <v>13048.752261804806</v>
      </c>
      <c r="D18" s="70">
        <f>('E-Costos'!C11-'E-Costos'!C29+'E-Costos'!B29)/'E-Costos'!N31*'E-Costos'!Z81</f>
        <v>10909.065132330899</v>
      </c>
      <c r="E18" s="92">
        <f>('E-Costos'!D11-'E-Costos'!D29+'E-Costos'!C29)/'E-Costos'!N31*'E-Costos'!Z81</f>
        <v>10906.768725271084</v>
      </c>
      <c r="F18" s="92">
        <f>('E-Costos'!E11-'E-Costos'!E29+'E-Costos'!D29)/'E-Costos'!N31*'E-Costos'!Z81</f>
        <v>10574.544487861485</v>
      </c>
      <c r="G18" s="80">
        <f>('E-Costos'!F11-'E-Costos'!E29+'E-Costos'!D29)/'E-Costos'!N31*'E-Costos'!Z81</f>
        <v>10574.544487861485</v>
      </c>
      <c r="H18" s="3"/>
      <c r="I18" s="5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78" t="s">
        <v>202</v>
      </c>
      <c r="B19" s="94" t="s">
        <v>199</v>
      </c>
      <c r="C19" s="70">
        <f>C7*'E-Costos'!B124</f>
        <v>747216.05066477484</v>
      </c>
      <c r="D19" s="70">
        <f>D7*'E-Costos'!C124</f>
        <v>928647.9197845076</v>
      </c>
      <c r="E19" s="70">
        <f>E7*'E-Costos'!D124</f>
        <v>928655.46630207216</v>
      </c>
      <c r="F19" s="70">
        <f>F7*'E-Costos'!E124</f>
        <v>929478.79982045619</v>
      </c>
      <c r="G19" s="70">
        <f>G7*'E-Costos'!F124</f>
        <v>929479.59618970274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78" t="s">
        <v>204</v>
      </c>
      <c r="B20" s="94" t="s">
        <v>199</v>
      </c>
      <c r="C20" s="70">
        <f>('E-Inv AF y Am'!D56-C17-C18)/365*30</f>
        <v>43010.53275716459</v>
      </c>
      <c r="D20" s="94">
        <f>('E-Inv AF y Am'!D56-D17-D18)/365*30</f>
        <v>43194.786120097735</v>
      </c>
      <c r="E20" s="70">
        <f>('E-Inv AF y Am'!D56-E17-E18)/365*30</f>
        <v>43194.974865883465</v>
      </c>
      <c r="F20" s="70">
        <f>('E-Inv AF y Am'!E56-F17-F18)/365*30</f>
        <v>42008.681399241555</v>
      </c>
      <c r="G20" s="80">
        <f>('E-Inv AF y Am'!E56-G17-G18)/365*30</f>
        <v>42008.681399241555</v>
      </c>
      <c r="H20" s="3"/>
      <c r="I20" s="5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8"/>
      <c r="B21" s="70"/>
      <c r="C21" s="70"/>
      <c r="D21" s="70"/>
      <c r="E21" s="70"/>
      <c r="F21" s="70"/>
      <c r="G21" s="8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64" t="s">
        <v>205</v>
      </c>
      <c r="B22" s="70">
        <f t="shared" ref="B22:G22" si="5">B15-SUM(B17:B20)</f>
        <v>1149487.8606707989</v>
      </c>
      <c r="C22" s="70">
        <f t="shared" si="5"/>
        <v>2458277.2708932837</v>
      </c>
      <c r="D22" s="70">
        <f t="shared" si="5"/>
        <v>2746660.38916355</v>
      </c>
      <c r="E22" s="70">
        <f t="shared" si="5"/>
        <v>2746654.9503072593</v>
      </c>
      <c r="F22" s="70">
        <f t="shared" si="5"/>
        <v>2747349.4268865967</v>
      </c>
      <c r="G22" s="70">
        <f t="shared" si="5"/>
        <v>2747348.6305173505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78"/>
      <c r="B23" s="70"/>
      <c r="C23" s="70"/>
      <c r="D23" s="70"/>
      <c r="E23" s="70"/>
      <c r="F23" s="70"/>
      <c r="G23" s="8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64" t="s">
        <v>206</v>
      </c>
      <c r="B24" s="70">
        <f>B15</f>
        <v>1149487.8606707989</v>
      </c>
      <c r="C24" s="70">
        <f t="shared" ref="C24:G24" si="6">C15-B15</f>
        <v>2112682.4897349351</v>
      </c>
      <c r="D24" s="70">
        <f t="shared" si="6"/>
        <v>467757.49150391202</v>
      </c>
      <c r="E24" s="70">
        <f t="shared" si="6"/>
        <v>0</v>
      </c>
      <c r="F24" s="70">
        <f t="shared" si="6"/>
        <v>-16.432191443629563</v>
      </c>
      <c r="G24" s="70">
        <f t="shared" si="6"/>
        <v>0</v>
      </c>
      <c r="H24" s="3"/>
      <c r="I24" s="3"/>
      <c r="J24" s="544" t="s">
        <v>207</v>
      </c>
      <c r="K24" s="545" t="s">
        <v>20</v>
      </c>
      <c r="L24" s="545" t="s">
        <v>156</v>
      </c>
      <c r="M24" s="545" t="s">
        <v>157</v>
      </c>
      <c r="N24" s="545" t="s">
        <v>158</v>
      </c>
      <c r="O24" s="545" t="s">
        <v>159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64" t="s">
        <v>208</v>
      </c>
      <c r="B25" s="70">
        <f>B22</f>
        <v>1149487.8606707989</v>
      </c>
      <c r="C25" s="70">
        <f t="shared" ref="C25:G25" si="7">C22-B22</f>
        <v>1308789.4102224847</v>
      </c>
      <c r="D25" s="70">
        <f t="shared" si="7"/>
        <v>288383.11827026634</v>
      </c>
      <c r="E25" s="70">
        <f t="shared" si="7"/>
        <v>-5.438856290653348</v>
      </c>
      <c r="F25" s="70">
        <f t="shared" si="7"/>
        <v>694.47657933738083</v>
      </c>
      <c r="G25" s="70">
        <f t="shared" si="7"/>
        <v>-0.79636924620717764</v>
      </c>
      <c r="H25" s="3"/>
      <c r="I25" s="3"/>
      <c r="J25" s="545" t="s">
        <v>209</v>
      </c>
      <c r="K25" s="546">
        <f>0.21*'E-Costos'!B26</f>
        <v>2399.1147180000003</v>
      </c>
      <c r="L25" s="546">
        <f>0.21*'E-Costos'!C26</f>
        <v>2399.1147180000003</v>
      </c>
      <c r="M25" s="546">
        <f>0.21*'E-Costos'!D26</f>
        <v>2399.1147180000003</v>
      </c>
      <c r="N25" s="546">
        <f>0.21*'E-Costos'!E26</f>
        <v>2399.1147180000003</v>
      </c>
      <c r="O25" s="546">
        <f>0.21*'E-Costos'!F26</f>
        <v>2399.1147180000003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78"/>
      <c r="B26" s="70"/>
      <c r="C26" s="70"/>
      <c r="D26" s="70"/>
      <c r="E26" s="70"/>
      <c r="F26" s="70"/>
      <c r="G26" s="80"/>
      <c r="H26" s="3"/>
      <c r="I26" s="3"/>
      <c r="J26" s="545" t="s">
        <v>210</v>
      </c>
      <c r="K26" s="546">
        <f>0.21*'E-Costos'!B31</f>
        <v>15.356133175152456</v>
      </c>
      <c r="L26" s="546">
        <f>0.21*'E-Costos'!C31</f>
        <v>17.062370194613841</v>
      </c>
      <c r="M26" s="546">
        <f>0.21*'E-Costos'!D31</f>
        <v>17.062370194613841</v>
      </c>
      <c r="N26" s="546">
        <f>0.21*'E-Costos'!E31</f>
        <v>17.062370194613841</v>
      </c>
      <c r="O26" s="546">
        <f>0.21*'E-Costos'!F31</f>
        <v>17.062370194613841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64" t="s">
        <v>211</v>
      </c>
      <c r="B27" s="70"/>
      <c r="C27" s="70"/>
      <c r="D27" s="70"/>
      <c r="E27" s="70"/>
      <c r="F27" s="70"/>
      <c r="G27" s="80"/>
      <c r="H27" s="3"/>
      <c r="I27" s="3"/>
      <c r="J27" s="545" t="s">
        <v>212</v>
      </c>
      <c r="K27" s="546">
        <f>0.21*'E-Costos'!B14</f>
        <v>16972.436879999997</v>
      </c>
      <c r="L27" s="546">
        <f>0.21*'E-Costos'!C14</f>
        <v>19967.572799999998</v>
      </c>
      <c r="M27" s="546">
        <f>0.21*'E-Costos'!D14</f>
        <v>19967.572799999998</v>
      </c>
      <c r="N27" s="546">
        <f>0.21*'E-Costos'!E14</f>
        <v>19967.572799999998</v>
      </c>
      <c r="O27" s="546">
        <f>0.21*'E-Costos'!F14</f>
        <v>19967.572799999998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78" t="s">
        <v>213</v>
      </c>
      <c r="B28" s="70"/>
      <c r="C28" s="70"/>
      <c r="D28" s="70"/>
      <c r="E28" s="70"/>
      <c r="F28" s="70"/>
      <c r="G28" s="80"/>
      <c r="H28" s="3"/>
      <c r="I28" s="3"/>
      <c r="J28" s="545" t="s">
        <v>214</v>
      </c>
      <c r="K28" s="546">
        <f>0.21*'E-Costos'!B33</f>
        <v>11.838577433072599</v>
      </c>
      <c r="L28" s="546">
        <f>0.21*'E-Costos'!C33</f>
        <v>11.838577433072599</v>
      </c>
      <c r="M28" s="546">
        <f>0.21*'E-Costos'!D33</f>
        <v>11.838577433072599</v>
      </c>
      <c r="N28" s="546">
        <f>0.21*'E-Costos'!E33</f>
        <v>11.838577433072599</v>
      </c>
      <c r="O28" s="546">
        <f>0.21*'E-Costos'!F33</f>
        <v>11.838577433072599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78" t="s">
        <v>216</v>
      </c>
      <c r="B29" s="70"/>
      <c r="C29" s="70"/>
      <c r="D29" s="70"/>
      <c r="E29" s="70"/>
      <c r="F29" s="70"/>
      <c r="G29" s="80"/>
      <c r="H29" s="3"/>
      <c r="I29" s="3"/>
      <c r="J29" s="545"/>
      <c r="K29" s="545"/>
      <c r="L29" s="545"/>
      <c r="M29" s="545"/>
      <c r="N29" s="545"/>
      <c r="O29" s="54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78" t="s">
        <v>217</v>
      </c>
      <c r="B30" s="70">
        <f t="shared" ref="B30:B31" si="8">0.21*B10</f>
        <v>120157.1826</v>
      </c>
      <c r="C30" s="70">
        <f>(0.21*C10-B30)</f>
        <v>-72086.867580000006</v>
      </c>
      <c r="D30" s="70">
        <f t="shared" ref="D30:G30" si="9">(0.21*D10-0.21*C10)</f>
        <v>0</v>
      </c>
      <c r="E30" s="70">
        <f t="shared" si="9"/>
        <v>0</v>
      </c>
      <c r="F30" s="70">
        <f t="shared" si="9"/>
        <v>0</v>
      </c>
      <c r="G30" s="70">
        <f t="shared" si="9"/>
        <v>0</v>
      </c>
      <c r="H30" s="3"/>
      <c r="I30" s="3"/>
      <c r="J30" s="545" t="s">
        <v>192</v>
      </c>
      <c r="K30" s="546">
        <f t="shared" ref="K30:O30" si="10">SUM(K25:K28)</f>
        <v>19398.746308608221</v>
      </c>
      <c r="L30" s="546">
        <f t="shared" si="10"/>
        <v>22395.588465627683</v>
      </c>
      <c r="M30" s="546">
        <f t="shared" si="10"/>
        <v>22395.588465627683</v>
      </c>
      <c r="N30" s="546">
        <f t="shared" si="10"/>
        <v>22395.588465627683</v>
      </c>
      <c r="O30" s="546">
        <f t="shared" si="10"/>
        <v>22395.588465627683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78" t="s">
        <v>223</v>
      </c>
      <c r="B31" s="70">
        <f t="shared" si="8"/>
        <v>11439.876140867746</v>
      </c>
      <c r="C31" s="70">
        <f t="shared" ref="C31:G31" si="11">(0.21*C11-0.21*B11)</f>
        <v>2859.9690352169346</v>
      </c>
      <c r="D31" s="70">
        <f t="shared" si="11"/>
        <v>0</v>
      </c>
      <c r="E31" s="70">
        <f t="shared" si="11"/>
        <v>0</v>
      </c>
      <c r="F31" s="70">
        <f t="shared" si="11"/>
        <v>0</v>
      </c>
      <c r="G31" s="70">
        <f t="shared" si="11"/>
        <v>0</v>
      </c>
      <c r="H31" s="3"/>
      <c r="I31" s="3"/>
      <c r="J31" s="545" t="s">
        <v>228</v>
      </c>
      <c r="K31" s="546">
        <f>K30</f>
        <v>19398.746308608221</v>
      </c>
      <c r="L31" s="546">
        <f t="shared" ref="L31:O31" si="12">L30-K30</f>
        <v>2996.8421570194623</v>
      </c>
      <c r="M31" s="546">
        <f t="shared" si="12"/>
        <v>0</v>
      </c>
      <c r="N31" s="546">
        <f t="shared" si="12"/>
        <v>0</v>
      </c>
      <c r="O31" s="546">
        <f t="shared" si="12"/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78" t="s">
        <v>229</v>
      </c>
      <c r="B32" s="94" t="s">
        <v>199</v>
      </c>
      <c r="C32" s="70">
        <f t="shared" ref="C32:G32" si="13">K31</f>
        <v>19398.746308608221</v>
      </c>
      <c r="D32" s="70">
        <f t="shared" si="13"/>
        <v>2996.8421570194623</v>
      </c>
      <c r="E32" s="70">
        <f t="shared" si="13"/>
        <v>0</v>
      </c>
      <c r="F32" s="70">
        <f t="shared" si="13"/>
        <v>0</v>
      </c>
      <c r="G32" s="70">
        <f t="shared" si="13"/>
        <v>0</v>
      </c>
      <c r="H32" s="3"/>
      <c r="I32" s="3"/>
      <c r="J32" s="547"/>
      <c r="K32" s="547"/>
      <c r="L32" s="547"/>
      <c r="M32" s="547"/>
      <c r="N32" s="547"/>
      <c r="O32" s="54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78" t="s">
        <v>231</v>
      </c>
      <c r="B33" s="121" t="s">
        <v>199</v>
      </c>
      <c r="C33" s="70">
        <f t="shared" ref="C33:G33" si="14">K40</f>
        <v>26311.948851006244</v>
      </c>
      <c r="D33" s="70">
        <f t="shared" si="14"/>
        <v>64.281281313826184</v>
      </c>
      <c r="E33" s="70">
        <f t="shared" si="14"/>
        <v>0</v>
      </c>
      <c r="F33" s="70">
        <f t="shared" si="14"/>
        <v>0</v>
      </c>
      <c r="G33" s="70">
        <f t="shared" si="14"/>
        <v>0</v>
      </c>
      <c r="H33" s="3"/>
      <c r="I33" s="3"/>
      <c r="J33" s="545" t="s">
        <v>232</v>
      </c>
      <c r="K33" s="545" t="s">
        <v>20</v>
      </c>
      <c r="L33" s="545" t="s">
        <v>156</v>
      </c>
      <c r="M33" s="545" t="s">
        <v>157</v>
      </c>
      <c r="N33" s="545" t="s">
        <v>158</v>
      </c>
      <c r="O33" s="545" t="s">
        <v>159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4" t="s">
        <v>234</v>
      </c>
      <c r="B34" s="70">
        <f t="shared" ref="B34:G34" si="15">SUM(B30:B33)</f>
        <v>131597.05874086774</v>
      </c>
      <c r="C34" s="70">
        <f t="shared" si="15"/>
        <v>-23516.203385168599</v>
      </c>
      <c r="D34" s="70">
        <f t="shared" si="15"/>
        <v>3061.1234383332885</v>
      </c>
      <c r="E34" s="70">
        <f t="shared" si="15"/>
        <v>0</v>
      </c>
      <c r="F34" s="70">
        <f t="shared" si="15"/>
        <v>0</v>
      </c>
      <c r="G34" s="70">
        <f t="shared" si="15"/>
        <v>0</v>
      </c>
      <c r="H34" s="3"/>
      <c r="I34" s="3"/>
      <c r="J34" s="545" t="s">
        <v>209</v>
      </c>
      <c r="K34" s="548">
        <f>(('E-Costos'!B7-'E-Costos'!B26-'E-Costos'!G26)/'E-Costos'!M12*'E-Costos'!Y81)*0.21</f>
        <v>25370.805754201589</v>
      </c>
      <c r="L34" s="548">
        <f>(('E-Costos'!C7-'E-Costos'!C26)/'E-Costos'!N31*'E-Costos'!Z81)*0.21</f>
        <v>25316.825452790741</v>
      </c>
      <c r="M34" s="548">
        <f>(('E-Costos'!D7-'E-Costos'!D26)/'E-Costos'!N31*'E-Costos'!Z81)*0.21</f>
        <v>25316.825452790741</v>
      </c>
      <c r="N34" s="548">
        <f>(('E-Costos'!E7-'E-Costos'!E26)/'E-Costos'!N31*'E-Costos'!Z81)*0.21</f>
        <v>25316.825452790741</v>
      </c>
      <c r="O34" s="548">
        <f>N34</f>
        <v>25316.825452790741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78"/>
      <c r="B35" s="130"/>
      <c r="C35" s="130"/>
      <c r="D35" s="130"/>
      <c r="E35" s="130"/>
      <c r="F35" s="130"/>
      <c r="G35" s="132"/>
      <c r="H35" s="3"/>
      <c r="I35" s="3"/>
      <c r="J35" s="545" t="s">
        <v>210</v>
      </c>
      <c r="K35" s="548">
        <f>(('E-Costos'!B13-'E-Costos'!B31-'E-Costos'!G31)/'E-Costos'!M12*'E-Costos'!Y81)*0.21</f>
        <v>324.78521165438605</v>
      </c>
      <c r="L35" s="548">
        <f>(('E-Costos'!C13-'E-Costos'!C31)/'E-Costos'!N31*'E-Costos'!Z81)*0.21</f>
        <v>360.48855249793621</v>
      </c>
      <c r="M35" s="548">
        <f t="shared" ref="M35:O35" si="16">L35</f>
        <v>360.48855249793621</v>
      </c>
      <c r="N35" s="548">
        <f t="shared" si="16"/>
        <v>360.48855249793621</v>
      </c>
      <c r="O35" s="548">
        <f t="shared" si="16"/>
        <v>360.48855249793621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35" t="s">
        <v>239</v>
      </c>
      <c r="B36" s="137">
        <f t="shared" ref="B36:G36" si="17">SUM(B25,B34)</f>
        <v>1281084.9194116667</v>
      </c>
      <c r="C36" s="137">
        <f t="shared" si="17"/>
        <v>1285273.206837316</v>
      </c>
      <c r="D36" s="137">
        <f t="shared" si="17"/>
        <v>291444.24170859961</v>
      </c>
      <c r="E36" s="137">
        <f t="shared" si="17"/>
        <v>-5.438856290653348</v>
      </c>
      <c r="F36" s="137">
        <f t="shared" si="17"/>
        <v>694.47657933738083</v>
      </c>
      <c r="G36" s="137">
        <f t="shared" si="17"/>
        <v>-0.79636924620717764</v>
      </c>
      <c r="H36" s="3"/>
      <c r="I36" s="3"/>
      <c r="J36" s="545" t="s">
        <v>212</v>
      </c>
      <c r="K36" s="548">
        <f>(('E-Costos'!B14-'E-Costos'!B32-'E-Costos'!G32)/'E-Costos'!M12*'E-Costos'!Y81)*0.21</f>
        <v>365.96966349113143</v>
      </c>
      <c r="L36" s="548">
        <f>(('E-Costos'!C14-'E-Costos'!C32)/'E-Costos'!N31*'E-Costos'!Z81)*0.21</f>
        <v>448.79427445136247</v>
      </c>
      <c r="M36" s="548">
        <f t="shared" ref="M36:O36" si="18">L36</f>
        <v>448.79427445136247</v>
      </c>
      <c r="N36" s="548">
        <f t="shared" si="18"/>
        <v>448.79427445136247</v>
      </c>
      <c r="O36" s="548">
        <f t="shared" si="18"/>
        <v>448.79427445136247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545" t="s">
        <v>214</v>
      </c>
      <c r="K37" s="548">
        <f>(('E-Costos'!B15-'E-Costos'!B33-'E-Costos'!G33)/'E-Costos'!M12*'E-Costos'!Y81)*0.21</f>
        <v>250.38822165913842</v>
      </c>
      <c r="L37" s="548">
        <f>(('E-Costos'!C15-'E-Costos'!C33)/'E-Costos'!N31*'E-Costos'!Z81)*0.21</f>
        <v>250.12185258002845</v>
      </c>
      <c r="M37" s="548">
        <f t="shared" ref="M37:O37" si="19">L37</f>
        <v>250.12185258002845</v>
      </c>
      <c r="N37" s="548">
        <f t="shared" si="19"/>
        <v>250.12185258002845</v>
      </c>
      <c r="O37" s="548">
        <f t="shared" si="19"/>
        <v>250.12185258002845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545"/>
      <c r="K38" s="545"/>
      <c r="L38" s="545"/>
      <c r="M38" s="545"/>
      <c r="N38" s="545"/>
      <c r="O38" s="545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545" t="s">
        <v>192</v>
      </c>
      <c r="K39" s="548">
        <f t="shared" ref="K39:O39" si="20">SUM(K34:K37)</f>
        <v>26311.948851006244</v>
      </c>
      <c r="L39" s="548">
        <f t="shared" si="20"/>
        <v>26376.23013232007</v>
      </c>
      <c r="M39" s="548">
        <f t="shared" si="20"/>
        <v>26376.23013232007</v>
      </c>
      <c r="N39" s="548">
        <f t="shared" si="20"/>
        <v>26376.23013232007</v>
      </c>
      <c r="O39" s="548">
        <f t="shared" si="20"/>
        <v>26376.23013232007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545" t="s">
        <v>228</v>
      </c>
      <c r="K40" s="548">
        <f>K39</f>
        <v>26311.948851006244</v>
      </c>
      <c r="L40" s="548">
        <f t="shared" ref="L40:O40" si="21">L39-K39</f>
        <v>64.281281313826184</v>
      </c>
      <c r="M40" s="548">
        <f t="shared" si="21"/>
        <v>0</v>
      </c>
      <c r="N40" s="548">
        <f t="shared" si="21"/>
        <v>0</v>
      </c>
      <c r="O40" s="548">
        <f t="shared" si="21"/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28" customWidth="1"/>
    <col min="2" max="7" width="13.85546875" customWidth="1"/>
    <col min="8" max="26" width="9" customWidth="1"/>
  </cols>
  <sheetData>
    <row r="1" spans="1:26" ht="14.25" customHeight="1">
      <c r="A1" s="1" t="s">
        <v>0</v>
      </c>
      <c r="E1" s="3"/>
      <c r="F1" s="3"/>
      <c r="G1" s="2">
        <f>InfoInicial!E1</f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396</v>
      </c>
      <c r="B2" s="56"/>
      <c r="C2" s="56"/>
      <c r="D2" s="56"/>
      <c r="E2" s="56"/>
      <c r="F2" s="56"/>
      <c r="G2" s="5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19"/>
      <c r="B3" s="323" t="s">
        <v>398</v>
      </c>
      <c r="C3" s="323"/>
      <c r="D3" s="323"/>
      <c r="E3" s="323"/>
      <c r="F3" s="323"/>
      <c r="G3" s="32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26" t="s">
        <v>153</v>
      </c>
      <c r="B4" s="328" t="s">
        <v>19</v>
      </c>
      <c r="C4" s="16" t="s">
        <v>20</v>
      </c>
      <c r="D4" s="16" t="s">
        <v>156</v>
      </c>
      <c r="E4" s="16" t="s">
        <v>157</v>
      </c>
      <c r="F4" s="16" t="s">
        <v>158</v>
      </c>
      <c r="G4" s="17" t="s">
        <v>159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30" t="s">
        <v>400</v>
      </c>
      <c r="B5" s="331"/>
      <c r="C5" s="66"/>
      <c r="D5" s="66"/>
      <c r="E5" s="66"/>
      <c r="F5" s="66"/>
      <c r="G5" s="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32" t="s">
        <v>402</v>
      </c>
      <c r="B6" s="334"/>
      <c r="C6" s="70">
        <f>'E-Costos'!B93*0.21</f>
        <v>955983.12427800009</v>
      </c>
      <c r="D6" s="70">
        <f>'E-Costos'!C93*0.21</f>
        <v>1127586.7659419999</v>
      </c>
      <c r="E6" s="70">
        <f>'E-Costos'!D93*0.21</f>
        <v>1127586.7659419999</v>
      </c>
      <c r="F6" s="70">
        <f>'E-Costos'!E93*0.21</f>
        <v>1127586.7659419999</v>
      </c>
      <c r="G6" s="70">
        <f>'E-Costos'!F93*0.21</f>
        <v>1127586.7659419999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32" t="s">
        <v>210</v>
      </c>
      <c r="B7" s="334"/>
      <c r="C7" s="70">
        <f>'E-Costos'!B13*0.21</f>
        <v>14434.839397030499</v>
      </c>
      <c r="D7" s="70">
        <f>'E-Costos'!C13*0.21</f>
        <v>16038.710441144998</v>
      </c>
      <c r="E7" s="70">
        <f>'E-Costos'!D13*0.21</f>
        <v>16038.710441144998</v>
      </c>
      <c r="F7" s="70">
        <f>'E-Costos'!E13*0.21</f>
        <v>16038.710441144998</v>
      </c>
      <c r="G7" s="70">
        <f>'E-Costos'!F13*0.21</f>
        <v>16038.710441144998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32" t="s">
        <v>212</v>
      </c>
      <c r="B8" s="334"/>
      <c r="C8" s="70">
        <f>'E-Costos'!B14*0.21</f>
        <v>16972.436879999997</v>
      </c>
      <c r="D8" s="70">
        <f>'E-Costos'!C14*0.21</f>
        <v>19967.572799999998</v>
      </c>
      <c r="E8" s="70">
        <f>'E-Costos'!D14*0.21</f>
        <v>19967.572799999998</v>
      </c>
      <c r="F8" s="70">
        <f>'E-Costos'!E14*0.21</f>
        <v>19967.572799999998</v>
      </c>
      <c r="G8" s="70">
        <f>'E-Costos'!F14*0.21</f>
        <v>19967.572799999998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32" t="s">
        <v>214</v>
      </c>
      <c r="B9" s="334"/>
      <c r="C9" s="70">
        <f>'E-Costos'!B15*0.21</f>
        <v>10015.487999999999</v>
      </c>
      <c r="D9" s="70">
        <f>'E-Costos'!C15*0.21</f>
        <v>11128.319999999998</v>
      </c>
      <c r="E9" s="70">
        <f>'E-Costos'!D15*0.21</f>
        <v>11128.319999999998</v>
      </c>
      <c r="F9" s="70">
        <f>'E-Costos'!E15*0.21</f>
        <v>11128.319999999998</v>
      </c>
      <c r="G9" s="70">
        <f>'E-Costos'!F15*0.21</f>
        <v>11128.319999999998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32" t="s">
        <v>408</v>
      </c>
      <c r="B10" s="334"/>
      <c r="C10" s="94">
        <v>0</v>
      </c>
      <c r="D10" s="94">
        <v>0</v>
      </c>
      <c r="E10" s="94">
        <v>0</v>
      </c>
      <c r="F10" s="94">
        <v>0</v>
      </c>
      <c r="G10" s="182">
        <v>0</v>
      </c>
      <c r="H10" s="3"/>
      <c r="I10" s="36" t="s">
        <v>409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32" t="s">
        <v>351</v>
      </c>
      <c r="B11" s="334"/>
      <c r="C11" s="94">
        <v>0</v>
      </c>
      <c r="D11" s="94">
        <v>0</v>
      </c>
      <c r="E11" s="94">
        <v>0</v>
      </c>
      <c r="F11" s="94">
        <v>0</v>
      </c>
      <c r="G11" s="182">
        <v>0</v>
      </c>
      <c r="H11" s="3"/>
      <c r="I11" s="36" t="s">
        <v>410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39" t="s">
        <v>195</v>
      </c>
      <c r="B12" s="334"/>
      <c r="C12" s="70">
        <f t="shared" ref="C12:G12" si="0">SUM(C6:C11)</f>
        <v>997405.88855503069</v>
      </c>
      <c r="D12" s="70">
        <f t="shared" si="0"/>
        <v>1174721.369183145</v>
      </c>
      <c r="E12" s="70">
        <f t="shared" si="0"/>
        <v>1174721.369183145</v>
      </c>
      <c r="F12" s="70">
        <f t="shared" si="0"/>
        <v>1174721.369183145</v>
      </c>
      <c r="G12" s="70">
        <f t="shared" si="0"/>
        <v>1174721.369183145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32" t="s">
        <v>412</v>
      </c>
      <c r="B13" s="334"/>
      <c r="C13" s="70">
        <f>'E-Costos'!G26+'E-Costos'!G31+'E-Costos'!G32+'E-Costos'!G33</f>
        <v>89305.962630367998</v>
      </c>
      <c r="D13" s="70"/>
      <c r="E13" s="70"/>
      <c r="F13" s="70"/>
      <c r="G13" s="8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32" t="s">
        <v>414</v>
      </c>
      <c r="B14" s="334"/>
      <c r="C14" s="70"/>
      <c r="D14" s="70"/>
      <c r="E14" s="70"/>
      <c r="F14" s="70"/>
      <c r="G14" s="8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32" t="s">
        <v>416</v>
      </c>
      <c r="B15" s="334"/>
      <c r="C15" s="70">
        <f>'E-InvAT'!C32</f>
        <v>19398.746308608221</v>
      </c>
      <c r="D15" s="70">
        <f>'E-InvAT'!D32</f>
        <v>2996.8421570194623</v>
      </c>
      <c r="E15" s="70">
        <f>'E-InvAT'!E32</f>
        <v>0</v>
      </c>
      <c r="F15" s="70">
        <f>'E-InvAT'!F32</f>
        <v>0</v>
      </c>
      <c r="G15" s="70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32" t="s">
        <v>417</v>
      </c>
      <c r="B16" s="334"/>
      <c r="C16" s="70">
        <f>'E-InvAT'!C33</f>
        <v>26311.948851006244</v>
      </c>
      <c r="D16" s="70">
        <f>'E-InvAT'!D33</f>
        <v>64.281281313826184</v>
      </c>
      <c r="E16" s="70">
        <f>'E-InvAT'!E33</f>
        <v>0</v>
      </c>
      <c r="F16" s="70">
        <f>'E-InvAT'!F33</f>
        <v>0</v>
      </c>
      <c r="G16" s="70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39" t="s">
        <v>418</v>
      </c>
      <c r="B17" s="334"/>
      <c r="C17" s="70">
        <f>C12-C13-C15-C16</f>
        <v>862389.2307650483</v>
      </c>
      <c r="D17" s="70">
        <f t="shared" ref="D17:G17" si="1">D12-D15-D16</f>
        <v>1171660.2457448116</v>
      </c>
      <c r="E17" s="70">
        <f t="shared" si="1"/>
        <v>1174721.369183145</v>
      </c>
      <c r="F17" s="70">
        <f t="shared" si="1"/>
        <v>1174721.369183145</v>
      </c>
      <c r="G17" s="70">
        <f t="shared" si="1"/>
        <v>1174721.369183145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39" t="s">
        <v>419</v>
      </c>
      <c r="B18" s="334"/>
      <c r="C18" s="70">
        <f>('E-Costos'!B56+'E-Costos'!B57+'E-Costos'!B58+'E-Costos'!B59)*0.21</f>
        <v>36394.654796313276</v>
      </c>
      <c r="D18" s="70">
        <f>('E-Costos'!C56+'E-Costos'!C57+'E-Costos'!C58+'E-Costos'!C59)*0.21</f>
        <v>40964.299760368558</v>
      </c>
      <c r="E18" s="70">
        <f>('E-Costos'!D56+'E-Costos'!D57+'E-Costos'!D58+'E-Costos'!D59)*0.21</f>
        <v>40964.299760368558</v>
      </c>
      <c r="F18" s="70">
        <f>('E-Costos'!E56+'E-Costos'!E57+'E-Costos'!E58+'E-Costos'!E59)*0.21</f>
        <v>40964.299760368558</v>
      </c>
      <c r="G18" s="70">
        <f>('E-Costos'!F56+'E-Costos'!F57+'E-Costos'!F58+'E-Costos'!F59)*0.21</f>
        <v>40964.299760368558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39" t="s">
        <v>422</v>
      </c>
      <c r="B19" s="334"/>
      <c r="C19" s="70">
        <f>('E-Costos'!B74+'E-Costos'!B75+'E-Costos'!B76+'E-Costos'!B77)*0.21</f>
        <v>76185.268409719909</v>
      </c>
      <c r="D19" s="70">
        <f>('E-Costos'!C74+'E-Costos'!C75+'E-Costos'!C76+'E-Costos'!C77)*0.21</f>
        <v>69556.522553119925</v>
      </c>
      <c r="E19" s="70">
        <f>('E-Costos'!D74+'E-Costos'!D75+'E-Costos'!D76+'E-Costos'!D77)*0.21</f>
        <v>69556.522553119925</v>
      </c>
      <c r="F19" s="70">
        <f>('E-Costos'!E74+'E-Costos'!E75+'E-Costos'!E76+'E-Costos'!E77)*0.21</f>
        <v>69556.522553119925</v>
      </c>
      <c r="G19" s="70">
        <f>('E-Costos'!F74+'E-Costos'!F75+'E-Costos'!F76+'E-Costos'!F77)*0.21</f>
        <v>69556.522553119925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39"/>
      <c r="B20" s="334"/>
      <c r="C20" s="70"/>
      <c r="D20" s="70"/>
      <c r="E20" s="70"/>
      <c r="F20" s="70"/>
      <c r="G20" s="8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32" t="s">
        <v>423</v>
      </c>
      <c r="B21" s="334"/>
      <c r="C21" s="70">
        <f t="shared" ref="C21:G21" si="2">SUM(C17:C19)</f>
        <v>974969.15397108148</v>
      </c>
      <c r="D21" s="70">
        <f t="shared" si="2"/>
        <v>1282181.0680583003</v>
      </c>
      <c r="E21" s="70">
        <f t="shared" si="2"/>
        <v>1285242.1914966335</v>
      </c>
      <c r="F21" s="70">
        <f t="shared" si="2"/>
        <v>1285242.1914966335</v>
      </c>
      <c r="G21" s="70">
        <f t="shared" si="2"/>
        <v>1285242.1914966335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32" t="s">
        <v>424</v>
      </c>
      <c r="B22" s="334"/>
      <c r="C22" s="70">
        <f>'E-Costos'!B91*0.21</f>
        <v>5666693.7599999998</v>
      </c>
      <c r="D22" s="70">
        <f>'E-Costos'!C91*0.21</f>
        <v>6862212</v>
      </c>
      <c r="E22" s="70">
        <f>'E-Costos'!D91*0.21</f>
        <v>6862212</v>
      </c>
      <c r="F22" s="70">
        <f>'E-Costos'!E91*0.21</f>
        <v>6862212</v>
      </c>
      <c r="G22" s="70">
        <f>'E-Costos'!F91*0.21</f>
        <v>6862212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39" t="s">
        <v>428</v>
      </c>
      <c r="B23" s="334"/>
      <c r="C23" s="70">
        <f t="shared" ref="C23:G23" si="3">C22-C21</f>
        <v>4691724.6060289182</v>
      </c>
      <c r="D23" s="70">
        <f t="shared" si="3"/>
        <v>5580030.9319416992</v>
      </c>
      <c r="E23" s="70">
        <f t="shared" si="3"/>
        <v>5576969.808503367</v>
      </c>
      <c r="F23" s="70">
        <f t="shared" si="3"/>
        <v>5576969.808503367</v>
      </c>
      <c r="G23" s="70">
        <f t="shared" si="3"/>
        <v>5576969.808503367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32"/>
      <c r="B24" s="334"/>
      <c r="C24" s="70"/>
      <c r="D24" s="70"/>
      <c r="E24" s="70"/>
      <c r="F24" s="70"/>
      <c r="G24" s="8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44" t="s">
        <v>429</v>
      </c>
      <c r="B25" s="345">
        <v>0</v>
      </c>
      <c r="C25" s="70">
        <f t="shared" ref="C25:G25" si="4">B27</f>
        <v>895583.52120432281</v>
      </c>
      <c r="D25" s="70">
        <f t="shared" si="4"/>
        <v>0</v>
      </c>
      <c r="E25" s="70">
        <f t="shared" si="4"/>
        <v>0</v>
      </c>
      <c r="F25" s="70">
        <f t="shared" si="4"/>
        <v>0</v>
      </c>
      <c r="G25" s="70">
        <f t="shared" si="4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44" t="s">
        <v>433</v>
      </c>
      <c r="B26" s="334">
        <f>'E-Cal Inv.'!B23+'E-Cal Inv.'!C23</f>
        <v>895583.52120432281</v>
      </c>
      <c r="C26" s="70">
        <f>'E-Cal Inv.'!D23</f>
        <v>635.94991869046862</v>
      </c>
      <c r="D26" s="70">
        <f>'E-Cal Inv.'!E23</f>
        <v>3061.1234383332885</v>
      </c>
      <c r="E26" s="70">
        <f>'E-Cal Inv.'!F23</f>
        <v>0</v>
      </c>
      <c r="F26" s="70">
        <f>'E-Cal Inv.'!G23</f>
        <v>0</v>
      </c>
      <c r="G26" s="70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39" t="s">
        <v>434</v>
      </c>
      <c r="B27" s="334">
        <f>B26</f>
        <v>895583.52120432281</v>
      </c>
      <c r="C27" s="70">
        <f t="shared" ref="C27:G27" si="5">IF(C25+C26-C23&lt;0,0,C25+C26-C23)</f>
        <v>0</v>
      </c>
      <c r="D27" s="70">
        <f t="shared" si="5"/>
        <v>0</v>
      </c>
      <c r="E27" s="70">
        <f t="shared" si="5"/>
        <v>0</v>
      </c>
      <c r="F27" s="70">
        <f t="shared" si="5"/>
        <v>0</v>
      </c>
      <c r="G27" s="70">
        <f t="shared" si="5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39" t="s">
        <v>437</v>
      </c>
      <c r="B28" s="334"/>
      <c r="C28" s="70">
        <f t="shared" ref="C28:G28" si="6">C25-C27+C26</f>
        <v>896219.4711230133</v>
      </c>
      <c r="D28" s="70">
        <f t="shared" si="6"/>
        <v>3061.1234383332885</v>
      </c>
      <c r="E28" s="70">
        <f t="shared" si="6"/>
        <v>0</v>
      </c>
      <c r="F28" s="70">
        <f t="shared" si="6"/>
        <v>0</v>
      </c>
      <c r="G28" s="70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32"/>
      <c r="B29" s="334"/>
      <c r="C29" s="70"/>
      <c r="D29" s="70"/>
      <c r="E29" s="70"/>
      <c r="F29" s="70"/>
      <c r="G29" s="8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348" t="s">
        <v>438</v>
      </c>
      <c r="B30" s="349"/>
      <c r="C30" s="137">
        <f t="shared" ref="C30:G30" si="7">C23-C28</f>
        <v>3795505.134905905</v>
      </c>
      <c r="D30" s="137">
        <f t="shared" si="7"/>
        <v>5576969.8085033661</v>
      </c>
      <c r="E30" s="137">
        <f t="shared" si="7"/>
        <v>5576969.808503367</v>
      </c>
      <c r="F30" s="137">
        <f t="shared" si="7"/>
        <v>5576969.808503367</v>
      </c>
      <c r="G30" s="137">
        <f t="shared" si="7"/>
        <v>5576969.808503367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2" sqref="A22"/>
    </sheetView>
  </sheetViews>
  <sheetFormatPr baseColWidth="10" defaultColWidth="14.42578125" defaultRowHeight="15" customHeight="1"/>
  <cols>
    <col min="1" max="1" width="28" customWidth="1"/>
    <col min="2" max="9" width="13.85546875" customWidth="1"/>
    <col min="10" max="12" width="9" customWidth="1"/>
    <col min="13" max="13" width="12.85546875" customWidth="1"/>
    <col min="14" max="14" width="13.28515625" customWidth="1"/>
    <col min="15" max="15" width="11.42578125" customWidth="1"/>
    <col min="16" max="16" width="11.140625" customWidth="1"/>
    <col min="17" max="17" width="12.85546875" customWidth="1"/>
    <col min="18" max="26" width="9" customWidth="1"/>
  </cols>
  <sheetData>
    <row r="1" spans="1:26" ht="14.25" customHeight="1">
      <c r="A1" s="1" t="s">
        <v>0</v>
      </c>
      <c r="E1" s="3"/>
      <c r="F1" s="3"/>
      <c r="G1" s="2">
        <f>InfoInicial!E1</f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55" t="s">
        <v>442</v>
      </c>
      <c r="B3" s="56"/>
      <c r="C3" s="56"/>
      <c r="D3" s="56"/>
      <c r="E3" s="56"/>
      <c r="F3" s="56"/>
      <c r="G3" s="56"/>
      <c r="H3" s="56"/>
      <c r="I3" s="5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>
      <c r="A4" s="61" t="s">
        <v>153</v>
      </c>
      <c r="B4" s="328" t="s">
        <v>443</v>
      </c>
      <c r="C4" s="328" t="s">
        <v>444</v>
      </c>
      <c r="D4" s="16" t="s">
        <v>20</v>
      </c>
      <c r="E4" s="16" t="s">
        <v>156</v>
      </c>
      <c r="F4" s="16" t="s">
        <v>157</v>
      </c>
      <c r="G4" s="16" t="s">
        <v>158</v>
      </c>
      <c r="H4" s="353" t="s">
        <v>159</v>
      </c>
      <c r="I4" s="17" t="s">
        <v>445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64" t="s">
        <v>446</v>
      </c>
      <c r="B5" s="66"/>
      <c r="C5" s="66"/>
      <c r="D5" s="66"/>
      <c r="E5" s="66"/>
      <c r="F5" s="66"/>
      <c r="G5" s="66"/>
      <c r="H5" s="356"/>
      <c r="I5" s="6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78" t="s">
        <v>447</v>
      </c>
      <c r="B6" s="70"/>
      <c r="C6" s="359">
        <f>'E-Inv AF y Am'!B20+'E-Inv AF y Am'!D20</f>
        <v>2642870.0448755003</v>
      </c>
      <c r="D6" s="94">
        <v>0</v>
      </c>
      <c r="E6" s="94">
        <v>0</v>
      </c>
      <c r="F6" s="94">
        <v>0</v>
      </c>
      <c r="G6" s="94">
        <v>0</v>
      </c>
      <c r="H6" s="361">
        <v>0</v>
      </c>
      <c r="I6" s="80">
        <f t="shared" ref="I6:I8" si="0">SUM(B6:H6)</f>
        <v>2642870.0448755003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78" t="s">
        <v>450</v>
      </c>
      <c r="B7" s="70">
        <f>'E-Inv AF y Am'!B23</f>
        <v>50000</v>
      </c>
      <c r="C7" s="70">
        <f>'E-Inv AF y Am'!B24+'E-Inv AF y Am'!B25+'E-Inv AF y Am'!B29</f>
        <v>945160.72876000009</v>
      </c>
      <c r="D7" s="94">
        <f>'E-Inv AF y Am'!C26</f>
        <v>115010.25382790032</v>
      </c>
      <c r="E7" s="94">
        <v>0</v>
      </c>
      <c r="F7" s="94">
        <v>0</v>
      </c>
      <c r="G7" s="94">
        <v>0</v>
      </c>
      <c r="H7" s="361">
        <v>0</v>
      </c>
      <c r="I7" s="80">
        <f t="shared" si="0"/>
        <v>1110170.9825879005</v>
      </c>
      <c r="J7" s="3"/>
      <c r="K7" s="549" t="s">
        <v>452</v>
      </c>
      <c r="L7" s="550"/>
      <c r="M7" s="551">
        <f>'E-InvAT'!C7-'E-InvAT'!C19-'E-InvAT'!C20</f>
        <v>1427657.4713725811</v>
      </c>
      <c r="N7" s="551">
        <f>'E-InvAT'!D7-'E-InvAT'!D19-'E-InvAT'!D20</f>
        <v>1713954.5543693672</v>
      </c>
      <c r="O7" s="551">
        <f>'E-InvAT'!E7-'E-InvAT'!E19-'E-InvAT'!E20</f>
        <v>1713946.819106017</v>
      </c>
      <c r="P7" s="551">
        <f>'E-InvAT'!F7-'E-InvAT'!F19-'E-InvAT'!F20</f>
        <v>1714309.7790542748</v>
      </c>
      <c r="Q7" s="551">
        <f>'E-InvAT'!G7-'E-InvAT'!G19-'E-InvAT'!G20</f>
        <v>1714308.9826850281</v>
      </c>
      <c r="R7" s="84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64" t="s">
        <v>458</v>
      </c>
      <c r="B8" s="70">
        <f t="shared" ref="B8:H8" si="1">SUM(B6:B7)</f>
        <v>50000</v>
      </c>
      <c r="C8" s="70">
        <f t="shared" si="1"/>
        <v>3588030.7736355001</v>
      </c>
      <c r="D8" s="70">
        <f t="shared" si="1"/>
        <v>115010.25382790032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80">
        <f t="shared" si="0"/>
        <v>3753041.0274634003</v>
      </c>
      <c r="J8" s="3"/>
      <c r="K8" s="36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78"/>
      <c r="B9" s="70"/>
      <c r="C9" s="70"/>
      <c r="D9" s="70"/>
      <c r="E9" s="70"/>
      <c r="F9" s="70"/>
      <c r="G9" s="70"/>
      <c r="H9" s="365"/>
      <c r="I9" s="80"/>
      <c r="J9" s="3"/>
      <c r="K9" s="1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64" t="s">
        <v>460</v>
      </c>
      <c r="B10" s="70"/>
      <c r="C10" s="70"/>
      <c r="D10" s="70"/>
      <c r="E10" s="70"/>
      <c r="F10" s="70"/>
      <c r="G10" s="70"/>
      <c r="H10" s="365"/>
      <c r="I10" s="80"/>
      <c r="J10" s="3"/>
      <c r="K10" s="1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78" t="s">
        <v>462</v>
      </c>
      <c r="B11" s="70"/>
      <c r="C11" s="70">
        <f>'E-InvAT'!B6</f>
        <v>522835.20000000001</v>
      </c>
      <c r="D11" s="70">
        <f>'E-InvAT'!C6-'E-InvAT'!B6</f>
        <v>130708.79999999999</v>
      </c>
      <c r="E11" s="70">
        <f>'E-InvAT'!D6-'E-InvAT'!C6</f>
        <v>0</v>
      </c>
      <c r="F11" s="70">
        <f>'E-InvAT'!E6-'E-InvAT'!D6</f>
        <v>0</v>
      </c>
      <c r="G11" s="70">
        <f>'E-InvAT'!F6-'E-InvAT'!E6</f>
        <v>0</v>
      </c>
      <c r="H11" s="70">
        <f>'E-InvAT'!G6-'E-InvAT'!F6</f>
        <v>0</v>
      </c>
      <c r="I11" s="80">
        <f>SUM(B11:H11)</f>
        <v>653544</v>
      </c>
      <c r="J11" s="3"/>
      <c r="K11" s="549" t="s">
        <v>466</v>
      </c>
      <c r="L11" s="550"/>
      <c r="M11" s="552">
        <f>'E-InvAT'!C12-'E-InvAT'!C17</f>
        <v>18251.848944008845</v>
      </c>
      <c r="N11" s="552">
        <f>'E-InvAT'!D12-'E-InvAT'!D17</f>
        <v>18198.197088015186</v>
      </c>
      <c r="O11" s="552">
        <f>'E-InvAT'!E12-'E-InvAT'!E17</f>
        <v>18198.197088015186</v>
      </c>
      <c r="P11" s="552">
        <f>'E-InvAT'!F12-'E-InvAT'!F17</f>
        <v>18197.489481685061</v>
      </c>
      <c r="Q11" s="552">
        <f>'E-InvAT'!G12-'E-InvAT'!G17</f>
        <v>18197.489481685061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78" t="s">
        <v>468</v>
      </c>
      <c r="B12" s="70"/>
      <c r="C12" s="70"/>
      <c r="D12" s="70">
        <f>M7</f>
        <v>1427657.4713725811</v>
      </c>
      <c r="E12" s="70">
        <f t="shared" ref="E12:H12" si="2">N7-M7</f>
        <v>286297.08299678611</v>
      </c>
      <c r="F12" s="70">
        <f t="shared" si="2"/>
        <v>-7.7352633501868695</v>
      </c>
      <c r="G12" s="70">
        <f t="shared" si="2"/>
        <v>362.95994825777598</v>
      </c>
      <c r="H12" s="365">
        <f t="shared" si="2"/>
        <v>-0.79636924667283893</v>
      </c>
      <c r="I12" s="80">
        <f>SUM(C12:H12)</f>
        <v>1714308.9826850281</v>
      </c>
      <c r="J12" s="3"/>
      <c r="K12" s="3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78" t="s">
        <v>471</v>
      </c>
      <c r="B13" s="70"/>
      <c r="C13" s="70"/>
      <c r="D13" s="70"/>
      <c r="E13" s="70"/>
      <c r="F13" s="70"/>
      <c r="G13" s="70"/>
      <c r="H13" s="365"/>
      <c r="I13" s="80"/>
      <c r="J13" s="3"/>
      <c r="K13" s="1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78" t="s">
        <v>472</v>
      </c>
      <c r="B14" s="70"/>
      <c r="C14" s="70">
        <f>'E-InvAT'!B10</f>
        <v>572177.06000000006</v>
      </c>
      <c r="D14" s="70">
        <f>'E-InvAT'!C10-'E-InvAT'!B10</f>
        <v>-343270.79800000007</v>
      </c>
      <c r="E14" s="70">
        <f>'E-InvAT'!D10-'E-InvAT'!C10</f>
        <v>0</v>
      </c>
      <c r="F14" s="70">
        <f>'E-InvAT'!E10-'E-InvAT'!D10</f>
        <v>0</v>
      </c>
      <c r="G14" s="70">
        <f>'E-InvAT'!F10-'E-InvAT'!E10</f>
        <v>0</v>
      </c>
      <c r="H14" s="70">
        <f>'E-InvAT'!G10-'E-InvAT'!F10</f>
        <v>0</v>
      </c>
      <c r="I14" s="70">
        <f t="shared" ref="I14:I16" si="3">SUM(C14:H14)</f>
        <v>228906.26199999999</v>
      </c>
      <c r="J14" s="3"/>
      <c r="K14" s="553" t="s">
        <v>475</v>
      </c>
      <c r="L14" s="550"/>
      <c r="M14" s="552">
        <f>'E-InvAT'!C13-'E-InvAT'!C18</f>
        <v>61823.187738195193</v>
      </c>
      <c r="N14" s="552">
        <f>'E-InvAT'!D13-'E-InvAT'!D18</f>
        <v>63962.874867669103</v>
      </c>
      <c r="O14" s="552">
        <f>'E-InvAT'!E13-'E-InvAT'!E18</f>
        <v>63965.17127472892</v>
      </c>
      <c r="P14" s="552">
        <f>'E-InvAT'!F13-'E-InvAT'!F18</f>
        <v>64297.395512138515</v>
      </c>
      <c r="Q14" s="552">
        <f>'E-InvAT'!G13-'E-InvAT'!G18</f>
        <v>64297.395512138515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78" t="s">
        <v>478</v>
      </c>
      <c r="B15" s="70"/>
      <c r="C15" s="70">
        <f>'E-InvAT'!B11</f>
        <v>54475.600670798791</v>
      </c>
      <c r="D15" s="70">
        <f>'E-InvAT'!C11-'E-InvAT'!B11</f>
        <v>13618.900167699692</v>
      </c>
      <c r="E15" s="70">
        <f>'E-InvAT'!D11-'E-InvAT'!C11</f>
        <v>0</v>
      </c>
      <c r="F15" s="70">
        <f>'E-InvAT'!E11-'E-InvAT'!D11</f>
        <v>0</v>
      </c>
      <c r="G15" s="70">
        <f>'E-InvAT'!F11-'E-InvAT'!E11</f>
        <v>0</v>
      </c>
      <c r="H15" s="70">
        <f>'E-InvAT'!G11-'E-InvAT'!F11</f>
        <v>0</v>
      </c>
      <c r="I15" s="70">
        <f t="shared" si="3"/>
        <v>68094.500838498483</v>
      </c>
      <c r="J15" s="3"/>
      <c r="K15" s="37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78" t="s">
        <v>482</v>
      </c>
      <c r="B16" s="70"/>
      <c r="C16" s="70"/>
      <c r="D16" s="70">
        <f>M11</f>
        <v>18251.848944008845</v>
      </c>
      <c r="E16" s="70">
        <f t="shared" ref="E16:H16" si="4">N11-M11</f>
        <v>-53.65185599365941</v>
      </c>
      <c r="F16" s="70">
        <f t="shared" si="4"/>
        <v>0</v>
      </c>
      <c r="G16" s="70">
        <f t="shared" si="4"/>
        <v>-0.70760633012469043</v>
      </c>
      <c r="H16" s="365">
        <f t="shared" si="4"/>
        <v>0</v>
      </c>
      <c r="I16" s="80">
        <f t="shared" si="3"/>
        <v>18197.489481685061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78" t="s">
        <v>483</v>
      </c>
      <c r="B17" s="70"/>
      <c r="C17" s="70"/>
      <c r="D17" s="70">
        <f>M14</f>
        <v>61823.187738195193</v>
      </c>
      <c r="E17" s="70">
        <f t="shared" ref="E17:H17" si="5">N14-M14</f>
        <v>2139.6871294739103</v>
      </c>
      <c r="F17" s="70">
        <f t="shared" si="5"/>
        <v>2.2964070598172839</v>
      </c>
      <c r="G17" s="70">
        <f t="shared" si="5"/>
        <v>332.22423740959493</v>
      </c>
      <c r="H17" s="365">
        <f t="shared" si="5"/>
        <v>0</v>
      </c>
      <c r="I17" s="8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64" t="s">
        <v>485</v>
      </c>
      <c r="B18" s="70"/>
      <c r="C18" s="70">
        <f>SUM(C11:C16)</f>
        <v>1149487.8606707987</v>
      </c>
      <c r="D18" s="70">
        <f t="shared" ref="D18:H18" si="6">SUM(D11:D17)</f>
        <v>1308789.4102224847</v>
      </c>
      <c r="E18" s="70">
        <f t="shared" si="6"/>
        <v>288383.11827026634</v>
      </c>
      <c r="F18" s="70">
        <f t="shared" si="6"/>
        <v>-5.4388562903695856</v>
      </c>
      <c r="G18" s="70">
        <f t="shared" si="6"/>
        <v>694.47657933724622</v>
      </c>
      <c r="H18" s="70">
        <f t="shared" si="6"/>
        <v>-0.79636924667283893</v>
      </c>
      <c r="I18" s="80">
        <f>SUM(C18:H18)</f>
        <v>2747348.63051735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78"/>
      <c r="B19" s="70"/>
      <c r="C19" s="70"/>
      <c r="D19" s="70"/>
      <c r="E19" s="70"/>
      <c r="F19" s="70"/>
      <c r="G19" s="70"/>
      <c r="H19" s="365"/>
      <c r="I19" s="8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64" t="s">
        <v>488</v>
      </c>
      <c r="B20" s="70"/>
      <c r="C20" s="70"/>
      <c r="D20" s="70"/>
      <c r="E20" s="70"/>
      <c r="F20" s="70"/>
      <c r="G20" s="70"/>
      <c r="H20" s="365"/>
      <c r="I20" s="8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8" t="s">
        <v>490</v>
      </c>
      <c r="B21" s="70">
        <f t="shared" ref="B21:H21" si="7">0.21*B8</f>
        <v>10500</v>
      </c>
      <c r="C21" s="70">
        <f t="shared" si="7"/>
        <v>753486.46246345504</v>
      </c>
      <c r="D21" s="70">
        <f t="shared" si="7"/>
        <v>24152.153303859068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80">
        <f t="shared" ref="I21:I23" si="8">SUM(B21:H21)</f>
        <v>788138.6157673141</v>
      </c>
      <c r="J21" s="3"/>
      <c r="K21" s="3"/>
      <c r="L21" s="3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78" t="s">
        <v>493</v>
      </c>
      <c r="B22" s="70"/>
      <c r="C22" s="70">
        <f>'E-InvAT'!B34</f>
        <v>131597.05874086774</v>
      </c>
      <c r="D22" s="70">
        <f>'E-InvAT'!C34</f>
        <v>-23516.203385168599</v>
      </c>
      <c r="E22" s="70">
        <f>'E-InvAT'!D34</f>
        <v>3061.1234383332885</v>
      </c>
      <c r="F22" s="70">
        <f>'E-InvAT'!E34</f>
        <v>0</v>
      </c>
      <c r="G22" s="70">
        <f>'E-InvAT'!F34</f>
        <v>0</v>
      </c>
      <c r="H22" s="70">
        <f>'E-InvAT'!G34</f>
        <v>0</v>
      </c>
      <c r="I22" s="80">
        <f t="shared" si="8"/>
        <v>111141.97879403243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64" t="s">
        <v>494</v>
      </c>
      <c r="B23" s="70">
        <f t="shared" ref="B23:H23" si="9">SUM(B21:B22)</f>
        <v>10500</v>
      </c>
      <c r="C23" s="70">
        <f t="shared" si="9"/>
        <v>885083.52120432281</v>
      </c>
      <c r="D23" s="70">
        <f t="shared" si="9"/>
        <v>635.94991869046862</v>
      </c>
      <c r="E23" s="70">
        <f t="shared" si="9"/>
        <v>3061.1234383332885</v>
      </c>
      <c r="F23" s="70">
        <f t="shared" si="9"/>
        <v>0</v>
      </c>
      <c r="G23" s="70">
        <f t="shared" si="9"/>
        <v>0</v>
      </c>
      <c r="H23" s="70">
        <f t="shared" si="9"/>
        <v>0</v>
      </c>
      <c r="I23" s="80">
        <f t="shared" si="8"/>
        <v>899280.59456134657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64"/>
      <c r="B24" s="70"/>
      <c r="C24" s="70"/>
      <c r="D24" s="70"/>
      <c r="E24" s="70"/>
      <c r="F24" s="70"/>
      <c r="G24" s="70"/>
      <c r="H24" s="365"/>
      <c r="I24" s="8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135" t="s">
        <v>496</v>
      </c>
      <c r="B25" s="137">
        <f t="shared" ref="B25:I25" si="10">B8+B18+B23</f>
        <v>60500</v>
      </c>
      <c r="C25" s="137">
        <f t="shared" si="10"/>
        <v>5622602.1555106211</v>
      </c>
      <c r="D25" s="137">
        <f t="shared" si="10"/>
        <v>1424435.6139690755</v>
      </c>
      <c r="E25" s="137">
        <f t="shared" si="10"/>
        <v>291444.24170859961</v>
      </c>
      <c r="F25" s="137">
        <f t="shared" si="10"/>
        <v>-5.4388562903695856</v>
      </c>
      <c r="G25" s="137">
        <f t="shared" si="10"/>
        <v>694.47657933724622</v>
      </c>
      <c r="H25" s="137">
        <f t="shared" si="10"/>
        <v>-0.79636924667283893</v>
      </c>
      <c r="I25" s="137">
        <f t="shared" si="10"/>
        <v>7399670.2525420971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27" sqref="J27"/>
    </sheetView>
  </sheetViews>
  <sheetFormatPr baseColWidth="10" defaultColWidth="14.42578125" defaultRowHeight="15" customHeight="1"/>
  <cols>
    <col min="1" max="1" width="7.85546875" customWidth="1"/>
    <col min="2" max="13" width="14.7109375" customWidth="1"/>
    <col min="14" max="26" width="9" customWidth="1"/>
  </cols>
  <sheetData>
    <row r="1" spans="1:26" ht="14.25" customHeight="1">
      <c r="A1" s="1" t="s">
        <v>0</v>
      </c>
      <c r="E1" s="3"/>
      <c r="F1" s="3"/>
      <c r="G1" s="3">
        <f>InfoInicial!E1</f>
        <v>5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529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9" customHeight="1">
      <c r="A3" s="326" t="s">
        <v>530</v>
      </c>
      <c r="B3" s="328" t="s">
        <v>531</v>
      </c>
      <c r="C3" s="328" t="s">
        <v>532</v>
      </c>
      <c r="D3" s="328" t="s">
        <v>533</v>
      </c>
      <c r="E3" s="328" t="s">
        <v>14</v>
      </c>
      <c r="F3" s="328" t="s">
        <v>534</v>
      </c>
      <c r="G3" s="328" t="s">
        <v>535</v>
      </c>
      <c r="H3" s="328" t="s">
        <v>536</v>
      </c>
      <c r="I3" s="328" t="s">
        <v>246</v>
      </c>
      <c r="J3" s="328" t="s">
        <v>537</v>
      </c>
      <c r="K3" s="328" t="s">
        <v>538</v>
      </c>
      <c r="L3" s="416" t="s">
        <v>539</v>
      </c>
      <c r="M3" s="417" t="s">
        <v>540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418">
        <v>0</v>
      </c>
      <c r="B4" s="331">
        <f>'E-Inv AF y Am'!B33+'E-Inv AF y Am'!D33</f>
        <v>3641880.7736355001</v>
      </c>
      <c r="C4" s="66">
        <f>'E-InvAT'!B25</f>
        <v>1149487.8606707989</v>
      </c>
      <c r="D4" s="66">
        <f>'E-Cal Inv.'!B23+'E-Cal Inv.'!C23</f>
        <v>895583.52120432281</v>
      </c>
      <c r="E4" s="66">
        <f>H4*InfoInicial!B5</f>
        <v>0</v>
      </c>
      <c r="F4" s="66">
        <f>(H4-E4)*InfoInicial!$B$4</f>
        <v>0</v>
      </c>
      <c r="G4" s="66">
        <f t="shared" ref="G4:G9" si="0">SUM(B4:F4)</f>
        <v>5686952.1555106211</v>
      </c>
      <c r="H4" s="419">
        <v>0</v>
      </c>
      <c r="I4" s="419">
        <v>0</v>
      </c>
      <c r="J4" s="419">
        <v>0</v>
      </c>
      <c r="K4" s="66">
        <f t="shared" ref="K4:K9" si="1">SUM(H4:J4)</f>
        <v>0</v>
      </c>
      <c r="L4" s="356">
        <f t="shared" ref="L4:L9" si="2">K4-G4</f>
        <v>-5686952.1555106211</v>
      </c>
      <c r="M4" s="68">
        <f>L4</f>
        <v>-5686952.1555106211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420">
        <v>1</v>
      </c>
      <c r="B5" s="334">
        <f>'E-Inv AF y Am'!C33</f>
        <v>115010.25382790032</v>
      </c>
      <c r="C5" s="70">
        <f>'E-InvAT'!C25</f>
        <v>1308789.4102224847</v>
      </c>
      <c r="D5" s="70">
        <f>'E-Cal Inv.'!D23</f>
        <v>635.94991869046862</v>
      </c>
      <c r="E5" s="70">
        <f>H5*InfoInicial!B5</f>
        <v>840356.42672803113</v>
      </c>
      <c r="F5" s="66">
        <f>(H5*InfoInicial!$B$4)</f>
        <v>5347722.7155420156</v>
      </c>
      <c r="G5" s="66">
        <f t="shared" si="0"/>
        <v>7612514.7562391218</v>
      </c>
      <c r="H5" s="560">
        <f>'E-Costos'!B119</f>
        <v>15279207.758691475</v>
      </c>
      <c r="I5" s="70">
        <f>'E-Inv AF y Am'!D56</f>
        <v>536961.31130268006</v>
      </c>
      <c r="J5" s="70">
        <f>'E-IVA '!C28</f>
        <v>896219.4711230133</v>
      </c>
      <c r="K5" s="66">
        <f t="shared" si="1"/>
        <v>16712388.541117169</v>
      </c>
      <c r="L5" s="356">
        <f t="shared" si="2"/>
        <v>9099873.7848780472</v>
      </c>
      <c r="M5" s="80">
        <f t="shared" ref="M5:M9" si="3">M4+L5</f>
        <v>3412921.629367426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20">
        <v>2</v>
      </c>
      <c r="B6" s="334"/>
      <c r="C6" s="70">
        <f>'E-InvAT'!D25</f>
        <v>288383.11827026634</v>
      </c>
      <c r="D6" s="70">
        <f>'E-Cal Inv.'!E23</f>
        <v>3061.1234383332885</v>
      </c>
      <c r="E6" s="70">
        <f>H6*InfoInicial!B5</f>
        <v>1044403.7529229124</v>
      </c>
      <c r="F6" s="66">
        <f>(H6*InfoInicial!$B$4)</f>
        <v>6646205.7004185328</v>
      </c>
      <c r="G6" s="66">
        <f t="shared" si="0"/>
        <v>7982053.6950500449</v>
      </c>
      <c r="H6" s="70">
        <f>'E-Costos'!C119</f>
        <v>18989159.144052953</v>
      </c>
      <c r="I6" s="70">
        <f>'E-Inv AF y Am'!D56</f>
        <v>536961.31130268006</v>
      </c>
      <c r="J6" s="70">
        <f>'E-IVA '!D28</f>
        <v>3061.1234383332885</v>
      </c>
      <c r="K6" s="66">
        <f t="shared" si="1"/>
        <v>19529181.578793965</v>
      </c>
      <c r="L6" s="356">
        <f t="shared" si="2"/>
        <v>11547127.883743919</v>
      </c>
      <c r="M6" s="80">
        <f t="shared" si="3"/>
        <v>14960049.513111345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20">
        <v>3</v>
      </c>
      <c r="B7" s="334"/>
      <c r="C7" s="70">
        <f>'E-InvAT'!E25</f>
        <v>-5.438856290653348</v>
      </c>
      <c r="D7" s="70">
        <f>'E-Cal Inv.'!F23</f>
        <v>0</v>
      </c>
      <c r="E7" s="70">
        <f>H7*InfoInicial!B5</f>
        <v>1044412.2401128346</v>
      </c>
      <c r="F7" s="66">
        <f>(H7*InfoInicial!$B$4)</f>
        <v>6646259.7098089475</v>
      </c>
      <c r="G7" s="66">
        <f t="shared" si="0"/>
        <v>7690666.5110654915</v>
      </c>
      <c r="H7" s="70">
        <f>'E-Costos'!D119</f>
        <v>18989313.456596993</v>
      </c>
      <c r="I7" s="70">
        <f>'E-Inv AF y Am'!D56</f>
        <v>536961.31130268006</v>
      </c>
      <c r="J7" s="70">
        <f>'E-IVA '!E28</f>
        <v>0</v>
      </c>
      <c r="K7" s="66">
        <f t="shared" si="1"/>
        <v>19526274.767899673</v>
      </c>
      <c r="L7" s="356">
        <f t="shared" si="2"/>
        <v>11835608.256834183</v>
      </c>
      <c r="M7" s="80">
        <f t="shared" si="3"/>
        <v>26795657.769945528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20">
        <v>4</v>
      </c>
      <c r="B8" s="334"/>
      <c r="C8" s="70">
        <f>'E-InvAT'!F25</f>
        <v>694.47657933738083</v>
      </c>
      <c r="D8" s="70">
        <f>'E-Cal Inv.'!G23</f>
        <v>0</v>
      </c>
      <c r="E8" s="70">
        <f>H8*InfoInicial!B5</f>
        <v>1045338.2020389724</v>
      </c>
      <c r="F8" s="66">
        <f>(H8*InfoInicial!$B$4)</f>
        <v>6652152.19479346</v>
      </c>
      <c r="G8" s="66">
        <f t="shared" si="0"/>
        <v>7698184.87341177</v>
      </c>
      <c r="H8" s="70">
        <f>'E-Costos'!E119</f>
        <v>19006149.127981316</v>
      </c>
      <c r="I8" s="70">
        <f>'E-Inv AF y Am'!E56</f>
        <v>522180.12530268007</v>
      </c>
      <c r="J8" s="70">
        <f>'E-IVA '!F28</f>
        <v>0</v>
      </c>
      <c r="K8" s="66">
        <f t="shared" si="1"/>
        <v>19528329.253283996</v>
      </c>
      <c r="L8" s="356">
        <f t="shared" si="2"/>
        <v>11830144.379872225</v>
      </c>
      <c r="M8" s="80">
        <f t="shared" si="3"/>
        <v>38625802.14981775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20">
        <v>5</v>
      </c>
      <c r="B9" s="334">
        <f>-'E-Inv AF y Am'!G56</f>
        <v>-1101646.84295</v>
      </c>
      <c r="C9" s="70">
        <f>-('E-InvAT'!G22-'E-InvAT'!G25)</f>
        <v>-2747349.4268865967</v>
      </c>
      <c r="D9" s="70">
        <f>'E-Cal Inv.'!H23</f>
        <v>0</v>
      </c>
      <c r="E9" s="70">
        <f>H9*InfoInicial!B5</f>
        <v>1045339.0976755338</v>
      </c>
      <c r="F9" s="66">
        <f>(H9*InfoInicial!$B$4)</f>
        <v>6652157.8942988515</v>
      </c>
      <c r="G9" s="66">
        <f t="shared" si="0"/>
        <v>3848500.7221377888</v>
      </c>
      <c r="H9" s="70">
        <f>'E-Costos'!F119</f>
        <v>19006165.412282433</v>
      </c>
      <c r="I9" s="70">
        <f>'E-Inv AF y Am'!E56</f>
        <v>522180.12530268007</v>
      </c>
      <c r="J9" s="70">
        <f>'E-IVA '!G28</f>
        <v>0</v>
      </c>
      <c r="K9" s="66">
        <f t="shared" si="1"/>
        <v>19528345.537585113</v>
      </c>
      <c r="L9" s="356">
        <f t="shared" si="2"/>
        <v>15679844.815447325</v>
      </c>
      <c r="M9" s="80">
        <f t="shared" si="3"/>
        <v>54305646.965265073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20"/>
      <c r="B10" s="334"/>
      <c r="C10" s="70"/>
      <c r="D10" s="70"/>
      <c r="E10" s="70"/>
      <c r="F10" s="70"/>
      <c r="G10" s="70"/>
      <c r="H10" s="70"/>
      <c r="I10" s="70"/>
      <c r="J10" s="70"/>
      <c r="K10" s="70"/>
      <c r="L10" s="365"/>
      <c r="M10" s="8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21" t="s">
        <v>541</v>
      </c>
      <c r="B11" s="349">
        <f t="shared" ref="B11:L11" si="4">SUM(B4:B9)</f>
        <v>2655244.1845134003</v>
      </c>
      <c r="C11" s="137">
        <f t="shared" si="4"/>
        <v>0</v>
      </c>
      <c r="D11" s="137">
        <f t="shared" si="4"/>
        <v>899280.59456134657</v>
      </c>
      <c r="E11" s="137">
        <f t="shared" si="4"/>
        <v>5019849.7194782849</v>
      </c>
      <c r="F11" s="137">
        <f t="shared" si="4"/>
        <v>31944498.214861806</v>
      </c>
      <c r="G11" s="137">
        <f t="shared" si="4"/>
        <v>40518872.713414833</v>
      </c>
      <c r="H11" s="137">
        <f t="shared" si="4"/>
        <v>91269994.89960517</v>
      </c>
      <c r="I11" s="137">
        <f t="shared" si="4"/>
        <v>2655244.1845134003</v>
      </c>
      <c r="J11" s="137">
        <f t="shared" si="4"/>
        <v>899280.59456134657</v>
      </c>
      <c r="K11" s="137">
        <f t="shared" si="4"/>
        <v>94824519.678679913</v>
      </c>
      <c r="L11" s="422">
        <f t="shared" si="4"/>
        <v>54305646.965265073</v>
      </c>
      <c r="M11" s="19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18" t="s">
        <v>542</v>
      </c>
      <c r="D13" s="423">
        <f>H11-F11-E11</f>
        <v>54305646.965265073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9"/>
      <c r="B14" s="3"/>
      <c r="C14" s="18" t="s">
        <v>543</v>
      </c>
      <c r="D14" s="424">
        <f>1+(-M4/L5)</f>
        <v>1.6249484652150958</v>
      </c>
      <c r="E14" s="3" t="s">
        <v>544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18" t="s">
        <v>545</v>
      </c>
      <c r="D15" s="425">
        <f>IRR(L4:L9)</f>
        <v>1.7572412660009515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527" t="s">
        <v>546</v>
      </c>
      <c r="M16" s="48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3"/>
      <c r="C17" s="3"/>
      <c r="D17" s="3"/>
      <c r="E17" s="3"/>
      <c r="F17" s="3"/>
      <c r="G17" s="3"/>
      <c r="H17" s="3"/>
      <c r="I17" s="3"/>
      <c r="J17" s="426"/>
      <c r="K17" s="3"/>
      <c r="L17" s="527" t="s">
        <v>547</v>
      </c>
      <c r="M17" s="48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27" t="s">
        <v>246</v>
      </c>
      <c r="M18" s="428" t="str">
        <f>IF(B11=I11,"OK","MAL")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427" t="s">
        <v>548</v>
      </c>
      <c r="M19" s="428" t="str">
        <f>IF(D11=J11,"OK","MAL")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427" t="s">
        <v>549</v>
      </c>
      <c r="M20" s="428" t="str">
        <f>IF(C11=0,"OK","MAL")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"/>
      <c r="F21" s="3"/>
      <c r="G21" s="52">
        <f>I11-B11</f>
        <v>0</v>
      </c>
      <c r="H21" s="3"/>
      <c r="I21" s="3"/>
      <c r="J21" s="3"/>
      <c r="K21" s="3"/>
      <c r="L21" s="427" t="s">
        <v>550</v>
      </c>
      <c r="M21" s="428" t="str">
        <f>IF((H11-F11-E11)=L11,IF(L11=M9,"OK","MAL"),"MAL")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6" t="s">
        <v>551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L16:M16"/>
    <mergeCell ref="L17:M17"/>
  </mergeCells>
  <conditionalFormatting sqref="M18">
    <cfRule type="cellIs" dxfId="41" priority="1" operator="equal">
      <formula>"OK"</formula>
    </cfRule>
  </conditionalFormatting>
  <conditionalFormatting sqref="M18">
    <cfRule type="cellIs" dxfId="40" priority="2" operator="equal">
      <formula>"MAL"</formula>
    </cfRule>
  </conditionalFormatting>
  <conditionalFormatting sqref="M19">
    <cfRule type="cellIs" dxfId="39" priority="3" operator="equal">
      <formula>"OK"</formula>
    </cfRule>
  </conditionalFormatting>
  <conditionalFormatting sqref="M19">
    <cfRule type="cellIs" dxfId="38" priority="4" operator="equal">
      <formula>"MAL"</formula>
    </cfRule>
  </conditionalFormatting>
  <conditionalFormatting sqref="M20">
    <cfRule type="cellIs" dxfId="37" priority="5" operator="equal">
      <formula>"OK"</formula>
    </cfRule>
  </conditionalFormatting>
  <conditionalFormatting sqref="M20">
    <cfRule type="cellIs" dxfId="36" priority="6" operator="equal">
      <formula>"MAL"</formula>
    </cfRule>
  </conditionalFormatting>
  <conditionalFormatting sqref="M21">
    <cfRule type="cellIs" dxfId="35" priority="7" operator="equal">
      <formula>"OK"</formula>
    </cfRule>
  </conditionalFormatting>
  <conditionalFormatting sqref="M21">
    <cfRule type="cellIs" dxfId="34" priority="8" operator="equal">
      <formula>"MAL"</formula>
    </cfRule>
  </conditionalFormatting>
  <conditionalFormatting sqref="J17">
    <cfRule type="cellIs" dxfId="33" priority="9" operator="equal">
      <formula>"OK"</formula>
    </cfRule>
  </conditionalFormatting>
  <conditionalFormatting sqref="J17">
    <cfRule type="cellIs" dxfId="32" priority="10" operator="equal">
      <formula>"MAL"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27.140625" customWidth="1"/>
    <col min="2" max="9" width="15" customWidth="1"/>
    <col min="10" max="26" width="9" customWidth="1"/>
  </cols>
  <sheetData>
    <row r="1" spans="1:26" ht="14.25" customHeight="1">
      <c r="A1" s="1" t="s">
        <v>0</v>
      </c>
      <c r="E1" s="3"/>
      <c r="F1" s="429">
        <f>InfoInicial!E1</f>
        <v>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430" t="s">
        <v>552</v>
      </c>
      <c r="B2" s="316"/>
      <c r="C2" s="316"/>
      <c r="D2" s="316"/>
      <c r="E2" s="316"/>
      <c r="F2" s="316"/>
      <c r="G2" s="3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1" t="s">
        <v>153</v>
      </c>
      <c r="B3" s="528" t="s">
        <v>553</v>
      </c>
      <c r="C3" s="529"/>
      <c r="D3" s="528" t="s">
        <v>554</v>
      </c>
      <c r="E3" s="529"/>
      <c r="F3" s="528" t="s">
        <v>555</v>
      </c>
      <c r="G3" s="53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61" t="s">
        <v>164</v>
      </c>
      <c r="B4" s="120" t="s">
        <v>556</v>
      </c>
      <c r="C4" s="120" t="s">
        <v>557</v>
      </c>
      <c r="D4" s="120" t="s">
        <v>556</v>
      </c>
      <c r="E4" s="120" t="s">
        <v>557</v>
      </c>
      <c r="F4" s="120" t="s">
        <v>556</v>
      </c>
      <c r="G4" s="122" t="s">
        <v>557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" t="s">
        <v>558</v>
      </c>
      <c r="B5" s="70"/>
      <c r="C5" s="256"/>
      <c r="D5" s="70"/>
      <c r="E5" s="256"/>
      <c r="F5" s="70"/>
      <c r="G5" s="43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6" t="s">
        <v>559</v>
      </c>
      <c r="B6" s="70"/>
      <c r="C6" s="256"/>
      <c r="D6" s="70"/>
      <c r="E6" s="256"/>
      <c r="F6" s="70"/>
      <c r="G6" s="4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26" t="s">
        <v>560</v>
      </c>
      <c r="B7" s="70"/>
      <c r="C7" s="256"/>
      <c r="D7" s="70"/>
      <c r="E7" s="382"/>
      <c r="F7" s="70"/>
      <c r="G7" s="43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71" t="s">
        <v>445</v>
      </c>
      <c r="B8" s="433"/>
      <c r="C8" s="434"/>
      <c r="D8" s="433"/>
      <c r="E8" s="434"/>
      <c r="F8" s="433"/>
      <c r="G8" s="43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39"/>
      <c r="B9" s="110"/>
      <c r="C9" s="436"/>
      <c r="D9" s="110"/>
      <c r="E9" s="110"/>
      <c r="F9" s="110"/>
      <c r="G9" s="1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>
      <c r="A10" s="437" t="s">
        <v>561</v>
      </c>
      <c r="B10" s="438"/>
      <c r="C10" s="438"/>
      <c r="D10" s="438"/>
      <c r="E10" s="438"/>
      <c r="F10" s="438"/>
      <c r="G10" s="438"/>
      <c r="H10" s="438"/>
      <c r="I10" s="43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562</v>
      </c>
      <c r="B11" s="441" t="s">
        <v>563</v>
      </c>
      <c r="C11" s="441" t="s">
        <v>565</v>
      </c>
      <c r="D11" s="441" t="s">
        <v>566</v>
      </c>
      <c r="E11" s="441" t="s">
        <v>565</v>
      </c>
      <c r="F11" s="441" t="s">
        <v>567</v>
      </c>
      <c r="G11" s="441" t="s">
        <v>566</v>
      </c>
      <c r="H11" s="441"/>
      <c r="I11" s="442" t="s">
        <v>568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443"/>
      <c r="B12" s="444"/>
      <c r="C12" s="444" t="s">
        <v>575</v>
      </c>
      <c r="D12" s="444" t="s">
        <v>575</v>
      </c>
      <c r="E12" s="444" t="s">
        <v>73</v>
      </c>
      <c r="F12" s="444" t="s">
        <v>576</v>
      </c>
      <c r="G12" s="444" t="s">
        <v>73</v>
      </c>
      <c r="H12" s="444" t="s">
        <v>577</v>
      </c>
      <c r="I12" s="445" t="s">
        <v>578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447"/>
      <c r="B13" s="225"/>
      <c r="C13" s="225"/>
      <c r="D13" s="225"/>
      <c r="E13" s="225"/>
      <c r="F13" s="74"/>
      <c r="G13" s="225"/>
      <c r="H13" s="448"/>
      <c r="I13" s="22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9"/>
      <c r="B14" s="70"/>
      <c r="C14" s="70"/>
      <c r="D14" s="70"/>
      <c r="E14" s="70"/>
      <c r="F14" s="30"/>
      <c r="G14" s="70"/>
      <c r="H14" s="382"/>
      <c r="I14" s="8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49"/>
      <c r="B15" s="70"/>
      <c r="C15" s="70"/>
      <c r="D15" s="70"/>
      <c r="E15" s="70"/>
      <c r="F15" s="30"/>
      <c r="G15" s="70"/>
      <c r="H15" s="382"/>
      <c r="I15" s="8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49"/>
      <c r="B16" s="70"/>
      <c r="C16" s="70"/>
      <c r="D16" s="70"/>
      <c r="E16" s="70"/>
      <c r="F16" s="30"/>
      <c r="G16" s="70"/>
      <c r="H16" s="382"/>
      <c r="I16" s="8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9"/>
      <c r="B17" s="70"/>
      <c r="C17" s="70"/>
      <c r="D17" s="70"/>
      <c r="E17" s="70"/>
      <c r="F17" s="30"/>
      <c r="G17" s="70"/>
      <c r="H17" s="382"/>
      <c r="I17" s="8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49"/>
      <c r="B18" s="70"/>
      <c r="C18" s="70"/>
      <c r="D18" s="70"/>
      <c r="E18" s="70"/>
      <c r="F18" s="30"/>
      <c r="G18" s="70"/>
      <c r="H18" s="382"/>
      <c r="I18" s="8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9"/>
      <c r="B19" s="70"/>
      <c r="C19" s="70"/>
      <c r="D19" s="70"/>
      <c r="E19" s="70"/>
      <c r="F19" s="30"/>
      <c r="G19" s="70"/>
      <c r="H19" s="382"/>
      <c r="I19" s="8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450"/>
      <c r="B20" s="137"/>
      <c r="C20" s="137"/>
      <c r="D20" s="214"/>
      <c r="E20" s="137"/>
      <c r="F20" s="60"/>
      <c r="G20" s="214"/>
      <c r="H20" s="451"/>
      <c r="I20" s="21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5" t="s">
        <v>583</v>
      </c>
      <c r="B21" s="452"/>
      <c r="C21" s="452"/>
      <c r="D21" s="453"/>
      <c r="E21" s="452"/>
      <c r="F21" s="454"/>
      <c r="G21" s="453"/>
      <c r="H21" s="455"/>
      <c r="I21" s="45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447"/>
      <c r="B22" s="225"/>
      <c r="C22" s="225"/>
      <c r="D22" s="66"/>
      <c r="E22" s="225"/>
      <c r="F22" s="74"/>
      <c r="G22" s="66"/>
      <c r="H22" s="448"/>
      <c r="I22" s="6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49"/>
      <c r="B23" s="70"/>
      <c r="C23" s="70"/>
      <c r="D23" s="70"/>
      <c r="E23" s="70"/>
      <c r="F23" s="30"/>
      <c r="G23" s="70"/>
      <c r="H23" s="382"/>
      <c r="I23" s="8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6"/>
      <c r="B24" s="70"/>
      <c r="C24" s="70"/>
      <c r="D24" s="70"/>
      <c r="E24" s="70"/>
      <c r="F24" s="70"/>
      <c r="G24" s="70"/>
      <c r="H24" s="256"/>
      <c r="I24" s="8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6"/>
      <c r="B25" s="70"/>
      <c r="C25" s="70"/>
      <c r="D25" s="70"/>
      <c r="E25" s="70"/>
      <c r="F25" s="70"/>
      <c r="G25" s="70"/>
      <c r="H25" s="256"/>
      <c r="I25" s="8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6"/>
      <c r="B26" s="70"/>
      <c r="C26" s="70"/>
      <c r="D26" s="70"/>
      <c r="E26" s="70"/>
      <c r="F26" s="70"/>
      <c r="G26" s="70"/>
      <c r="H26" s="256"/>
      <c r="I26" s="8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6"/>
      <c r="B27" s="70"/>
      <c r="C27" s="70"/>
      <c r="D27" s="70"/>
      <c r="E27" s="70"/>
      <c r="F27" s="70"/>
      <c r="G27" s="70"/>
      <c r="H27" s="256"/>
      <c r="I27" s="8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6"/>
      <c r="B28" s="70"/>
      <c r="C28" s="70"/>
      <c r="D28" s="70"/>
      <c r="E28" s="70"/>
      <c r="F28" s="70"/>
      <c r="G28" s="70"/>
      <c r="H28" s="256"/>
      <c r="I28" s="8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6"/>
      <c r="B29" s="70"/>
      <c r="C29" s="70"/>
      <c r="D29" s="70"/>
      <c r="E29" s="70"/>
      <c r="F29" s="70"/>
      <c r="G29" s="70"/>
      <c r="H29" s="256"/>
      <c r="I29" s="8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6"/>
      <c r="B30" s="70"/>
      <c r="C30" s="70"/>
      <c r="D30" s="70"/>
      <c r="E30" s="70"/>
      <c r="F30" s="70"/>
      <c r="G30" s="70"/>
      <c r="H30" s="256"/>
      <c r="I30" s="8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6"/>
      <c r="B31" s="70"/>
      <c r="C31" s="70"/>
      <c r="D31" s="70"/>
      <c r="E31" s="70"/>
      <c r="F31" s="70"/>
      <c r="G31" s="70"/>
      <c r="H31" s="256"/>
      <c r="I31" s="8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56"/>
      <c r="B32" s="70"/>
      <c r="C32" s="70"/>
      <c r="D32" s="70"/>
      <c r="E32" s="70"/>
      <c r="F32" s="70"/>
      <c r="G32" s="70"/>
      <c r="H32" s="256"/>
      <c r="I32" s="8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56"/>
      <c r="B33" s="70"/>
      <c r="C33" s="70"/>
      <c r="D33" s="70"/>
      <c r="E33" s="70"/>
      <c r="F33" s="70"/>
      <c r="G33" s="70"/>
      <c r="H33" s="256"/>
      <c r="I33" s="8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56"/>
      <c r="B34" s="70"/>
      <c r="C34" s="70"/>
      <c r="D34" s="70"/>
      <c r="E34" s="70"/>
      <c r="F34" s="70"/>
      <c r="G34" s="70"/>
      <c r="H34" s="256"/>
      <c r="I34" s="8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56"/>
      <c r="B35" s="70"/>
      <c r="C35" s="70"/>
      <c r="D35" s="70"/>
      <c r="E35" s="70"/>
      <c r="F35" s="30"/>
      <c r="G35" s="70"/>
      <c r="H35" s="382"/>
      <c r="I35" s="8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56"/>
      <c r="B36" s="70"/>
      <c r="C36" s="70"/>
      <c r="D36" s="70"/>
      <c r="E36" s="70"/>
      <c r="F36" s="70"/>
      <c r="G36" s="70"/>
      <c r="H36" s="256"/>
      <c r="I36" s="8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56"/>
      <c r="B37" s="70"/>
      <c r="C37" s="70"/>
      <c r="D37" s="70"/>
      <c r="E37" s="70"/>
      <c r="F37" s="30"/>
      <c r="G37" s="70"/>
      <c r="H37" s="382"/>
      <c r="I37" s="8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56"/>
      <c r="B38" s="70"/>
      <c r="C38" s="70"/>
      <c r="D38" s="70"/>
      <c r="E38" s="70"/>
      <c r="F38" s="70"/>
      <c r="G38" s="70"/>
      <c r="H38" s="256"/>
      <c r="I38" s="8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456"/>
      <c r="B39" s="70"/>
      <c r="C39" s="70"/>
      <c r="D39" s="70"/>
      <c r="E39" s="70"/>
      <c r="F39" s="30"/>
      <c r="G39" s="70"/>
      <c r="H39" s="382"/>
      <c r="I39" s="8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456"/>
      <c r="B40" s="70"/>
      <c r="C40" s="70"/>
      <c r="D40" s="70"/>
      <c r="E40" s="70"/>
      <c r="F40" s="70"/>
      <c r="G40" s="70"/>
      <c r="H40" s="256"/>
      <c r="I40" s="8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56"/>
      <c r="B41" s="70"/>
      <c r="C41" s="70"/>
      <c r="D41" s="70"/>
      <c r="E41" s="70"/>
      <c r="F41" s="30"/>
      <c r="G41" s="70"/>
      <c r="H41" s="382"/>
      <c r="I41" s="8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56"/>
      <c r="B42" s="70"/>
      <c r="C42" s="70"/>
      <c r="D42" s="70"/>
      <c r="E42" s="70"/>
      <c r="F42" s="70"/>
      <c r="G42" s="70"/>
      <c r="H42" s="256"/>
      <c r="I42" s="8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56"/>
      <c r="B43" s="70"/>
      <c r="C43" s="70"/>
      <c r="D43" s="70"/>
      <c r="E43" s="70"/>
      <c r="F43" s="30"/>
      <c r="G43" s="70"/>
      <c r="H43" s="382"/>
      <c r="I43" s="8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56"/>
      <c r="B44" s="70"/>
      <c r="C44" s="70"/>
      <c r="D44" s="70"/>
      <c r="E44" s="70"/>
      <c r="F44" s="70"/>
      <c r="G44" s="70"/>
      <c r="H44" s="256"/>
      <c r="I44" s="8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56"/>
      <c r="B45" s="70"/>
      <c r="C45" s="70"/>
      <c r="D45" s="70"/>
      <c r="E45" s="70"/>
      <c r="F45" s="30"/>
      <c r="G45" s="70"/>
      <c r="H45" s="382"/>
      <c r="I45" s="8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6"/>
      <c r="B46" s="70"/>
      <c r="C46" s="70"/>
      <c r="D46" s="70"/>
      <c r="E46" s="70"/>
      <c r="F46" s="70"/>
      <c r="G46" s="70"/>
      <c r="H46" s="256"/>
      <c r="I46" s="8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6"/>
      <c r="B47" s="70"/>
      <c r="C47" s="70"/>
      <c r="D47" s="70"/>
      <c r="E47" s="70"/>
      <c r="F47" s="30"/>
      <c r="G47" s="70"/>
      <c r="H47" s="382"/>
      <c r="I47" s="8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6"/>
      <c r="B48" s="70"/>
      <c r="C48" s="70"/>
      <c r="D48" s="70"/>
      <c r="E48" s="70"/>
      <c r="F48" s="70"/>
      <c r="G48" s="70"/>
      <c r="H48" s="256"/>
      <c r="I48" s="8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6"/>
      <c r="B49" s="70"/>
      <c r="C49" s="70"/>
      <c r="D49" s="70"/>
      <c r="E49" s="70"/>
      <c r="F49" s="30"/>
      <c r="G49" s="70"/>
      <c r="H49" s="382"/>
      <c r="I49" s="8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6"/>
      <c r="B50" s="70"/>
      <c r="C50" s="70"/>
      <c r="D50" s="70"/>
      <c r="E50" s="70"/>
      <c r="F50" s="70"/>
      <c r="G50" s="70"/>
      <c r="H50" s="256"/>
      <c r="I50" s="8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6"/>
      <c r="B51" s="70"/>
      <c r="C51" s="70"/>
      <c r="D51" s="70"/>
      <c r="E51" s="70"/>
      <c r="F51" s="30"/>
      <c r="G51" s="70"/>
      <c r="H51" s="382"/>
      <c r="I51" s="8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56"/>
      <c r="B52" s="70"/>
      <c r="C52" s="70"/>
      <c r="D52" s="70"/>
      <c r="E52" s="70"/>
      <c r="F52" s="70"/>
      <c r="G52" s="70"/>
      <c r="H52" s="256"/>
      <c r="I52" s="8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49"/>
      <c r="B53" s="70"/>
      <c r="C53" s="70"/>
      <c r="D53" s="70"/>
      <c r="E53" s="70"/>
      <c r="F53" s="30"/>
      <c r="G53" s="70"/>
      <c r="H53" s="382"/>
      <c r="I53" s="8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224" t="s">
        <v>584</v>
      </c>
      <c r="B54" s="433"/>
      <c r="C54" s="433"/>
      <c r="D54" s="433"/>
      <c r="E54" s="433"/>
      <c r="F54" s="457"/>
      <c r="G54" s="433"/>
      <c r="H54" s="458"/>
      <c r="I54" s="45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B3:C3"/>
    <mergeCell ref="D3:E3"/>
    <mergeCell ref="F3:G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32" customWidth="1"/>
    <col min="2" max="7" width="13.85546875" customWidth="1"/>
    <col min="8" max="26" width="9" customWidth="1"/>
  </cols>
  <sheetData>
    <row r="1" spans="1:26" ht="14.25" customHeight="1">
      <c r="A1" s="1" t="s">
        <v>0</v>
      </c>
      <c r="E1" s="429"/>
      <c r="F1" s="2">
        <f>InfoInicial!E1</f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564</v>
      </c>
      <c r="B2" s="56"/>
      <c r="C2" s="56"/>
      <c r="D2" s="56"/>
      <c r="E2" s="56"/>
      <c r="F2" s="56"/>
      <c r="G2" s="5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61" t="s">
        <v>153</v>
      </c>
      <c r="B3" s="16" t="s">
        <v>20</v>
      </c>
      <c r="C3" s="16" t="s">
        <v>156</v>
      </c>
      <c r="D3" s="16" t="s">
        <v>157</v>
      </c>
      <c r="E3" s="16" t="s">
        <v>158</v>
      </c>
      <c r="F3" s="353" t="s">
        <v>159</v>
      </c>
      <c r="G3" s="17" t="s">
        <v>445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3" t="s">
        <v>569</v>
      </c>
      <c r="B4" s="70"/>
      <c r="C4" s="70"/>
      <c r="D4" s="70"/>
      <c r="E4" s="70"/>
      <c r="F4" s="365"/>
      <c r="G4" s="8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" t="s">
        <v>570</v>
      </c>
      <c r="B5" s="70"/>
      <c r="C5" s="70"/>
      <c r="D5" s="70"/>
      <c r="E5" s="70"/>
      <c r="F5" s="365"/>
      <c r="G5" s="8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" t="s">
        <v>571</v>
      </c>
      <c r="B6" s="70"/>
      <c r="C6" s="70"/>
      <c r="D6" s="70"/>
      <c r="E6" s="70"/>
      <c r="F6" s="365"/>
      <c r="G6" s="8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3" t="s">
        <v>320</v>
      </c>
      <c r="B7" s="70"/>
      <c r="C7" s="70"/>
      <c r="D7" s="70"/>
      <c r="E7" s="70"/>
      <c r="F7" s="365"/>
      <c r="G7" s="8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" t="s">
        <v>572</v>
      </c>
      <c r="B8" s="70"/>
      <c r="C8" s="70"/>
      <c r="D8" s="70"/>
      <c r="E8" s="70"/>
      <c r="F8" s="365"/>
      <c r="G8" s="8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3" t="s">
        <v>573</v>
      </c>
      <c r="B9" s="70"/>
      <c r="C9" s="70"/>
      <c r="D9" s="70"/>
      <c r="E9" s="70"/>
      <c r="F9" s="365"/>
      <c r="G9" s="8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3" t="s">
        <v>574</v>
      </c>
      <c r="B10" s="70"/>
      <c r="C10" s="70"/>
      <c r="D10" s="70"/>
      <c r="E10" s="70"/>
      <c r="F10" s="365"/>
      <c r="G10" s="8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9" t="s">
        <v>579</v>
      </c>
      <c r="B11" s="70"/>
      <c r="C11" s="70"/>
      <c r="D11" s="70"/>
      <c r="E11" s="70"/>
      <c r="F11" s="365"/>
      <c r="G11" s="8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" t="s">
        <v>580</v>
      </c>
      <c r="B12" s="70"/>
      <c r="C12" s="70"/>
      <c r="D12" s="70"/>
      <c r="E12" s="70"/>
      <c r="F12" s="365"/>
      <c r="G12" s="8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46" t="s">
        <v>581</v>
      </c>
      <c r="B13" s="70"/>
      <c r="C13" s="70"/>
      <c r="D13" s="70"/>
      <c r="E13" s="70"/>
      <c r="F13" s="365"/>
      <c r="G13" s="8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135" t="s">
        <v>582</v>
      </c>
      <c r="B14" s="137"/>
      <c r="C14" s="137"/>
      <c r="D14" s="137"/>
      <c r="E14" s="137"/>
      <c r="F14" s="422"/>
      <c r="G14" s="19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InfoInicial</vt:lpstr>
      <vt:lpstr>E-Inv AF y Am</vt:lpstr>
      <vt:lpstr>E-Costos</vt:lpstr>
      <vt:lpstr>E-InvAT</vt:lpstr>
      <vt:lpstr>E-IVA </vt:lpstr>
      <vt:lpstr>E-Cal Inv.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Kalousek</dc:creator>
  <cp:lastModifiedBy>Santiago Kalousek</cp:lastModifiedBy>
  <dcterms:created xsi:type="dcterms:W3CDTF">2018-09-22T02:49:18Z</dcterms:created>
  <dcterms:modified xsi:type="dcterms:W3CDTF">2018-09-22T03:32:00Z</dcterms:modified>
</cp:coreProperties>
</file>