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Rama\Documents\UTN 2018\Ev de Proy\"/>
    </mc:Choice>
  </mc:AlternateContent>
  <xr:revisionPtr revIDLastSave="0" documentId="13_ncr:1_{57990B54-A2BC-441E-826B-ECBB513EEE28}" xr6:coauthVersionLast="40" xr6:coauthVersionMax="40" xr10:uidLastSave="{00000000-0000-0000-0000-000000000000}"/>
  <bookViews>
    <workbookView xWindow="0" yWindow="0" windowWidth="20490" windowHeight="7545" tabRatio="733" firstSheet="8" activeTab="11" xr2:uid="{00000000-000D-0000-FFFF-FFFF00000000}"/>
  </bookViews>
  <sheets>
    <sheet name="InfoInicial" sheetId="1" r:id="rId1"/>
    <sheet name="E-Inv AF y Am" sheetId="2" r:id="rId2"/>
    <sheet name="E-Inv AF y Am(Cálculos y links)" sheetId="3" r:id="rId3"/>
    <sheet name="E-Costos" sheetId="4" r:id="rId4"/>
    <sheet name="E-Costos (Cálculos y links)" sheetId="5" r:id="rId5"/>
    <sheet name="E-InvAT" sheetId="6" r:id="rId6"/>
    <sheet name="E-InvAT (Cálculos y links)" sheetId="7" r:id="rId7"/>
    <sheet name="E-Cal Inv." sheetId="8" r:id="rId8"/>
    <sheet name="E-IVA " sheetId="9" r:id="rId9"/>
    <sheet name="E-IVA (Cálculos)" sheetId="10" r:id="rId10"/>
    <sheet name="E-Form" sheetId="11" r:id="rId11"/>
    <sheet name="F-Cred" sheetId="12" r:id="rId12"/>
    <sheet name="F-CRes" sheetId="13" r:id="rId13"/>
    <sheet name="F-2 Estructura" sheetId="14" r:id="rId14"/>
    <sheet name="F-IVA" sheetId="15" r:id="rId15"/>
    <sheet name="F- CFyU" sheetId="16" r:id="rId16"/>
    <sheet name="F-Balance" sheetId="17" r:id="rId17"/>
    <sheet name="F- Form" sheetId="18" r:id="rId18"/>
    <sheet name="Adjunto Créditos" sheetId="19" r:id="rId19"/>
  </sheets>
  <externalReferences>
    <externalReference r:id="rId20"/>
    <externalReference r:id="rId21"/>
  </externalReferences>
  <definedNames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  <definedName name="_xlnm.Print_Area" localSheetId="3">('E-Costos'!$A$3:$G$48,'E-Costos'!$A$51:$F$82,'E-Costos'!$A$85:$F$137)</definedName>
    <definedName name="_xlnm.Print_Area" localSheetId="15">'F- CFyU'!$A$3:$H$28</definedName>
    <definedName name="_xlnm.Print_Area" localSheetId="16">'F-Balance'!$A$3:$G$35</definedName>
    <definedName name="_xlnm.Print_Area" localSheetId="11">'F-Cred'!$A$1:$I$33</definedName>
  </definedNames>
  <calcPr calcId="181029" iterateDelta="1E-4"/>
</workbook>
</file>

<file path=xl/calcChain.xml><?xml version="1.0" encoding="utf-8"?>
<calcChain xmlns="http://schemas.openxmlformats.org/spreadsheetml/2006/main">
  <c r="C24" i="12" l="1"/>
  <c r="E32" i="12"/>
  <c r="D14" i="12" l="1"/>
  <c r="G8" i="12"/>
  <c r="G7" i="12"/>
  <c r="G6" i="12"/>
  <c r="G5" i="12"/>
  <c r="E8" i="12"/>
  <c r="E5" i="12"/>
  <c r="B7" i="12"/>
  <c r="B6" i="12"/>
  <c r="B5" i="12"/>
  <c r="V5" i="12" s="1"/>
  <c r="D5" i="12"/>
  <c r="P17" i="12"/>
  <c r="E7" i="17"/>
  <c r="F7" i="17"/>
  <c r="G7" i="17"/>
  <c r="D7" i="17"/>
  <c r="E6" i="6"/>
  <c r="F6" i="6"/>
  <c r="G6" i="6"/>
  <c r="D6" i="6"/>
  <c r="C6" i="6"/>
  <c r="B6" i="6" s="1"/>
  <c r="B12" i="14" s="1"/>
  <c r="C17" i="14"/>
  <c r="C14" i="14"/>
  <c r="D14" i="14"/>
  <c r="B14" i="14"/>
  <c r="B6" i="14"/>
  <c r="D12" i="14" l="1"/>
  <c r="C12" i="14" s="1"/>
  <c r="G23" i="17" l="1"/>
  <c r="C10" i="19" l="1"/>
  <c r="C11" i="19"/>
  <c r="C12" i="19"/>
  <c r="G1" i="8"/>
  <c r="B22" i="8"/>
  <c r="E3" i="4"/>
  <c r="D75" i="4"/>
  <c r="B88" i="4"/>
  <c r="B89" i="4" s="1"/>
  <c r="C7" i="6" s="1"/>
  <c r="C88" i="4"/>
  <c r="C89" i="4" s="1"/>
  <c r="D88" i="4"/>
  <c r="D89" i="4" s="1"/>
  <c r="E7" i="6" s="1"/>
  <c r="E88" i="4"/>
  <c r="E89" i="4" s="1"/>
  <c r="F7" i="6" s="1"/>
  <c r="F88" i="4"/>
  <c r="F89" i="4" s="1"/>
  <c r="G7" i="6" s="1"/>
  <c r="A144" i="4"/>
  <c r="H144" i="4"/>
  <c r="L4" i="5"/>
  <c r="M4" i="5"/>
  <c r="M8" i="5" s="1"/>
  <c r="M6" i="5"/>
  <c r="M7" i="5"/>
  <c r="E8" i="5"/>
  <c r="F8" i="5"/>
  <c r="G8" i="5"/>
  <c r="G17" i="5" s="1"/>
  <c r="H17" i="5" s="1"/>
  <c r="H8" i="5"/>
  <c r="E10" i="5"/>
  <c r="M10" i="5" s="1"/>
  <c r="L16" i="5"/>
  <c r="M16" i="5"/>
  <c r="M20" i="5" s="1"/>
  <c r="M18" i="5"/>
  <c r="E19" i="5"/>
  <c r="M19" i="5"/>
  <c r="M21" i="5"/>
  <c r="M22" i="5"/>
  <c r="M23" i="5"/>
  <c r="E25" i="5"/>
  <c r="G25" i="5" s="1"/>
  <c r="H25" i="5"/>
  <c r="D112" i="5" s="1"/>
  <c r="E112" i="5" s="1"/>
  <c r="E26" i="5"/>
  <c r="G26" i="5"/>
  <c r="H26" i="5" s="1"/>
  <c r="C70" i="4" s="1"/>
  <c r="E27" i="5"/>
  <c r="G27" i="5" s="1"/>
  <c r="H27" i="5"/>
  <c r="E28" i="5"/>
  <c r="G28" i="5" s="1"/>
  <c r="H28" i="5" s="1"/>
  <c r="E29" i="5"/>
  <c r="G29" i="5" s="1"/>
  <c r="H29" i="5" s="1"/>
  <c r="E53" i="5"/>
  <c r="F53" i="5"/>
  <c r="E54" i="5"/>
  <c r="F54" i="5" s="1"/>
  <c r="F55" i="5"/>
  <c r="F56" i="5"/>
  <c r="F57" i="5"/>
  <c r="F58" i="5"/>
  <c r="E59" i="5"/>
  <c r="F59" i="5"/>
  <c r="E60" i="5"/>
  <c r="F60" i="5" s="1"/>
  <c r="E61" i="5"/>
  <c r="F61" i="5"/>
  <c r="D69" i="5"/>
  <c r="O78" i="5"/>
  <c r="F85" i="5"/>
  <c r="O85" i="5"/>
  <c r="J99" i="5"/>
  <c r="J100" i="5"/>
  <c r="J101" i="5"/>
  <c r="D111" i="5"/>
  <c r="E111" i="5"/>
  <c r="D117" i="5"/>
  <c r="E117" i="5"/>
  <c r="D118" i="5"/>
  <c r="E118" i="5" s="1"/>
  <c r="I122" i="5"/>
  <c r="I123" i="5"/>
  <c r="D126" i="5"/>
  <c r="K6" i="10" s="1"/>
  <c r="K15" i="10" s="1"/>
  <c r="I129" i="5"/>
  <c r="I130" i="5" s="1"/>
  <c r="F76" i="4" s="1"/>
  <c r="D134" i="5"/>
  <c r="E75" i="4" s="1"/>
  <c r="L24" i="10" s="1"/>
  <c r="L33" i="10" s="1"/>
  <c r="F139" i="5"/>
  <c r="F140" i="5"/>
  <c r="F148" i="5"/>
  <c r="F149" i="5"/>
  <c r="E156" i="5"/>
  <c r="D168" i="5" s="1"/>
  <c r="F156" i="5"/>
  <c r="E157" i="5"/>
  <c r="F157" i="5"/>
  <c r="D160" i="5"/>
  <c r="D169" i="5" s="1"/>
  <c r="D170" i="5"/>
  <c r="G1" i="11"/>
  <c r="B6" i="11"/>
  <c r="B7" i="11"/>
  <c r="B8" i="11"/>
  <c r="E1" i="2"/>
  <c r="B7" i="2"/>
  <c r="B8" i="2"/>
  <c r="B9" i="2" s="1"/>
  <c r="B45" i="2" s="1"/>
  <c r="B15" i="2"/>
  <c r="B47" i="2" s="1"/>
  <c r="B23" i="2"/>
  <c r="B7" i="8" s="1"/>
  <c r="B24" i="2"/>
  <c r="B25" i="2"/>
  <c r="C26" i="2"/>
  <c r="C29" i="2"/>
  <c r="C31" i="2" s="1"/>
  <c r="C7" i="14" s="1"/>
  <c r="C44" i="2"/>
  <c r="C45" i="2"/>
  <c r="C46" i="2"/>
  <c r="C47" i="2"/>
  <c r="C48" i="2"/>
  <c r="C49" i="2"/>
  <c r="C50" i="2"/>
  <c r="C53" i="2"/>
  <c r="C19" i="3"/>
  <c r="B12" i="2" s="1"/>
  <c r="C21" i="3"/>
  <c r="D11" i="2" s="1"/>
  <c r="C37" i="3"/>
  <c r="C38" i="3"/>
  <c r="C40" i="3"/>
  <c r="C41" i="3"/>
  <c r="C42" i="3"/>
  <c r="C43" i="3"/>
  <c r="C44" i="3"/>
  <c r="C47" i="3"/>
  <c r="C48" i="3"/>
  <c r="C49" i="3"/>
  <c r="C50" i="3"/>
  <c r="C51" i="3"/>
  <c r="C58" i="3"/>
  <c r="C59" i="3"/>
  <c r="C60" i="3"/>
  <c r="C61" i="3"/>
  <c r="C62" i="3"/>
  <c r="C63" i="3"/>
  <c r="C64" i="3"/>
  <c r="E1" i="6"/>
  <c r="D6" i="7"/>
  <c r="E6" i="7" s="1"/>
  <c r="D7" i="7"/>
  <c r="E7" i="7" s="1"/>
  <c r="E8" i="7"/>
  <c r="E9" i="7"/>
  <c r="E10" i="7"/>
  <c r="E11" i="7"/>
  <c r="E12" i="7"/>
  <c r="E13" i="7"/>
  <c r="D14" i="7"/>
  <c r="E14" i="7"/>
  <c r="D15" i="7"/>
  <c r="E15" i="7" s="1"/>
  <c r="C37" i="7"/>
  <c r="D37" i="7"/>
  <c r="E37" i="7"/>
  <c r="F37" i="7"/>
  <c r="G37" i="7"/>
  <c r="G1" i="9"/>
  <c r="C10" i="9"/>
  <c r="D10" i="9"/>
  <c r="E10" i="9"/>
  <c r="F10" i="9"/>
  <c r="G10" i="9"/>
  <c r="B30" i="9"/>
  <c r="B6" i="10"/>
  <c r="J6" i="10"/>
  <c r="J15" i="10" s="1"/>
  <c r="B16" i="10"/>
  <c r="I23" i="10"/>
  <c r="J23" i="10"/>
  <c r="K23" i="10"/>
  <c r="L23" i="10"/>
  <c r="M23" i="10"/>
  <c r="K24" i="10"/>
  <c r="K33" i="10" s="1"/>
  <c r="I32" i="10"/>
  <c r="J32" i="10"/>
  <c r="K32" i="10"/>
  <c r="L32" i="10"/>
  <c r="M32" i="10"/>
  <c r="B35" i="10"/>
  <c r="C35" i="10"/>
  <c r="D35" i="10"/>
  <c r="E35" i="10"/>
  <c r="F35" i="10"/>
  <c r="E1" i="16"/>
  <c r="C6" i="16"/>
  <c r="B8" i="16"/>
  <c r="C9" i="16"/>
  <c r="B11" i="16"/>
  <c r="G18" i="16"/>
  <c r="H20" i="16"/>
  <c r="G21" i="16"/>
  <c r="H22" i="16"/>
  <c r="G1" i="18"/>
  <c r="E5" i="18"/>
  <c r="F5" i="18"/>
  <c r="J5" i="18"/>
  <c r="K5" i="18"/>
  <c r="E6" i="18"/>
  <c r="F6" i="18"/>
  <c r="B7" i="18"/>
  <c r="B8" i="18"/>
  <c r="B9" i="18"/>
  <c r="D10" i="18"/>
  <c r="G11" i="18"/>
  <c r="L11" i="18"/>
  <c r="M11" i="18"/>
  <c r="E24" i="18"/>
  <c r="F24" i="18"/>
  <c r="B26" i="18"/>
  <c r="C26" i="18"/>
  <c r="B27" i="18"/>
  <c r="C27" i="18" s="1"/>
  <c r="B28" i="18"/>
  <c r="C28" i="18"/>
  <c r="D31" i="18"/>
  <c r="D1" i="14"/>
  <c r="B13" i="14"/>
  <c r="A51" i="14"/>
  <c r="A57" i="14"/>
  <c r="E1" i="17"/>
  <c r="B9" i="17"/>
  <c r="G11" i="17"/>
  <c r="C20" i="17"/>
  <c r="D20" i="17"/>
  <c r="E20" i="17"/>
  <c r="F20" i="17"/>
  <c r="G20" i="17"/>
  <c r="F27" i="17"/>
  <c r="F28" i="17"/>
  <c r="G28" i="17"/>
  <c r="B33" i="17"/>
  <c r="C34" i="17" s="1"/>
  <c r="F1" i="12"/>
  <c r="F1" i="13"/>
  <c r="E1" i="15"/>
  <c r="B10" i="15"/>
  <c r="B12" i="15"/>
  <c r="B13" i="15"/>
  <c r="B14" i="15"/>
  <c r="B21" i="15" s="1"/>
  <c r="E57" i="14" l="1"/>
  <c r="C22" i="9"/>
  <c r="C8" i="14"/>
  <c r="C15" i="17"/>
  <c r="D8" i="4"/>
  <c r="D92" i="4" s="1"/>
  <c r="E139" i="5"/>
  <c r="E140" i="5" s="1"/>
  <c r="E45" i="2"/>
  <c r="D45" i="2"/>
  <c r="D7" i="6"/>
  <c r="D9" i="17" s="1"/>
  <c r="G22" i="9"/>
  <c r="H11" i="8"/>
  <c r="B44" i="2"/>
  <c r="E9" i="17"/>
  <c r="D4" i="13"/>
  <c r="E10" i="16" s="1"/>
  <c r="F9" i="17"/>
  <c r="E4" i="13"/>
  <c r="F10" i="16" s="1"/>
  <c r="F22" i="9"/>
  <c r="F13" i="15" s="1"/>
  <c r="F4" i="13"/>
  <c r="B4" i="13"/>
  <c r="E22" i="9"/>
  <c r="E13" i="15" s="1"/>
  <c r="C4" i="13"/>
  <c r="D10" i="16" s="1"/>
  <c r="D22" i="9"/>
  <c r="D13" i="15" s="1"/>
  <c r="F11" i="8"/>
  <c r="B14" i="2"/>
  <c r="C14" i="16"/>
  <c r="G9" i="17"/>
  <c r="C13" i="14"/>
  <c r="D13" i="14" s="1"/>
  <c r="C9" i="17"/>
  <c r="E11" i="8"/>
  <c r="D171" i="5"/>
  <c r="E144" i="4"/>
  <c r="E51" i="14"/>
  <c r="G13" i="15"/>
  <c r="C13" i="15"/>
  <c r="G10" i="16"/>
  <c r="C10" i="16"/>
  <c r="D47" i="2"/>
  <c r="G47" i="2" s="1"/>
  <c r="E47" i="2"/>
  <c r="E38" i="5"/>
  <c r="B43" i="2"/>
  <c r="L144" i="4"/>
  <c r="E16" i="7"/>
  <c r="B16" i="2"/>
  <c r="B48" i="2" s="1"/>
  <c r="D7" i="8"/>
  <c r="D8" i="8" s="1"/>
  <c r="C33" i="2"/>
  <c r="B58" i="4"/>
  <c r="F58" i="4"/>
  <c r="E58" i="4"/>
  <c r="D58" i="4"/>
  <c r="C58" i="4"/>
  <c r="L6" i="10"/>
  <c r="L15" i="10" s="1"/>
  <c r="I6" i="10"/>
  <c r="I15" i="10" s="1"/>
  <c r="M6" i="10"/>
  <c r="M15" i="10" s="1"/>
  <c r="B13" i="2"/>
  <c r="D14" i="2"/>
  <c r="B50" i="2"/>
  <c r="G45" i="2"/>
  <c r="E11" i="4"/>
  <c r="B11" i="4"/>
  <c r="F11" i="4"/>
  <c r="C11" i="4"/>
  <c r="E148" i="5"/>
  <c r="D11" i="4"/>
  <c r="C7" i="8"/>
  <c r="B53" i="4"/>
  <c r="F53" i="4"/>
  <c r="D53" i="4"/>
  <c r="C53" i="4"/>
  <c r="E53" i="4"/>
  <c r="B29" i="2"/>
  <c r="B31" i="2" s="1"/>
  <c r="B8" i="8"/>
  <c r="D161" i="5"/>
  <c r="D162" i="5" s="1"/>
  <c r="C8" i="4"/>
  <c r="C92" i="4" s="1"/>
  <c r="F8" i="4"/>
  <c r="E8" i="4"/>
  <c r="E92" i="4" s="1"/>
  <c r="B8" i="4"/>
  <c r="B92" i="4" s="1"/>
  <c r="H31" i="5"/>
  <c r="H32" i="5" s="1"/>
  <c r="M9" i="5"/>
  <c r="G11" i="8"/>
  <c r="D11" i="8"/>
  <c r="B70" i="4"/>
  <c r="F70" i="4"/>
  <c r="E70" i="4"/>
  <c r="D70" i="4"/>
  <c r="M24" i="5"/>
  <c r="G9" i="5" s="1"/>
  <c r="M11" i="5"/>
  <c r="E76" i="4"/>
  <c r="C76" i="4"/>
  <c r="B76" i="4"/>
  <c r="I124" i="5"/>
  <c r="F62" i="5"/>
  <c r="D76" i="4"/>
  <c r="B75" i="4"/>
  <c r="F75" i="4"/>
  <c r="C75" i="4"/>
  <c r="I7" i="8" l="1"/>
  <c r="G139" i="5"/>
  <c r="E143" i="5" s="1"/>
  <c r="B18" i="2"/>
  <c r="B20" i="2" s="1"/>
  <c r="D44" i="2"/>
  <c r="E44" i="2"/>
  <c r="M12" i="5"/>
  <c r="G10" i="5" s="1"/>
  <c r="C10" i="14"/>
  <c r="C25" i="14" s="1"/>
  <c r="C9" i="14"/>
  <c r="G4" i="13"/>
  <c r="H10" i="16"/>
  <c r="H10" i="5"/>
  <c r="G19" i="5"/>
  <c r="H19" i="5" s="1"/>
  <c r="B13" i="4" s="1"/>
  <c r="B53" i="2"/>
  <c r="C34" i="2"/>
  <c r="C36" i="2" s="1"/>
  <c r="E10" i="6"/>
  <c r="E12" i="6"/>
  <c r="C13" i="6"/>
  <c r="G13" i="6"/>
  <c r="B10" i="6"/>
  <c r="F10" i="6"/>
  <c r="B12" i="6"/>
  <c r="C16" i="8" s="1"/>
  <c r="F12" i="6"/>
  <c r="D13" i="6"/>
  <c r="G10" i="6"/>
  <c r="C12" i="6"/>
  <c r="E13" i="6"/>
  <c r="D12" i="6"/>
  <c r="F13" i="6"/>
  <c r="D10" i="6"/>
  <c r="B13" i="6"/>
  <c r="C17" i="8" s="1"/>
  <c r="G12" i="6"/>
  <c r="C10" i="6"/>
  <c r="B6" i="18"/>
  <c r="D7" i="4"/>
  <c r="F7" i="4"/>
  <c r="E73" i="5"/>
  <c r="E7" i="4"/>
  <c r="C7" i="4"/>
  <c r="B7" i="4"/>
  <c r="H9" i="5"/>
  <c r="G18" i="5"/>
  <c r="H18" i="5" s="1"/>
  <c r="G11" i="5"/>
  <c r="D174" i="5"/>
  <c r="D21" i="8"/>
  <c r="B5" i="11"/>
  <c r="H36" i="5"/>
  <c r="H37" i="5"/>
  <c r="B46" i="2"/>
  <c r="J24" i="10"/>
  <c r="J33" i="10" s="1"/>
  <c r="E59" i="4"/>
  <c r="F59" i="4"/>
  <c r="D59" i="4"/>
  <c r="B59" i="4"/>
  <c r="C59" i="4"/>
  <c r="J87" i="5"/>
  <c r="F92" i="4"/>
  <c r="D50" i="2"/>
  <c r="G50" i="2" s="1"/>
  <c r="D175" i="5"/>
  <c r="G26" i="4" s="1"/>
  <c r="I24" i="10"/>
  <c r="I33" i="10" s="1"/>
  <c r="M24" i="10"/>
  <c r="M33" i="10" s="1"/>
  <c r="C11" i="8"/>
  <c r="B7" i="17"/>
  <c r="B21" i="8"/>
  <c r="E149" i="5"/>
  <c r="G149" i="5" s="1"/>
  <c r="E151" i="5" s="1"/>
  <c r="B30" i="4" s="1"/>
  <c r="G148" i="5"/>
  <c r="E152" i="5" s="1"/>
  <c r="D18" i="2"/>
  <c r="D20" i="2" s="1"/>
  <c r="O74" i="5"/>
  <c r="K85" i="5" s="1"/>
  <c r="J85" i="5" s="1"/>
  <c r="D48" i="2"/>
  <c r="G48" i="2" s="1"/>
  <c r="E48" i="2"/>
  <c r="G43" i="2"/>
  <c r="D110" i="5" l="1"/>
  <c r="D116" i="5"/>
  <c r="E116" i="5" s="1"/>
  <c r="E119" i="5" s="1"/>
  <c r="B72" i="4" s="1"/>
  <c r="I21" i="10" s="1"/>
  <c r="B33" i="2"/>
  <c r="E144" i="5"/>
  <c r="G27" i="4" s="1"/>
  <c r="I140" i="5"/>
  <c r="G44" i="2"/>
  <c r="F17" i="8"/>
  <c r="F16" i="8"/>
  <c r="D16" i="8"/>
  <c r="D17" i="8"/>
  <c r="G17" i="8"/>
  <c r="H16" i="8"/>
  <c r="J84" i="5"/>
  <c r="C6" i="8"/>
  <c r="B23" i="8"/>
  <c r="E14" i="8"/>
  <c r="D30" i="6"/>
  <c r="B91" i="4"/>
  <c r="C6" i="9"/>
  <c r="F91" i="4"/>
  <c r="G6" i="9"/>
  <c r="D14" i="8"/>
  <c r="C30" i="6"/>
  <c r="H14" i="8"/>
  <c r="G30" i="6"/>
  <c r="G14" i="8"/>
  <c r="F30" i="6"/>
  <c r="D33" i="2"/>
  <c r="D53" i="2"/>
  <c r="E53" i="2"/>
  <c r="C13" i="4"/>
  <c r="F13" i="4"/>
  <c r="D13" i="4"/>
  <c r="E13" i="4"/>
  <c r="B34" i="2"/>
  <c r="B36" i="2" s="1"/>
  <c r="I11" i="8"/>
  <c r="C56" i="4"/>
  <c r="J4" i="10" s="1"/>
  <c r="J13" i="10" s="1"/>
  <c r="C73" i="4"/>
  <c r="J22" i="10" s="1"/>
  <c r="J31" i="10" s="1"/>
  <c r="E56" i="4"/>
  <c r="L4" i="10" s="1"/>
  <c r="L13" i="10" s="1"/>
  <c r="D56" i="4"/>
  <c r="K4" i="10" s="1"/>
  <c r="K13" i="10" s="1"/>
  <c r="F73" i="4"/>
  <c r="M22" i="10" s="1"/>
  <c r="M31" i="10" s="1"/>
  <c r="D73" i="4"/>
  <c r="K22" i="10" s="1"/>
  <c r="K31" i="10" s="1"/>
  <c r="E73" i="4"/>
  <c r="L22" i="10" s="1"/>
  <c r="L31" i="10" s="1"/>
  <c r="F56" i="4"/>
  <c r="M4" i="10" s="1"/>
  <c r="M13" i="10" s="1"/>
  <c r="B49" i="2"/>
  <c r="D46" i="2"/>
  <c r="E46" i="2"/>
  <c r="H38" i="5"/>
  <c r="C27" i="4"/>
  <c r="D27" i="4"/>
  <c r="B27" i="4"/>
  <c r="F27" i="4"/>
  <c r="E27" i="4"/>
  <c r="E26" i="4"/>
  <c r="D26" i="4"/>
  <c r="C26" i="4"/>
  <c r="B26" i="4"/>
  <c r="F26" i="4"/>
  <c r="G34" i="7" s="1"/>
  <c r="D4" i="10"/>
  <c r="E4" i="10"/>
  <c r="F4" i="10"/>
  <c r="B4" i="10"/>
  <c r="C4" i="10"/>
  <c r="H11" i="5"/>
  <c r="G20" i="5"/>
  <c r="H20" i="5" s="1"/>
  <c r="C91" i="4"/>
  <c r="D6" i="9"/>
  <c r="D34" i="7"/>
  <c r="D91" i="4"/>
  <c r="E34" i="7"/>
  <c r="P10" i="12"/>
  <c r="Q10" i="12" s="1"/>
  <c r="S10" i="12" s="1"/>
  <c r="P16" i="12"/>
  <c r="Q16" i="12" s="1"/>
  <c r="S16" i="12" s="1"/>
  <c r="P6" i="12"/>
  <c r="Q6" i="12" s="1"/>
  <c r="S6" i="12" s="1"/>
  <c r="P7" i="12"/>
  <c r="Q7" i="12" s="1"/>
  <c r="S7" i="12" s="1"/>
  <c r="P9" i="12"/>
  <c r="Q9" i="12" s="1"/>
  <c r="S9" i="12" s="1"/>
  <c r="P14" i="12"/>
  <c r="Q14" i="12" s="1"/>
  <c r="S14" i="12" s="1"/>
  <c r="P8" i="12"/>
  <c r="Q8" i="12" s="1"/>
  <c r="S8" i="12" s="1"/>
  <c r="P12" i="12"/>
  <c r="Q12" i="12" s="1"/>
  <c r="S12" i="12" s="1"/>
  <c r="P11" i="12"/>
  <c r="Q11" i="12" s="1"/>
  <c r="S11" i="12" s="1"/>
  <c r="P13" i="12"/>
  <c r="Q13" i="12" s="1"/>
  <c r="S13" i="12" s="1"/>
  <c r="P15" i="12"/>
  <c r="Q15" i="12" s="1"/>
  <c r="S15" i="12" s="1"/>
  <c r="E6" i="9"/>
  <c r="P5" i="12"/>
  <c r="Q5" i="12" s="1"/>
  <c r="E16" i="8"/>
  <c r="E17" i="8"/>
  <c r="I17" i="8" s="1"/>
  <c r="B30" i="6"/>
  <c r="C14" i="8"/>
  <c r="F14" i="8"/>
  <c r="E30" i="6"/>
  <c r="D119" i="5"/>
  <c r="D30" i="4"/>
  <c r="C30" i="4"/>
  <c r="F30" i="4"/>
  <c r="E30" i="4"/>
  <c r="C36" i="7"/>
  <c r="B27" i="10" s="1"/>
  <c r="C8" i="9"/>
  <c r="B73" i="4"/>
  <c r="I22" i="10" s="1"/>
  <c r="I31" i="10" s="1"/>
  <c r="B56" i="4"/>
  <c r="I4" i="10" s="1"/>
  <c r="I13" i="10" s="1"/>
  <c r="J86" i="5"/>
  <c r="F6" i="9"/>
  <c r="E91" i="4"/>
  <c r="G16" i="8"/>
  <c r="H17" i="8"/>
  <c r="D113" i="5"/>
  <c r="E110" i="5"/>
  <c r="E113" i="5" s="1"/>
  <c r="B55" i="4" s="1"/>
  <c r="I3" i="10" s="1"/>
  <c r="F16" i="17" l="1"/>
  <c r="G16" i="17"/>
  <c r="C7" i="17"/>
  <c r="I16" i="8"/>
  <c r="F25" i="10"/>
  <c r="C25" i="10"/>
  <c r="F14" i="10"/>
  <c r="F36" i="7"/>
  <c r="E27" i="10" s="1"/>
  <c r="F8" i="9"/>
  <c r="B20" i="17"/>
  <c r="B22" i="17" s="1"/>
  <c r="D6" i="14"/>
  <c r="B9" i="10"/>
  <c r="B14" i="10"/>
  <c r="B19" i="10" s="1"/>
  <c r="B20" i="10" s="1"/>
  <c r="C15" i="9" s="1"/>
  <c r="D8" i="9"/>
  <c r="D36" i="7"/>
  <c r="C27" i="10" s="1"/>
  <c r="I25" i="10"/>
  <c r="I30" i="10"/>
  <c r="I34" i="10" s="1"/>
  <c r="C19" i="9" s="1"/>
  <c r="C8" i="15" s="1"/>
  <c r="I14" i="8"/>
  <c r="Q17" i="12"/>
  <c r="S5" i="12"/>
  <c r="S17" i="12" s="1"/>
  <c r="P19" i="12" s="1"/>
  <c r="D6" i="12" s="1"/>
  <c r="E14" i="10"/>
  <c r="B15" i="4"/>
  <c r="C11" i="9" s="1"/>
  <c r="F15" i="4"/>
  <c r="G11" i="9" s="1"/>
  <c r="C15" i="4"/>
  <c r="D11" i="9" s="1"/>
  <c r="O39" i="5"/>
  <c r="O40" i="5" s="1"/>
  <c r="B34" i="4" s="1"/>
  <c r="E15" i="4"/>
  <c r="F11" i="9" s="1"/>
  <c r="O34" i="5"/>
  <c r="O35" i="5" s="1"/>
  <c r="D15" i="4"/>
  <c r="E11" i="9" s="1"/>
  <c r="E49" i="2"/>
  <c r="D49" i="2"/>
  <c r="G49" i="2" s="1"/>
  <c r="B51" i="2"/>
  <c r="B56" i="2" s="1"/>
  <c r="E8" i="9"/>
  <c r="E36" i="7"/>
  <c r="D27" i="10" s="1"/>
  <c r="C34" i="7"/>
  <c r="I6" i="8"/>
  <c r="C8" i="8"/>
  <c r="E51" i="2"/>
  <c r="I12" i="10"/>
  <c r="I16" i="10" s="1"/>
  <c r="C18" i="9" s="1"/>
  <c r="C7" i="15" s="1"/>
  <c r="I7" i="10"/>
  <c r="F34" i="7"/>
  <c r="D55" i="4"/>
  <c r="K3" i="10" s="1"/>
  <c r="E55" i="4"/>
  <c r="L3" i="10" s="1"/>
  <c r="C55" i="4"/>
  <c r="J3" i="10" s="1"/>
  <c r="F55" i="4"/>
  <c r="M3" i="10" s="1"/>
  <c r="D72" i="4"/>
  <c r="K21" i="10" s="1"/>
  <c r="F72" i="4"/>
  <c r="M21" i="10" s="1"/>
  <c r="E72" i="4"/>
  <c r="L21" i="10" s="1"/>
  <c r="C72" i="4"/>
  <c r="J21" i="10" s="1"/>
  <c r="D25" i="10"/>
  <c r="C14" i="10"/>
  <c r="D14" i="10"/>
  <c r="G46" i="2"/>
  <c r="G36" i="7"/>
  <c r="F27" i="10" s="1"/>
  <c r="G8" i="9"/>
  <c r="D34" i="2"/>
  <c r="D36" i="2" s="1"/>
  <c r="B25" i="8"/>
  <c r="J88" i="5"/>
  <c r="D51" i="2" l="1"/>
  <c r="G51" i="2"/>
  <c r="G56" i="2" s="1"/>
  <c r="B9" i="11"/>
  <c r="B10" i="18"/>
  <c r="M25" i="10"/>
  <c r="M30" i="10"/>
  <c r="M34" i="10" s="1"/>
  <c r="G19" i="9" s="1"/>
  <c r="G8" i="15" s="1"/>
  <c r="F12" i="4"/>
  <c r="E12" i="4"/>
  <c r="I88" i="5"/>
  <c r="O79" i="5"/>
  <c r="K25" i="10"/>
  <c r="K30" i="10"/>
  <c r="K34" i="10" s="1"/>
  <c r="E19" i="9" s="1"/>
  <c r="E8" i="15" s="1"/>
  <c r="K7" i="10"/>
  <c r="K12" i="10"/>
  <c r="K16" i="10" s="1"/>
  <c r="E18" i="9" s="1"/>
  <c r="E7" i="15" s="1"/>
  <c r="J30" i="10"/>
  <c r="J34" i="10" s="1"/>
  <c r="D19" i="9" s="1"/>
  <c r="D8" i="15" s="1"/>
  <c r="J25" i="10"/>
  <c r="M12" i="10"/>
  <c r="M16" i="10" s="1"/>
  <c r="G18" i="9" s="1"/>
  <c r="G7" i="15" s="1"/>
  <c r="M7" i="10"/>
  <c r="E25" i="10"/>
  <c r="B25" i="10"/>
  <c r="C26" i="17"/>
  <c r="C29" i="14"/>
  <c r="D32" i="12"/>
  <c r="B18" i="17"/>
  <c r="C19" i="17"/>
  <c r="L7" i="10"/>
  <c r="L12" i="10"/>
  <c r="L16" i="10" s="1"/>
  <c r="F18" i="9" s="1"/>
  <c r="F7" i="15" s="1"/>
  <c r="C21" i="8"/>
  <c r="I8" i="8"/>
  <c r="B4" i="11"/>
  <c r="D56" i="2"/>
  <c r="C21" i="17"/>
  <c r="L25" i="10"/>
  <c r="L30" i="10"/>
  <c r="L34" i="10" s="1"/>
  <c r="F19" i="9" s="1"/>
  <c r="F8" i="15" s="1"/>
  <c r="J12" i="10"/>
  <c r="J16" i="10" s="1"/>
  <c r="D18" i="9" s="1"/>
  <c r="D7" i="15" s="1"/>
  <c r="J7" i="10"/>
  <c r="E56" i="2"/>
  <c r="F21" i="17"/>
  <c r="G21" i="17" s="1"/>
  <c r="E34" i="4"/>
  <c r="C34" i="4"/>
  <c r="F34" i="4"/>
  <c r="D34" i="4"/>
  <c r="E21" i="17" l="1"/>
  <c r="D21" i="17"/>
  <c r="D12" i="4"/>
  <c r="H88" i="5"/>
  <c r="C12" i="4"/>
  <c r="I21" i="8"/>
  <c r="O81" i="5"/>
  <c r="O87" i="5"/>
  <c r="B31" i="4" s="1"/>
  <c r="C32" i="6" s="1"/>
  <c r="O86" i="5"/>
  <c r="C8" i="16"/>
  <c r="H8" i="16" s="1"/>
  <c r="D29" i="14"/>
  <c r="B11" i="11"/>
  <c r="F7" i="9"/>
  <c r="F12" i="9" s="1"/>
  <c r="F11" i="6"/>
  <c r="C22" i="17"/>
  <c r="D26" i="17"/>
  <c r="B10" i="4"/>
  <c r="D54" i="4"/>
  <c r="B71" i="4"/>
  <c r="C54" i="4"/>
  <c r="D10" i="4"/>
  <c r="I5" i="11"/>
  <c r="C71" i="4"/>
  <c r="I6" i="11"/>
  <c r="I7" i="11"/>
  <c r="B54" i="4"/>
  <c r="D71" i="4"/>
  <c r="C10" i="4"/>
  <c r="F10" i="4"/>
  <c r="E54" i="4"/>
  <c r="E71" i="4"/>
  <c r="E10" i="4"/>
  <c r="F71" i="4"/>
  <c r="I9" i="11"/>
  <c r="I8" i="11"/>
  <c r="F54" i="4"/>
  <c r="F25" i="16"/>
  <c r="J9" i="18" s="1"/>
  <c r="G25" i="16"/>
  <c r="J10" i="18" s="1"/>
  <c r="F5" i="12"/>
  <c r="G11" i="6"/>
  <c r="G7" i="9"/>
  <c r="G12" i="9" s="1"/>
  <c r="B15" i="12" l="1"/>
  <c r="D15" i="12" s="1"/>
  <c r="C25" i="12"/>
  <c r="C29" i="12"/>
  <c r="D8" i="12"/>
  <c r="B16" i="12"/>
  <c r="D16" i="12" s="1"/>
  <c r="C27" i="12"/>
  <c r="C31" i="12"/>
  <c r="B30" i="14"/>
  <c r="B13" i="12"/>
  <c r="B22" i="12"/>
  <c r="D28" i="12"/>
  <c r="C28" i="12"/>
  <c r="E28" i="12" s="1"/>
  <c r="B14" i="12"/>
  <c r="D21" i="12" s="1"/>
  <c r="C26" i="12"/>
  <c r="C30" i="12"/>
  <c r="E30" i="12" s="1"/>
  <c r="D26" i="12"/>
  <c r="D23" i="12"/>
  <c r="B23" i="12"/>
  <c r="D24" i="12"/>
  <c r="F77" i="4"/>
  <c r="F79" i="4" s="1"/>
  <c r="F126" i="4"/>
  <c r="C77" i="4"/>
  <c r="C79" i="4" s="1"/>
  <c r="C81" i="4" s="1"/>
  <c r="B77" i="4"/>
  <c r="B79" i="4" s="1"/>
  <c r="C31" i="4"/>
  <c r="D32" i="6" s="1"/>
  <c r="D31" i="4"/>
  <c r="E31" i="4"/>
  <c r="F31" i="4"/>
  <c r="F6" i="10"/>
  <c r="C6" i="10"/>
  <c r="D6" i="10"/>
  <c r="E6" i="10"/>
  <c r="B12" i="4"/>
  <c r="O88" i="5"/>
  <c r="G31" i="4" s="1"/>
  <c r="G31" i="6"/>
  <c r="H15" i="8"/>
  <c r="G15" i="6"/>
  <c r="G9" i="6"/>
  <c r="G10" i="17" s="1"/>
  <c r="F60" i="4"/>
  <c r="F62" i="4" s="1"/>
  <c r="I101" i="5"/>
  <c r="K101" i="5" s="1"/>
  <c r="M101" i="5" s="1"/>
  <c r="E126" i="4"/>
  <c r="C126" i="4"/>
  <c r="I100" i="5"/>
  <c r="K100" i="5" s="1"/>
  <c r="M100" i="5" s="1"/>
  <c r="F69" i="5"/>
  <c r="I11" i="11"/>
  <c r="D60" i="4"/>
  <c r="D62" i="4" s="1"/>
  <c r="D19" i="17"/>
  <c r="D22" i="17" s="1"/>
  <c r="C18" i="17"/>
  <c r="F15" i="6"/>
  <c r="F9" i="6"/>
  <c r="F10" i="17" s="1"/>
  <c r="M18" i="11"/>
  <c r="E7" i="9"/>
  <c r="E12" i="9" s="1"/>
  <c r="E35" i="7"/>
  <c r="E11" i="6"/>
  <c r="G15" i="8" s="1"/>
  <c r="E77" i="4"/>
  <c r="D77" i="4"/>
  <c r="D126" i="4"/>
  <c r="B126" i="4"/>
  <c r="I99" i="5"/>
  <c r="K99" i="5" s="1"/>
  <c r="M99" i="5" s="1"/>
  <c r="B29" i="4" s="1"/>
  <c r="E69" i="5"/>
  <c r="B17" i="4" s="1"/>
  <c r="E60" i="4"/>
  <c r="E62" i="4" s="1"/>
  <c r="B60" i="4"/>
  <c r="B62" i="4" s="1"/>
  <c r="C60" i="4"/>
  <c r="C62" i="4" s="1"/>
  <c r="E26" i="17"/>
  <c r="D11" i="6"/>
  <c r="D7" i="9"/>
  <c r="D12" i="9" s="1"/>
  <c r="D27" i="12" l="1"/>
  <c r="G28" i="12" s="1"/>
  <c r="D30" i="12"/>
  <c r="D31" i="12"/>
  <c r="G32" i="12" s="1"/>
  <c r="G9" i="15" s="1"/>
  <c r="F81" i="4"/>
  <c r="F133" i="4" s="1"/>
  <c r="F41" i="14" s="1"/>
  <c r="E110" i="4"/>
  <c r="E8" i="13" s="1"/>
  <c r="E131" i="4"/>
  <c r="E39" i="14" s="1"/>
  <c r="E132" i="4"/>
  <c r="E38" i="14" s="1"/>
  <c r="G22" i="8"/>
  <c r="G23" i="8" s="1"/>
  <c r="D110" i="4"/>
  <c r="D8" i="13" s="1"/>
  <c r="D131" i="4"/>
  <c r="D39" i="14" s="1"/>
  <c r="D132" i="4"/>
  <c r="D38" i="14" s="1"/>
  <c r="C11" i="6"/>
  <c r="E15" i="8" s="1"/>
  <c r="C35" i="7"/>
  <c r="C7" i="9"/>
  <c r="C12" i="9" s="1"/>
  <c r="B111" i="4"/>
  <c r="B9" i="13" s="1"/>
  <c r="E18" i="16"/>
  <c r="D27" i="17"/>
  <c r="D25" i="17" s="1"/>
  <c r="C131" i="4"/>
  <c r="C39" i="14" s="1"/>
  <c r="C110" i="4"/>
  <c r="C8" i="13" s="1"/>
  <c r="C132" i="4"/>
  <c r="C38" i="14" s="1"/>
  <c r="F15" i="8"/>
  <c r="E31" i="6"/>
  <c r="E15" i="6"/>
  <c r="F24" i="6" s="1"/>
  <c r="F15" i="16" s="1"/>
  <c r="E9" i="6"/>
  <c r="E10" i="17" s="1"/>
  <c r="E16" i="10"/>
  <c r="E19" i="10" s="1"/>
  <c r="E9" i="10"/>
  <c r="E27" i="17"/>
  <c r="E25" i="17" s="1"/>
  <c r="F18" i="16"/>
  <c r="C29" i="4"/>
  <c r="D29" i="4"/>
  <c r="G24" i="6"/>
  <c r="G15" i="16" s="1"/>
  <c r="C10" i="18"/>
  <c r="F16" i="10"/>
  <c r="F19" i="10" s="1"/>
  <c r="F20" i="10" s="1"/>
  <c r="G15" i="9" s="1"/>
  <c r="F9" i="10"/>
  <c r="D30" i="14"/>
  <c r="B9" i="16"/>
  <c r="H9" i="16" s="1"/>
  <c r="C17" i="6"/>
  <c r="B35" i="4"/>
  <c r="B36" i="4" s="1"/>
  <c r="B43" i="4" s="1"/>
  <c r="B99" i="4" s="1"/>
  <c r="F132" i="4"/>
  <c r="F38" i="14" s="1"/>
  <c r="F110" i="4"/>
  <c r="F8" i="13" s="1"/>
  <c r="F131" i="4"/>
  <c r="F39" i="14" s="1"/>
  <c r="G32" i="6"/>
  <c r="G35" i="7"/>
  <c r="G24" i="12"/>
  <c r="C9" i="15" s="1"/>
  <c r="D26" i="10"/>
  <c r="D29" i="10" s="1"/>
  <c r="E38" i="7"/>
  <c r="E19" i="17"/>
  <c r="E22" i="17" s="1"/>
  <c r="D18" i="17"/>
  <c r="D16" i="10"/>
  <c r="D19" i="10" s="1"/>
  <c r="D9" i="10"/>
  <c r="F32" i="6"/>
  <c r="F35" i="7"/>
  <c r="B82" i="4"/>
  <c r="B134" i="4" s="1"/>
  <c r="B40" i="14" s="1"/>
  <c r="F82" i="4"/>
  <c r="F134" i="4" s="1"/>
  <c r="F40" i="14" s="1"/>
  <c r="B24" i="12"/>
  <c r="E26" i="12"/>
  <c r="D31" i="6"/>
  <c r="D15" i="6"/>
  <c r="D9" i="6"/>
  <c r="D10" i="17" s="1"/>
  <c r="F26" i="17"/>
  <c r="B132" i="4"/>
  <c r="B38" i="14" s="1"/>
  <c r="B131" i="4"/>
  <c r="B39" i="14" s="1"/>
  <c r="B110" i="4"/>
  <c r="B8" i="13" s="1"/>
  <c r="D35" i="7"/>
  <c r="H22" i="8"/>
  <c r="H23" i="8" s="1"/>
  <c r="C111" i="4"/>
  <c r="C9" i="13" s="1"/>
  <c r="C133" i="4"/>
  <c r="C41" i="14" s="1"/>
  <c r="F111" i="4"/>
  <c r="F9" i="13" s="1"/>
  <c r="C33" i="12"/>
  <c r="E24" i="12"/>
  <c r="B18" i="4"/>
  <c r="B20" i="4" s="1"/>
  <c r="B93" i="4"/>
  <c r="D79" i="4"/>
  <c r="E79" i="4"/>
  <c r="E82" i="4" s="1"/>
  <c r="F31" i="6"/>
  <c r="E17" i="4"/>
  <c r="C17" i="4"/>
  <c r="D17" i="4"/>
  <c r="F17" i="4"/>
  <c r="E29" i="4"/>
  <c r="F29" i="4"/>
  <c r="G36" i="4"/>
  <c r="I13" i="9"/>
  <c r="C13" i="9" s="1"/>
  <c r="C16" i="10"/>
  <c r="C19" i="10" s="1"/>
  <c r="C20" i="10" s="1"/>
  <c r="D15" i="9" s="1"/>
  <c r="C9" i="10"/>
  <c r="E32" i="6"/>
  <c r="B81" i="4"/>
  <c r="B133" i="4" s="1"/>
  <c r="B41" i="14" s="1"/>
  <c r="C82" i="4"/>
  <c r="C134" i="4" s="1"/>
  <c r="C40" i="14" s="1"/>
  <c r="D29" i="12"/>
  <c r="G30" i="12" s="1"/>
  <c r="D25" i="12"/>
  <c r="G26" i="12" s="1"/>
  <c r="I14" i="12"/>
  <c r="I13" i="12"/>
  <c r="I15" i="12"/>
  <c r="I8" i="18" l="1"/>
  <c r="E9" i="15"/>
  <c r="I10" i="18"/>
  <c r="D33" i="12"/>
  <c r="G8" i="13"/>
  <c r="I9" i="18"/>
  <c r="F9" i="15"/>
  <c r="I7" i="18"/>
  <c r="D9" i="15"/>
  <c r="F17" i="6"/>
  <c r="E35" i="4"/>
  <c r="E36" i="4" s="1"/>
  <c r="D111" i="4"/>
  <c r="D9" i="13" s="1"/>
  <c r="C17" i="9"/>
  <c r="F93" i="4"/>
  <c r="F18" i="4"/>
  <c r="G26" i="9"/>
  <c r="D9" i="11" s="1"/>
  <c r="E26" i="10"/>
  <c r="E29" i="10" s="1"/>
  <c r="E30" i="10" s="1"/>
  <c r="F16" i="9" s="1"/>
  <c r="F38" i="7"/>
  <c r="F39" i="7" s="1"/>
  <c r="F33" i="6" s="1"/>
  <c r="F34" i="6" s="1"/>
  <c r="E20" i="10"/>
  <c r="F15" i="9" s="1"/>
  <c r="B26" i="10"/>
  <c r="B29" i="10" s="1"/>
  <c r="C16" i="9" s="1"/>
  <c r="C38" i="7"/>
  <c r="C39" i="7" s="1"/>
  <c r="C33" i="6" s="1"/>
  <c r="B98" i="4"/>
  <c r="B42" i="4"/>
  <c r="D18" i="4"/>
  <c r="D21" i="4" s="1"/>
  <c r="D93" i="4"/>
  <c r="B40" i="4"/>
  <c r="B95" i="4"/>
  <c r="B129" i="4"/>
  <c r="F24" i="12"/>
  <c r="H24" i="12" s="1"/>
  <c r="B29" i="17"/>
  <c r="B28" i="17" s="1"/>
  <c r="B25" i="12"/>
  <c r="B26" i="12" s="1"/>
  <c r="G33" i="12"/>
  <c r="I6" i="18"/>
  <c r="C18" i="6"/>
  <c r="C20" i="6" s="1"/>
  <c r="B11" i="6"/>
  <c r="C9" i="6"/>
  <c r="C10" i="17" s="1"/>
  <c r="C15" i="6"/>
  <c r="C15" i="14"/>
  <c r="E93" i="4"/>
  <c r="E18" i="4"/>
  <c r="D81" i="4"/>
  <c r="D133" i="4" s="1"/>
  <c r="D41" i="14" s="1"/>
  <c r="E22" i="8"/>
  <c r="E23" i="8" s="1"/>
  <c r="D20" i="10"/>
  <c r="E15" i="9" s="1"/>
  <c r="E17" i="6"/>
  <c r="D35" i="4"/>
  <c r="D36" i="4" s="1"/>
  <c r="D82" i="4"/>
  <c r="D134" i="4" s="1"/>
  <c r="D40" i="14" s="1"/>
  <c r="C18" i="16"/>
  <c r="E33" i="12"/>
  <c r="B27" i="17"/>
  <c r="B25" i="17" s="1"/>
  <c r="D18" i="16"/>
  <c r="C27" i="17"/>
  <c r="C25" i="17" s="1"/>
  <c r="C9" i="18"/>
  <c r="B29" i="18"/>
  <c r="C29" i="18" s="1"/>
  <c r="D17" i="6"/>
  <c r="C35" i="4"/>
  <c r="C36" i="4" s="1"/>
  <c r="C43" i="4" s="1"/>
  <c r="C99" i="4" s="1"/>
  <c r="F22" i="8"/>
  <c r="F23" i="8" s="1"/>
  <c r="I21" i="12"/>
  <c r="G17" i="6"/>
  <c r="F35" i="4"/>
  <c r="F36" i="4" s="1"/>
  <c r="F43" i="4" s="1"/>
  <c r="F99" i="4" s="1"/>
  <c r="C18" i="4"/>
  <c r="C20" i="4" s="1"/>
  <c r="C93" i="4"/>
  <c r="E111" i="4"/>
  <c r="E9" i="13" s="1"/>
  <c r="E134" i="4"/>
  <c r="E40" i="14" s="1"/>
  <c r="E81" i="4"/>
  <c r="E133" i="4" s="1"/>
  <c r="E41" i="14" s="1"/>
  <c r="C26" i="10"/>
  <c r="C29" i="10" s="1"/>
  <c r="C30" i="10" s="1"/>
  <c r="D16" i="9" s="1"/>
  <c r="D17" i="9" s="1"/>
  <c r="D38" i="7"/>
  <c r="F25" i="17"/>
  <c r="F30" i="17" s="1"/>
  <c r="G26" i="17"/>
  <c r="G25" i="17" s="1"/>
  <c r="G30" i="17" s="1"/>
  <c r="E18" i="17"/>
  <c r="F19" i="17"/>
  <c r="F22" i="17" s="1"/>
  <c r="F26" i="10"/>
  <c r="F29" i="10" s="1"/>
  <c r="G38" i="7"/>
  <c r="G39" i="7" s="1"/>
  <c r="G33" i="6" s="1"/>
  <c r="G34" i="6" s="1"/>
  <c r="E24" i="6"/>
  <c r="E15" i="16" s="1"/>
  <c r="B21" i="4"/>
  <c r="B130" i="4" s="1"/>
  <c r="F26" i="9"/>
  <c r="H18" i="16" l="1"/>
  <c r="D24" i="6"/>
  <c r="D15" i="16" s="1"/>
  <c r="C7" i="18" s="1"/>
  <c r="D20" i="14"/>
  <c r="C21" i="4"/>
  <c r="F30" i="10"/>
  <c r="G16" i="9" s="1"/>
  <c r="G17" i="9" s="1"/>
  <c r="D18" i="6"/>
  <c r="D20" i="6"/>
  <c r="E43" i="4"/>
  <c r="E99" i="4" s="1"/>
  <c r="E18" i="6"/>
  <c r="E20" i="6"/>
  <c r="D39" i="7"/>
  <c r="D33" i="6" s="1"/>
  <c r="D34" i="6" s="1"/>
  <c r="G9" i="13"/>
  <c r="G21" i="9"/>
  <c r="G23" i="9" s="1"/>
  <c r="G6" i="15"/>
  <c r="G10" i="15" s="1"/>
  <c r="G12" i="15" s="1"/>
  <c r="G14" i="15" s="1"/>
  <c r="C15" i="8"/>
  <c r="B31" i="6"/>
  <c r="B34" i="6" s="1"/>
  <c r="B21" i="14" s="1"/>
  <c r="B15" i="6"/>
  <c r="B9" i="6"/>
  <c r="B10" i="17" s="1"/>
  <c r="F95" i="4"/>
  <c r="F40" i="4"/>
  <c r="F18" i="6"/>
  <c r="F20" i="6" s="1"/>
  <c r="G18" i="6"/>
  <c r="G20" i="6" s="1"/>
  <c r="D43" i="4"/>
  <c r="D99" i="4" s="1"/>
  <c r="E40" i="4"/>
  <c r="E95" i="4"/>
  <c r="C29" i="17"/>
  <c r="C28" i="17" s="1"/>
  <c r="C30" i="17" s="1"/>
  <c r="B27" i="12"/>
  <c r="B28" i="12" s="1"/>
  <c r="F28" i="12" s="1"/>
  <c r="H28" i="12" s="1"/>
  <c r="B144" i="4"/>
  <c r="B36" i="14"/>
  <c r="B135" i="4"/>
  <c r="B136" i="4" s="1"/>
  <c r="C21" i="9"/>
  <c r="C23" i="9" s="1"/>
  <c r="C6" i="15"/>
  <c r="C10" i="15" s="1"/>
  <c r="C12" i="15" s="1"/>
  <c r="C14" i="15" s="1"/>
  <c r="D21" i="9"/>
  <c r="D23" i="9" s="1"/>
  <c r="D6" i="15"/>
  <c r="D10" i="15" s="1"/>
  <c r="D12" i="15" s="1"/>
  <c r="D14" i="15" s="1"/>
  <c r="I33" i="12"/>
  <c r="L20" i="12"/>
  <c r="D26" i="9"/>
  <c r="C31" i="6"/>
  <c r="C34" i="6" s="1"/>
  <c r="C21" i="14" s="1"/>
  <c r="C17" i="15" s="1"/>
  <c r="C21" i="16" s="1"/>
  <c r="D6" i="18" s="1"/>
  <c r="B44" i="4"/>
  <c r="B48" i="4" s="1"/>
  <c r="D130" i="4"/>
  <c r="D95" i="4"/>
  <c r="D40" i="4"/>
  <c r="F20" i="4"/>
  <c r="F129" i="4" s="1"/>
  <c r="D30" i="10"/>
  <c r="E16" i="9" s="1"/>
  <c r="E17" i="9" s="1"/>
  <c r="B30" i="17"/>
  <c r="E20" i="4"/>
  <c r="E129" i="4" s="1"/>
  <c r="D15" i="8"/>
  <c r="D17" i="14"/>
  <c r="F26" i="12"/>
  <c r="H26" i="12" s="1"/>
  <c r="C143" i="4"/>
  <c r="D143" i="4" s="1"/>
  <c r="C144" i="4"/>
  <c r="B37" i="14"/>
  <c r="D20" i="4"/>
  <c r="D129" i="4" s="1"/>
  <c r="D8" i="11"/>
  <c r="F17" i="15"/>
  <c r="F21" i="16" s="1"/>
  <c r="D9" i="18" s="1"/>
  <c r="C8" i="18"/>
  <c r="F18" i="17"/>
  <c r="G19" i="17"/>
  <c r="G22" i="17" s="1"/>
  <c r="G18" i="17" s="1"/>
  <c r="C95" i="4"/>
  <c r="C40" i="4"/>
  <c r="C130" i="4"/>
  <c r="C129" i="4"/>
  <c r="E26" i="9"/>
  <c r="E21" i="4"/>
  <c r="E130" i="4" s="1"/>
  <c r="E39" i="7"/>
  <c r="E33" i="6" s="1"/>
  <c r="E34" i="6" s="1"/>
  <c r="F17" i="9"/>
  <c r="F21" i="4"/>
  <c r="F130" i="4" s="1"/>
  <c r="C18" i="14" l="1"/>
  <c r="D18" i="14" s="1"/>
  <c r="B10" i="13"/>
  <c r="B42" i="14" s="1"/>
  <c r="B7" i="14"/>
  <c r="B8" i="14" s="1"/>
  <c r="D8" i="14" s="1"/>
  <c r="B22" i="6"/>
  <c r="B20" i="14"/>
  <c r="C20" i="14" s="1"/>
  <c r="B47" i="4"/>
  <c r="C16" i="17"/>
  <c r="D16" i="17"/>
  <c r="E16" i="17"/>
  <c r="I144" i="4"/>
  <c r="F36" i="14"/>
  <c r="F135" i="4"/>
  <c r="F136" i="4" s="1"/>
  <c r="E37" i="14"/>
  <c r="E21" i="9"/>
  <c r="E23" i="9" s="1"/>
  <c r="E6" i="15"/>
  <c r="E10" i="15" s="1"/>
  <c r="E12" i="15" s="1"/>
  <c r="E14" i="15" s="1"/>
  <c r="E135" i="4"/>
  <c r="E136" i="4" s="1"/>
  <c r="E36" i="14"/>
  <c r="E43" i="14" s="1"/>
  <c r="J144" i="4"/>
  <c r="J143" i="4"/>
  <c r="K143" i="4" s="1"/>
  <c r="F37" i="14"/>
  <c r="D22" i="8"/>
  <c r="D23" i="8" s="1"/>
  <c r="D6" i="11"/>
  <c r="D17" i="15"/>
  <c r="D21" i="16" s="1"/>
  <c r="D7" i="18" s="1"/>
  <c r="C37" i="14"/>
  <c r="D37" i="14"/>
  <c r="B51" i="14"/>
  <c r="B43" i="14"/>
  <c r="E44" i="4"/>
  <c r="E47" i="4" s="1"/>
  <c r="D21" i="14"/>
  <c r="D44" i="4"/>
  <c r="D47" i="4" s="1"/>
  <c r="B24" i="6"/>
  <c r="B15" i="16" s="1"/>
  <c r="B25" i="6"/>
  <c r="B36" i="6" s="1"/>
  <c r="B45" i="4"/>
  <c r="B103" i="4" s="1"/>
  <c r="D181" i="5" s="1"/>
  <c r="B101" i="4"/>
  <c r="D10" i="13"/>
  <c r="D42" i="14" s="1"/>
  <c r="I5" i="18"/>
  <c r="E10" i="13"/>
  <c r="E42" i="14" s="1"/>
  <c r="F10" i="13"/>
  <c r="F42" i="14" s="1"/>
  <c r="C10" i="13"/>
  <c r="C42" i="14" s="1"/>
  <c r="B14" i="17"/>
  <c r="B17" i="17" s="1"/>
  <c r="C25" i="16"/>
  <c r="D25" i="16"/>
  <c r="D144" i="4"/>
  <c r="I15" i="8"/>
  <c r="C22" i="8"/>
  <c r="C23" i="8" s="1"/>
  <c r="C18" i="8"/>
  <c r="C4" i="11" s="1"/>
  <c r="F44" i="4"/>
  <c r="F48" i="4" s="1"/>
  <c r="C24" i="6"/>
  <c r="C15" i="16" s="1"/>
  <c r="C36" i="14"/>
  <c r="C43" i="14" s="1"/>
  <c r="C135" i="4"/>
  <c r="C136" i="4" s="1"/>
  <c r="F21" i="9"/>
  <c r="F23" i="9" s="1"/>
  <c r="F6" i="15"/>
  <c r="F10" i="15" s="1"/>
  <c r="F12" i="15" s="1"/>
  <c r="F14" i="15" s="1"/>
  <c r="D7" i="11"/>
  <c r="E17" i="15"/>
  <c r="E21" i="16" s="1"/>
  <c r="D8" i="18" s="1"/>
  <c r="C44" i="4"/>
  <c r="C47" i="4" s="1"/>
  <c r="D135" i="4"/>
  <c r="D136" i="4" s="1"/>
  <c r="D36" i="14"/>
  <c r="D43" i="14" s="1"/>
  <c r="C22" i="14"/>
  <c r="D29" i="17"/>
  <c r="D28" i="17" s="1"/>
  <c r="D30" i="17" s="1"/>
  <c r="B29" i="12"/>
  <c r="B30" i="12" s="1"/>
  <c r="B15" i="14"/>
  <c r="E29" i="17" l="1"/>
  <c r="E28" i="17" s="1"/>
  <c r="E30" i="17" s="1"/>
  <c r="B31" i="12"/>
  <c r="B32" i="12" s="1"/>
  <c r="F32" i="12" s="1"/>
  <c r="H32" i="12" s="1"/>
  <c r="I22" i="8"/>
  <c r="C26" i="9"/>
  <c r="D5" i="11" s="1"/>
  <c r="B22" i="14"/>
  <c r="D22" i="14" s="1"/>
  <c r="D15" i="14"/>
  <c r="F30" i="12"/>
  <c r="H30" i="12" s="1"/>
  <c r="F45" i="4"/>
  <c r="F103" i="4" s="1"/>
  <c r="H181" i="5" s="1"/>
  <c r="F101" i="4"/>
  <c r="J6" i="18"/>
  <c r="G10" i="13"/>
  <c r="D183" i="5"/>
  <c r="B106" i="4" s="1"/>
  <c r="B108" i="4" s="1"/>
  <c r="E182" i="5"/>
  <c r="C45" i="4"/>
  <c r="C103" i="4" s="1"/>
  <c r="E181" i="5" s="1"/>
  <c r="C101" i="4"/>
  <c r="C14" i="17"/>
  <c r="C17" i="17" s="1"/>
  <c r="D101" i="4"/>
  <c r="D45" i="4"/>
  <c r="D103" i="4" s="1"/>
  <c r="F181" i="5" s="1"/>
  <c r="E45" i="4"/>
  <c r="E103" i="4" s="1"/>
  <c r="G181" i="5" s="1"/>
  <c r="E101" i="4"/>
  <c r="D44" i="14"/>
  <c r="C56" i="14"/>
  <c r="E44" i="14"/>
  <c r="B57" i="14"/>
  <c r="F43" i="14"/>
  <c r="F44" i="14" s="1"/>
  <c r="E25" i="16"/>
  <c r="J8" i="18" s="1"/>
  <c r="J7" i="18"/>
  <c r="L5" i="18"/>
  <c r="I12" i="18"/>
  <c r="C6" i="18"/>
  <c r="G6" i="18" s="1"/>
  <c r="C48" i="4"/>
  <c r="F47" i="4"/>
  <c r="C25" i="8"/>
  <c r="B26" i="9"/>
  <c r="I23" i="8"/>
  <c r="D7" i="14"/>
  <c r="C5" i="18"/>
  <c r="H15" i="16"/>
  <c r="D48" i="4"/>
  <c r="E48" i="4"/>
  <c r="C44" i="14"/>
  <c r="K144" i="4"/>
  <c r="B113" i="4" l="1"/>
  <c r="B5" i="13"/>
  <c r="C57" i="14"/>
  <c r="D57" i="14" s="1"/>
  <c r="D56" i="14"/>
  <c r="B44" i="14"/>
  <c r="C50" i="14"/>
  <c r="C12" i="18"/>
  <c r="L27" i="18" s="1"/>
  <c r="J12" i="18"/>
  <c r="D14" i="17"/>
  <c r="D17" i="17" s="1"/>
  <c r="F182" i="5"/>
  <c r="F183" i="5" s="1"/>
  <c r="D106" i="4" s="1"/>
  <c r="D108" i="4" s="1"/>
  <c r="E183" i="5"/>
  <c r="C106" i="4" s="1"/>
  <c r="C108" i="4" s="1"/>
  <c r="H25" i="16"/>
  <c r="F7" i="12"/>
  <c r="H182" i="5"/>
  <c r="H183" i="5" s="1"/>
  <c r="F106" i="4" s="1"/>
  <c r="F108" i="4" s="1"/>
  <c r="B14" i="16"/>
  <c r="B9" i="14"/>
  <c r="D4" i="11"/>
  <c r="B27" i="9"/>
  <c r="C25" i="9" s="1"/>
  <c r="G182" i="5"/>
  <c r="G183" i="5" s="1"/>
  <c r="E106" i="4" s="1"/>
  <c r="E108" i="4" s="1"/>
  <c r="B23" i="14"/>
  <c r="E113" i="4" l="1"/>
  <c r="E5" i="13"/>
  <c r="F113" i="4"/>
  <c r="F5" i="13"/>
  <c r="C113" i="4"/>
  <c r="C5" i="13"/>
  <c r="D113" i="4"/>
  <c r="D5" i="13"/>
  <c r="D9" i="14"/>
  <c r="D10" i="14" s="1"/>
  <c r="B17" i="15"/>
  <c r="B26" i="14"/>
  <c r="E14" i="17"/>
  <c r="E17" i="17" s="1"/>
  <c r="H14" i="16"/>
  <c r="B5" i="18"/>
  <c r="C16" i="16"/>
  <c r="B6" i="13"/>
  <c r="B11" i="13" s="1"/>
  <c r="B10" i="14"/>
  <c r="B25" i="14" s="1"/>
  <c r="C27" i="9"/>
  <c r="D25" i="9" s="1"/>
  <c r="D50" i="14"/>
  <c r="C51" i="14"/>
  <c r="D51" i="14" s="1"/>
  <c r="D11" i="11"/>
  <c r="G4" i="11"/>
  <c r="B115" i="4"/>
  <c r="B117" i="4"/>
  <c r="F14" i="17" l="1"/>
  <c r="F17" i="17" s="1"/>
  <c r="G16" i="16"/>
  <c r="F6" i="13"/>
  <c r="F11" i="13" s="1"/>
  <c r="B119" i="4"/>
  <c r="B118" i="4"/>
  <c r="E5" i="11" s="1"/>
  <c r="H5" i="11"/>
  <c r="D25" i="14"/>
  <c r="B27" i="14"/>
  <c r="D117" i="4"/>
  <c r="D115" i="4"/>
  <c r="F115" i="4"/>
  <c r="F117" i="4"/>
  <c r="C13" i="16"/>
  <c r="D16" i="16"/>
  <c r="C6" i="13"/>
  <c r="C11" i="13" s="1"/>
  <c r="F16" i="16"/>
  <c r="E6" i="13"/>
  <c r="E11" i="13" s="1"/>
  <c r="E16" i="16"/>
  <c r="D6" i="13"/>
  <c r="D11" i="13" s="1"/>
  <c r="D27" i="9"/>
  <c r="E25" i="9" s="1"/>
  <c r="G5" i="13"/>
  <c r="G6" i="13" s="1"/>
  <c r="G11" i="13" s="1"/>
  <c r="B12" i="18"/>
  <c r="L25" i="18" s="1"/>
  <c r="B21" i="16"/>
  <c r="B18" i="15"/>
  <c r="L4" i="11"/>
  <c r="C28" i="9"/>
  <c r="B14" i="13"/>
  <c r="C19" i="14" s="1"/>
  <c r="C23" i="14" s="1"/>
  <c r="H6" i="18"/>
  <c r="C115" i="4"/>
  <c r="C117" i="4"/>
  <c r="E115" i="4"/>
  <c r="E117" i="4"/>
  <c r="H16" i="16" l="1"/>
  <c r="E27" i="9"/>
  <c r="F25" i="9" s="1"/>
  <c r="H7" i="18"/>
  <c r="C12" i="13"/>
  <c r="C13" i="13"/>
  <c r="F119" i="4"/>
  <c r="H9" i="11"/>
  <c r="F118" i="4"/>
  <c r="E9" i="11" s="1"/>
  <c r="G14" i="17"/>
  <c r="G17" i="17" s="1"/>
  <c r="G12" i="17" s="1"/>
  <c r="H21" i="16"/>
  <c r="D5" i="18"/>
  <c r="B13" i="16"/>
  <c r="H8" i="18"/>
  <c r="D13" i="13"/>
  <c r="E17" i="16" s="1"/>
  <c r="F8" i="18" s="1"/>
  <c r="D12" i="13"/>
  <c r="E19" i="16" s="1"/>
  <c r="E8" i="18" s="1"/>
  <c r="D118" i="4"/>
  <c r="E7" i="11" s="1"/>
  <c r="D119" i="4"/>
  <c r="H7" i="11"/>
  <c r="M4" i="11"/>
  <c r="B31" i="14"/>
  <c r="B121" i="4"/>
  <c r="B122" i="4" s="1"/>
  <c r="C19" i="6" s="1"/>
  <c r="D12" i="8" s="1"/>
  <c r="D18" i="8" s="1"/>
  <c r="E119" i="4"/>
  <c r="H8" i="11"/>
  <c r="E118" i="4"/>
  <c r="E8" i="11" s="1"/>
  <c r="D28" i="9"/>
  <c r="C33" i="17"/>
  <c r="D34" i="17" s="1"/>
  <c r="C119" i="4"/>
  <c r="C118" i="4"/>
  <c r="E6" i="11" s="1"/>
  <c r="H6" i="11"/>
  <c r="J5" i="11"/>
  <c r="C30" i="9"/>
  <c r="C16" i="15"/>
  <c r="H9" i="18"/>
  <c r="E12" i="13"/>
  <c r="F19" i="16" s="1"/>
  <c r="E9" i="18" s="1"/>
  <c r="E13" i="13"/>
  <c r="F17" i="16" s="1"/>
  <c r="F9" i="18" s="1"/>
  <c r="F5" i="11"/>
  <c r="H10" i="18"/>
  <c r="F12" i="13"/>
  <c r="G19" i="16" s="1"/>
  <c r="E10" i="18" s="1"/>
  <c r="F13" i="13"/>
  <c r="G17" i="16" s="1"/>
  <c r="F10" i="18" s="1"/>
  <c r="E121" i="4" l="1"/>
  <c r="E122" i="4" s="1"/>
  <c r="F19" i="6" s="1"/>
  <c r="D14" i="13"/>
  <c r="E33" i="17" s="1"/>
  <c r="E14" i="13"/>
  <c r="F33" i="17" s="1"/>
  <c r="G9" i="18"/>
  <c r="C5" i="11"/>
  <c r="G5" i="11" s="1"/>
  <c r="D25" i="8"/>
  <c r="F121" i="4"/>
  <c r="F125" i="4" s="1"/>
  <c r="F127" i="4" s="1"/>
  <c r="E11" i="11"/>
  <c r="C14" i="13"/>
  <c r="D33" i="17" s="1"/>
  <c r="E34" i="17" s="1"/>
  <c r="H12" i="18"/>
  <c r="E125" i="4"/>
  <c r="E127" i="4" s="1"/>
  <c r="F8" i="11"/>
  <c r="F27" i="9"/>
  <c r="G25" i="9" s="1"/>
  <c r="J6" i="11"/>
  <c r="K6" i="11" s="1"/>
  <c r="D30" i="9"/>
  <c r="F7" i="11"/>
  <c r="D12" i="18"/>
  <c r="G5" i="18"/>
  <c r="F13" i="16"/>
  <c r="B7" i="16"/>
  <c r="B32" i="17"/>
  <c r="B32" i="14"/>
  <c r="C18" i="15"/>
  <c r="D16" i="15" s="1"/>
  <c r="C121" i="4"/>
  <c r="G13" i="16"/>
  <c r="D17" i="16"/>
  <c r="G13" i="13"/>
  <c r="E13" i="16"/>
  <c r="E28" i="9"/>
  <c r="G10" i="18"/>
  <c r="H11" i="11"/>
  <c r="F14" i="13"/>
  <c r="G33" i="17" s="1"/>
  <c r="K5" i="11"/>
  <c r="F6" i="11"/>
  <c r="D19" i="14"/>
  <c r="C22" i="6"/>
  <c r="C25" i="6" s="1"/>
  <c r="C36" i="6" s="1"/>
  <c r="B125" i="4"/>
  <c r="B127" i="4" s="1"/>
  <c r="D121" i="4"/>
  <c r="G8" i="18"/>
  <c r="F9" i="11"/>
  <c r="G12" i="13"/>
  <c r="D19" i="16"/>
  <c r="F34" i="17" l="1"/>
  <c r="G14" i="13"/>
  <c r="F122" i="4"/>
  <c r="G19" i="6" s="1"/>
  <c r="G22" i="6" s="1"/>
  <c r="G34" i="17"/>
  <c r="F22" i="6"/>
  <c r="F28" i="9"/>
  <c r="F30" i="9" s="1"/>
  <c r="C19" i="15"/>
  <c r="J7" i="11"/>
  <c r="E30" i="9"/>
  <c r="B31" i="17"/>
  <c r="B35" i="17" s="1"/>
  <c r="J8" i="11"/>
  <c r="K8" i="11" s="1"/>
  <c r="E7" i="18"/>
  <c r="H19" i="16"/>
  <c r="D18" i="15"/>
  <c r="D19" i="15" s="1"/>
  <c r="C23" i="17" s="1"/>
  <c r="C125" i="4"/>
  <c r="C127" i="4" s="1"/>
  <c r="C122" i="4"/>
  <c r="D19" i="6" s="1"/>
  <c r="M5" i="18"/>
  <c r="L5" i="11"/>
  <c r="B5" i="16"/>
  <c r="B24" i="16" s="1"/>
  <c r="B24" i="18"/>
  <c r="D125" i="4"/>
  <c r="D127" i="4" s="1"/>
  <c r="D122" i="4"/>
  <c r="E19" i="6" s="1"/>
  <c r="F11" i="11"/>
  <c r="F7" i="18"/>
  <c r="F12" i="18" s="1"/>
  <c r="H17" i="16"/>
  <c r="D13" i="16"/>
  <c r="H13" i="16" s="1"/>
  <c r="G27" i="9"/>
  <c r="G28" i="9" s="1"/>
  <c r="H12" i="8" l="1"/>
  <c r="H18" i="8" s="1"/>
  <c r="H25" i="8" s="1"/>
  <c r="G25" i="6"/>
  <c r="G36" i="6" s="1"/>
  <c r="C21" i="15"/>
  <c r="B23" i="17"/>
  <c r="B12" i="17" s="1"/>
  <c r="B11" i="17"/>
  <c r="D22" i="6"/>
  <c r="D25" i="6" s="1"/>
  <c r="D36" i="6" s="1"/>
  <c r="F12" i="8"/>
  <c r="F18" i="8" s="1"/>
  <c r="E12" i="8"/>
  <c r="E22" i="6"/>
  <c r="F25" i="6" s="1"/>
  <c r="F36" i="6" s="1"/>
  <c r="G12" i="8"/>
  <c r="G18" i="8" s="1"/>
  <c r="C11" i="16"/>
  <c r="K6" i="18" s="1"/>
  <c r="D11" i="16"/>
  <c r="K7" i="18" s="1"/>
  <c r="L7" i="18" s="1"/>
  <c r="C11" i="17"/>
  <c r="D21" i="15"/>
  <c r="C24" i="18"/>
  <c r="E12" i="18"/>
  <c r="G7" i="18"/>
  <c r="G12" i="18" s="1"/>
  <c r="C12" i="17"/>
  <c r="E16" i="15"/>
  <c r="B27" i="16"/>
  <c r="N5" i="18"/>
  <c r="J9" i="11"/>
  <c r="K9" i="11" s="1"/>
  <c r="G30" i="9"/>
  <c r="M5" i="11"/>
  <c r="C26" i="14"/>
  <c r="C27" i="14" s="1"/>
  <c r="C31" i="14" s="1"/>
  <c r="D23" i="14"/>
  <c r="K7" i="11"/>
  <c r="C32" i="14" l="1"/>
  <c r="C7" i="16"/>
  <c r="E25" i="6"/>
  <c r="E36" i="6" s="1"/>
  <c r="I12" i="8"/>
  <c r="I18" i="8" s="1"/>
  <c r="C9" i="11" s="1"/>
  <c r="E18" i="8"/>
  <c r="C7" i="11"/>
  <c r="G7" i="11" s="1"/>
  <c r="L7" i="11" s="1"/>
  <c r="F25" i="8"/>
  <c r="C8" i="11"/>
  <c r="G8" i="11" s="1"/>
  <c r="L8" i="11" s="1"/>
  <c r="G25" i="8"/>
  <c r="M7" i="18"/>
  <c r="J11" i="11"/>
  <c r="M19" i="11" s="1"/>
  <c r="E18" i="15"/>
  <c r="F16" i="15" s="1"/>
  <c r="H16" i="18"/>
  <c r="K11" i="11"/>
  <c r="B8" i="17"/>
  <c r="B5" i="17" s="1"/>
  <c r="B24" i="17" s="1"/>
  <c r="L6" i="18"/>
  <c r="D26" i="14"/>
  <c r="G24" i="18"/>
  <c r="C6" i="11" l="1"/>
  <c r="C11" i="11" s="1"/>
  <c r="E25" i="8"/>
  <c r="I25" i="8" s="1"/>
  <c r="G9" i="11"/>
  <c r="L9" i="11" s="1"/>
  <c r="F18" i="15"/>
  <c r="G16" i="15" s="1"/>
  <c r="B37" i="17"/>
  <c r="B39" i="17"/>
  <c r="D27" i="14"/>
  <c r="H24" i="18"/>
  <c r="M6" i="18"/>
  <c r="E19" i="15"/>
  <c r="D23" i="17" s="1"/>
  <c r="D12" i="17" s="1"/>
  <c r="M20" i="11" l="1"/>
  <c r="B8" i="12"/>
  <c r="F6" i="12"/>
  <c r="G6" i="11"/>
  <c r="E11" i="16"/>
  <c r="D11" i="17" s="1"/>
  <c r="E21" i="15"/>
  <c r="G18" i="15"/>
  <c r="G19" i="15" s="1"/>
  <c r="F23" i="17" s="1"/>
  <c r="F12" i="17" s="1"/>
  <c r="D32" i="14"/>
  <c r="D31" i="14"/>
  <c r="F19" i="15"/>
  <c r="E23" i="17" s="1"/>
  <c r="E12" i="17" s="1"/>
  <c r="N6" i="18"/>
  <c r="N7" i="18" s="1"/>
  <c r="G11" i="11" l="1"/>
  <c r="L6" i="11"/>
  <c r="C5" i="12"/>
  <c r="C7" i="12"/>
  <c r="C8" i="12"/>
  <c r="C6" i="12"/>
  <c r="E6" i="12" s="1"/>
  <c r="F8" i="12"/>
  <c r="E31" i="14"/>
  <c r="G11" i="16"/>
  <c r="K10" i="18" s="1"/>
  <c r="L10" i="18" s="1"/>
  <c r="M10" i="18" s="1"/>
  <c r="F11" i="17"/>
  <c r="G21" i="15"/>
  <c r="E32" i="14"/>
  <c r="E29" i="14"/>
  <c r="E30" i="14"/>
  <c r="B25" i="18"/>
  <c r="C5" i="16"/>
  <c r="C24" i="16" s="1"/>
  <c r="C32" i="17"/>
  <c r="H7" i="16"/>
  <c r="F11" i="16"/>
  <c r="K9" i="18" s="1"/>
  <c r="L9" i="18" s="1"/>
  <c r="M9" i="18" s="1"/>
  <c r="E11" i="17"/>
  <c r="F21" i="15"/>
  <c r="K8" i="18"/>
  <c r="H11" i="16"/>
  <c r="E7" i="12" l="1"/>
  <c r="M6" i="11"/>
  <c r="M7" i="11" s="1"/>
  <c r="M8" i="11" s="1"/>
  <c r="D15" i="11"/>
  <c r="L11" i="11"/>
  <c r="C27" i="16"/>
  <c r="C25" i="18"/>
  <c r="C31" i="18" s="1"/>
  <c r="B31" i="18"/>
  <c r="H5" i="16"/>
  <c r="L8" i="18"/>
  <c r="K12" i="18"/>
  <c r="L26" i="18" s="1"/>
  <c r="D32" i="17"/>
  <c r="C31" i="17"/>
  <c r="C35" i="17" s="1"/>
  <c r="M9" i="11" l="1"/>
  <c r="D13" i="11" s="1"/>
  <c r="D14" i="11"/>
  <c r="M8" i="18"/>
  <c r="L12" i="18"/>
  <c r="E32" i="17"/>
  <c r="D31" i="17"/>
  <c r="D35" i="17" s="1"/>
  <c r="D6" i="16"/>
  <c r="D5" i="16" s="1"/>
  <c r="D24" i="16" s="1"/>
  <c r="C28" i="16"/>
  <c r="C8" i="17"/>
  <c r="C5" i="17" s="1"/>
  <c r="C24" i="17" s="1"/>
  <c r="M21" i="11" l="1"/>
  <c r="C37" i="17"/>
  <c r="C39" i="17"/>
  <c r="E25" i="18"/>
  <c r="E31" i="17"/>
  <c r="E35" i="17" s="1"/>
  <c r="F32" i="17"/>
  <c r="D27" i="16"/>
  <c r="N8" i="18"/>
  <c r="N9" i="18" s="1"/>
  <c r="N10" i="18" s="1"/>
  <c r="M12" i="18"/>
  <c r="D16" i="18"/>
  <c r="L28" i="18" l="1"/>
  <c r="F25" i="18"/>
  <c r="E6" i="16"/>
  <c r="E5" i="16" s="1"/>
  <c r="E24" i="16" s="1"/>
  <c r="D28" i="16"/>
  <c r="D8" i="17"/>
  <c r="D5" i="17" s="1"/>
  <c r="D24" i="17" s="1"/>
  <c r="D14" i="18"/>
  <c r="F31" i="17"/>
  <c r="F35" i="17" s="1"/>
  <c r="G32" i="17"/>
  <c r="G31" i="17" s="1"/>
  <c r="G35" i="17" s="1"/>
  <c r="E26" i="18" l="1"/>
  <c r="E27" i="16"/>
  <c r="D39" i="17"/>
  <c r="D37" i="17"/>
  <c r="G25" i="18"/>
  <c r="H25" i="18" l="1"/>
  <c r="E8" i="17"/>
  <c r="E5" i="17" s="1"/>
  <c r="E24" i="17" s="1"/>
  <c r="F6" i="16"/>
  <c r="F5" i="16" s="1"/>
  <c r="F24" i="16" s="1"/>
  <c r="E28" i="16"/>
  <c r="F26" i="18"/>
  <c r="G26" i="18" l="1"/>
  <c r="E27" i="18"/>
  <c r="E39" i="17"/>
  <c r="E37" i="17"/>
  <c r="F27" i="16"/>
  <c r="G6" i="16" l="1"/>
  <c r="G5" i="16" s="1"/>
  <c r="G24" i="16" s="1"/>
  <c r="F8" i="17"/>
  <c r="F5" i="17" s="1"/>
  <c r="F24" i="17" s="1"/>
  <c r="F28" i="16"/>
  <c r="F27" i="18"/>
  <c r="H26" i="18"/>
  <c r="E28" i="18" l="1"/>
  <c r="F37" i="17"/>
  <c r="F39" i="17"/>
  <c r="G27" i="18"/>
  <c r="G27" i="16"/>
  <c r="H24" i="16"/>
  <c r="G28" i="16" l="1"/>
  <c r="G8" i="17"/>
  <c r="G5" i="17" s="1"/>
  <c r="G24" i="17" s="1"/>
  <c r="H27" i="16"/>
  <c r="H27" i="18"/>
  <c r="F28" i="18"/>
  <c r="G28" i="18" s="1"/>
  <c r="H28" i="18" l="1"/>
  <c r="G39" i="17"/>
  <c r="G37" i="17"/>
  <c r="L36" i="18"/>
  <c r="E29" i="18"/>
  <c r="H28" i="16"/>
  <c r="C30" i="16" s="1"/>
  <c r="F29" i="18" l="1"/>
  <c r="E31" i="18"/>
  <c r="G29" i="18" l="1"/>
  <c r="F31" i="18"/>
  <c r="H29" i="18" l="1"/>
  <c r="D36" i="18"/>
  <c r="G31" i="18"/>
  <c r="D34" i="18" l="1"/>
  <c r="L33" i="18"/>
  <c r="L32" i="18"/>
  <c r="L34" i="18"/>
  <c r="L30" i="18"/>
  <c r="L3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8" authorId="0" shapeId="0" xr:uid="{00000000-0006-0000-0400-000001000000}">
      <text>
        <r>
          <rPr>
            <sz val="9"/>
            <color indexed="8"/>
            <rFont val="Tahoma"/>
            <family val="2"/>
          </rPr>
          <t>Precio por litro segun factura obtenida de empresa ubicada en San Martin</t>
        </r>
      </text>
    </comment>
    <comment ref="E60" authorId="0" shapeId="0" xr:uid="{00000000-0006-0000-0400-000002000000}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E61" authorId="0" shapeId="0" xr:uid="{00000000-0006-0000-0400-000003000000}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600-000001000000}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D15" authorId="0" shapeId="0" xr:uid="{00000000-0006-0000-0600-000002000000}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22" authorId="0" shapeId="0" xr:uid="{00000000-0006-0000-1100-000001000000}">
      <text>
        <r>
          <rPr>
            <sz val="9"/>
            <color indexed="8"/>
            <rFont val="Tahoma"/>
            <family val="2"/>
          </rPr>
          <t>Valor residual de AF</t>
        </r>
      </text>
    </comment>
  </commentList>
</comments>
</file>

<file path=xl/sharedStrings.xml><?xml version="1.0" encoding="utf-8"?>
<sst xmlns="http://schemas.openxmlformats.org/spreadsheetml/2006/main" count="1397" uniqueCount="778">
  <si>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</si>
  <si>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</si>
  <si>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</si>
  <si>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</si>
  <si>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</si>
  <si>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</si>
  <si>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</si>
  <si>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</si>
  <si>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</si>
  <si>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</si>
  <si>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</si>
  <si>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</si>
  <si>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</si>
  <si>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</si>
  <si>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</si>
  <si>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</si>
  <si>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</si>
  <si>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</si>
  <si>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</si>
  <si>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</si>
  <si>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</si>
  <si>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</si>
  <si>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</si>
  <si>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Tendedero con alas</t>
  </si>
  <si>
    <t>Ventas Anuales Promedio</t>
  </si>
  <si>
    <t>en Unidades</t>
  </si>
  <si>
    <t>Ventas año 1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</si>
  <si>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</si>
  <si>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</si>
  <si>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</si>
  <si>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</si>
  <si>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</si>
  <si>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</si>
  <si>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</si>
  <si>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</si>
  <si>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</si>
  <si>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</si>
  <si>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</si>
  <si>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</si>
  <si>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</si>
  <si>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</si>
  <si>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</si>
  <si>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</si>
  <si>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</si>
  <si>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</si>
  <si>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</si>
  <si>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Edificios y obras complementarias</t>
  </si>
  <si>
    <t>% sobre el total del Rubro</t>
  </si>
  <si>
    <t>Dias de Financiación de Proveedores</t>
  </si>
  <si>
    <t>% sobre Compras</t>
  </si>
  <si>
    <t>Tasa de financiación</t>
  </si>
  <si>
    <t>Libertadores2018</t>
  </si>
  <si>
    <t>Pocoyo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</si>
  <si>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</si>
  <si>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</si>
  <si>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</si>
  <si>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</si>
  <si>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</si>
  <si>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</si>
  <si>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</si>
  <si>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</si>
  <si>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</si>
  <si>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</si>
  <si>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</si>
  <si>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</si>
  <si>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</si>
  <si>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</si>
  <si>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</si>
  <si>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</si>
  <si>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</si>
  <si>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</si>
  <si>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</si>
  <si>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</si>
  <si>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</si>
  <si>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</si>
  <si>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</si>
  <si>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</si>
  <si>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</si>
  <si>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</si>
  <si>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</si>
  <si>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</si>
  <si>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</si>
  <si>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</si>
  <si>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</si>
  <si>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</si>
  <si>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</si>
  <si>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</si>
  <si>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</si>
  <si>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</si>
  <si>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</si>
  <si>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</si>
  <si>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</si>
  <si>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</si>
  <si>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</si>
  <si>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</si>
  <si>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</si>
  <si>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Datos de la solapa InfoInicial</t>
  </si>
  <si>
    <t>Nombre del producto:</t>
  </si>
  <si>
    <t>Dimensionamiento Comercial</t>
  </si>
  <si>
    <t xml:space="preserve">Ventas anuales promedio: </t>
  </si>
  <si>
    <t>Precio promedio:</t>
  </si>
  <si>
    <t>Cantidad de personal total:</t>
  </si>
  <si>
    <t>Dimensionamento Tecnico</t>
  </si>
  <si>
    <t>Tamaño de la planta en m2:</t>
  </si>
  <si>
    <t>Dimensionamiento Tecnico</t>
  </si>
  <si>
    <t>Tasa de cambio:</t>
  </si>
  <si>
    <t>Datos de la solapa E-Inv AF y Am</t>
  </si>
  <si>
    <t>precio</t>
  </si>
  <si>
    <t>cant</t>
  </si>
  <si>
    <t>Equipo/Mueble/Util</t>
  </si>
  <si>
    <t>BIBLIOGRAFIA</t>
  </si>
  <si>
    <t xml:space="preserve"> </t>
  </si>
  <si>
    <t>Precio terreno en San Martin (USD)</t>
  </si>
  <si>
    <t>https://www.zonaprop.com.ar/propiedades/parque-industrial-polo-buen-ayre-42706183.html</t>
  </si>
  <si>
    <t>(Se le suman USD 40.000 en concepto de mejoras del terreno)</t>
  </si>
  <si>
    <t>Costo de la construccion x M2 ($)</t>
  </si>
  <si>
    <t>https://servicio.mercadolibre.com.ar/MLA-741092832-galpones-completos-tinglados-pisos-industriales-x-m2-comp-_JM</t>
  </si>
  <si>
    <t>(Apartado "Modelo 3")</t>
  </si>
  <si>
    <t>Porcentaje tomado de el ejercicio 13 de la guia ("PLAN DE LAS INVERSIONES INICIALES EN ACTIVO FIJO")</t>
  </si>
  <si>
    <t>Maquinas</t>
  </si>
  <si>
    <t>https://articulo.mercadolibre.com.ar/MLA-736949419-sierra-circular-de-banco-mesa-einhell-tc-ts20251ua-2000w-_JM</t>
  </si>
  <si>
    <t>(Se le suman $15.000 de la estructura metalica que soporta los caños)</t>
  </si>
  <si>
    <t>https://articulo.mercadolibre.com.uy/MLU-443975419-dobladora-de-canos-hidraulica-truper-dth-12x-tripie-12-ton-_JM</t>
  </si>
  <si>
    <t>https://articulo.mercadolibre.com.ar/MLA-682652525-perforadorapunzonadoratroqueladora-neumaticaset-completo-_JM</t>
  </si>
  <si>
    <t>https://www.youtube.com/watch?v=Z3qurrVbg7I</t>
  </si>
  <si>
    <t>https://articulo.mercadolibre.com.ar/MLA-685989587-soldadora-de-puntos-de-pie-brazos-400mm-aleba-p15-_JM</t>
  </si>
  <si>
    <t>https://www.martinezescalada.com.ar/equipamiento-de-taller/2794-combo-compresor-25-hp-50-lt-fmt-kit-5-piezas-lusqtoff.html</t>
  </si>
  <si>
    <t>https://articulo.mercadolibre.com.ar/MLA-623923581-remachadora-pop-neumatica-hasta-5-mm-tbx-industrial-_JM</t>
  </si>
  <si>
    <t>(El ensamblador final es un trabajo de herreria estimado en 35.000)</t>
  </si>
  <si>
    <t>Porcentaje tomado de el ejercicio 13 de la guia ("PLAN DE LAS INVERSIONES INICIALES EN ACTIVO FIJO") para montaje nacional int</t>
  </si>
  <si>
    <t>Porcentaje tomado de el ejercicio 13 de la guia ("PLAN DE LAS INVERSIONES INICIALES EN ACTIVO FIJO") para montaje importado int</t>
  </si>
  <si>
    <t>Porcentaje tomado de el ejercicio 13 de la guia ("PLAN DE LAS INVERSIONES INICIALES EN ACTIVO FIJO") para montaje nacional ext</t>
  </si>
  <si>
    <t>Porcentaje tomado de el ejercicio 13 de la guia ("PLAN DE LAS INVERSIONES INICIALES EN ACTIVO FIJO") para montaje importado ext</t>
  </si>
  <si>
    <t>$Van</t>
  </si>
  <si>
    <t>$Furgon</t>
  </si>
  <si>
    <t>Van (Dobladora Hidraulica, perforadora, soldadora de punto, martillo neumatico, remachadora y ensamblador)</t>
  </si>
  <si>
    <t>Furgon (Tensadora/Cortadora y Cortadora de caños)</t>
  </si>
  <si>
    <t>2 zorras hidraulicas</t>
  </si>
  <si>
    <t>2 carros (porta bultos) transportador SE e Insumos</t>
  </si>
  <si>
    <t>https://articulo.mercadolibre.com.ar/MLA-694842328-carro-zorrita-carretilla-porta-bulto-pesado-200kg-_JM#reco_item_pos=12&amp;reco_backend=machinalis-seller-items&amp;reco_backend_type=low_level&amp;reco_client=vip-seller_items-above&amp;reco_id=5e17228c-e63f-46c7-8cee-6f85514cf5a0</t>
  </si>
  <si>
    <t>Muebles y utiles</t>
  </si>
  <si>
    <t>Aire acondicionado</t>
  </si>
  <si>
    <t>https://www.cotodigital3.com.ar/sitios/cdigi/producto/-aire-acondicionado-split-top-house-3350-watts-frio-calor-ths35wcp/_/A-00460511-00460511-200</t>
  </si>
  <si>
    <t>Aplicador cinta</t>
  </si>
  <si>
    <t>https://articulo.mercadolibre.com.ar/MLA-734913827-aplicador-cinta-bifaz-doble-faz-3m-atg-700-_JM</t>
  </si>
  <si>
    <t>Armario personal</t>
  </si>
  <si>
    <t>https://articulo.mercadolibre.com.ar/MLA-615667090-placard-22-ropero-armario-2-puertas-2-cajones-ropa-oferta-_JM</t>
  </si>
  <si>
    <t>Banco</t>
  </si>
  <si>
    <t>https://www.sodimac.com.ar/sodimac-ar/product/152075X/Banco-de-jardin-plegable-de-pino/152075X</t>
  </si>
  <si>
    <t>Cafetera</t>
  </si>
  <si>
    <t>https://www.garbarino.com/producto/cafetera-nespresso-essenza-mini-black/7e96bb8dcc?gclid=Cj0KCQjw0dHdBRDEARIsAHjZYYBFXnWOamPJLprDlQhWfjJbXWo68DXnlTrYeVuNWoJT9IoU5sJJAOgaAlZyEALw_wcB</t>
  </si>
  <si>
    <t>Cesto de basura</t>
  </si>
  <si>
    <t>https://articulo.mercadolibre.com.ar/MLA-615175216-tacho-de-basura-25lts-colombraro-cesto-p-residuos-_JM</t>
  </si>
  <si>
    <t>Computadora</t>
  </si>
  <si>
    <t>https://www.compumundo.com.ar/producto/notebook-exo-smart-e17-intel-celeron/bd841ddd8b?gclid=Cj0KCQjw0dHdBRDEARIsAHjZYYBnbfuzysifNmMDtAQ86lB6qWLbyZAvCUKKBcz0dHo9NknRWJXuFY8aAqQjEALw_wcB</t>
  </si>
  <si>
    <t>Cortina</t>
  </si>
  <si>
    <t>https://articulo.mercadolibre.com.ar/MLA-617429090-cortina-de-bano-venecitas-_JM</t>
  </si>
  <si>
    <t>Dispenser de agua</t>
  </si>
  <si>
    <t>https://articulo.mercadolibre.com.ar/MLA-702758332-agua-en-bidones-cimes-con-maquina-frio-calor-_JM</t>
  </si>
  <si>
    <t>Ducha</t>
  </si>
  <si>
    <t>https://articulo.mercadolibre.com.ar/MLA-618195662-griferia-ducha-exterior-con-transferencia-latina-viva-vc3302-_JM</t>
  </si>
  <si>
    <t>Escritorio</t>
  </si>
  <si>
    <t>https://articulo.mercadolibre.com.ar/MLA-713228180-escritorio-moderno-potro-mobiliario-_JM</t>
  </si>
  <si>
    <t>Estante</t>
  </si>
  <si>
    <t>https://articulo.mercadolibre.com.ar/MLA-661443600-estante-repisa-flotante-mensula-invisible-kit-3-colores-_JM</t>
  </si>
  <si>
    <t>Heladera</t>
  </si>
  <si>
    <t>https://articulo.mercadolibre.com.ar/MLA-680999197-heladera-freezer-gafa-hgf357awb-blanca-281-lts-clase-a-lh-_JM</t>
  </si>
  <si>
    <t>Impresora</t>
  </si>
  <si>
    <t>https://articulo.mercadolibre.com.ar/MLA-749130440-impresora-hp-2135-deskjet-multifuncion-escaner-copia-f5s29a-_JM</t>
  </si>
  <si>
    <t>Lavabo</t>
  </si>
  <si>
    <t>https://articulo.mercadolibre.com.ar/MLA-636422487-bacha-ovalada-apoyo-loza-bano-lavatorio-p-vanitory-onix-1a-_JM</t>
  </si>
  <si>
    <t>Locker</t>
  </si>
  <si>
    <t>https://articulo.mercadolibre.com.ar/MLA-683977956-loker-8-puertas-gris-taquilla-vestuarios-_JM</t>
  </si>
  <si>
    <t>Mesa</t>
  </si>
  <si>
    <t>https://articulo.mercadolibre.com.ar/MLA-670899102-mesa-nordica-escandinava-60x100-comedor-cocina-maciza-y-mdf-_JM</t>
  </si>
  <si>
    <t>Mesada</t>
  </si>
  <si>
    <t>https://articulo.mercadolibre.com.ar/MLA-669573814-mesada-de-madera-dura-parana-a-medida-3-cm-espesor-_JM</t>
  </si>
  <si>
    <t>Mesada expedicion</t>
  </si>
  <si>
    <t>https://articulo.mercadolibre.com.ar/MLA-619311986-mesa-de-trabajo-acero-inoxidable-100x55-cm-mesada-fabrica-_JM</t>
  </si>
  <si>
    <t>Microondas</t>
  </si>
  <si>
    <t>https://articulo.mercadolibre.com.ar/MLA-745922287-microondas-sigma-700w-20lt-hm20-_JM</t>
  </si>
  <si>
    <t>Mueble bajo mesada</t>
  </si>
  <si>
    <t>https://articulo.mercadolibre.com.ar/MLA-712050871-bajo-mesada-140-cocina-mueble-2-puertas-3-cajones-blancas-_JM</t>
  </si>
  <si>
    <t>Paquete articulos libreria</t>
  </si>
  <si>
    <t>https://articulo.mercadolibre.com.ar/MLA-749186310-combo-oficina-bic-resma-abrochadora-resaltador-folio-vdevoto-_JM</t>
  </si>
  <si>
    <t>Perchero</t>
  </si>
  <si>
    <t>https://articulo.mercadolibre.com.ar/MLA-619812373-perchero-de-pared-moderno-tapizado-3-ganchos-perchas-_JM</t>
  </si>
  <si>
    <t>Rack</t>
  </si>
  <si>
    <t>https://articulo.mercadolibre.com.ar/MLA-728734932-racks-200-x-080-x200-largo-3-niv-de-carga-inicial-_JM</t>
  </si>
  <si>
    <t>Silla</t>
  </si>
  <si>
    <t>https://articulo.mercadolibre.com.ar/MLA-735989061-silla-de-cano-melli-apilable-ideal-bar-cocina-comedor-_JM</t>
  </si>
  <si>
    <t>Silla comun escritorio</t>
  </si>
  <si>
    <t>https://articulo.mercadolibre.com.ar/MLA-612528858-silla-de-pc-escritorio-ejecutivo-gerencial-sillon-oferta-_JM</t>
  </si>
  <si>
    <t>Silla ergonomica</t>
  </si>
  <si>
    <t>https://articulo.mercadolibre.com.ar/MLA-607196788-silla-sillon-escritorio-pc-computad-ergonomico-gianni-anatom-_JM</t>
  </si>
  <si>
    <t>Telefono fijo</t>
  </si>
  <si>
    <t>https://articulo.mercadolibre.com.ar/MLA-747054378-telefono-mesapared-panacom-pa-7400-hogar-oficina-_JM</t>
  </si>
  <si>
    <t>Telefono Movil</t>
  </si>
  <si>
    <t>https://articulo.mercadolibre.com.ar/MLA-735668003-abierto-5-barato-android60-t-movil-att-telefono-inteligen-_JM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</si>
  <si>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</si>
  <si>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</si>
  <si>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</si>
  <si>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</si>
  <si>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</si>
  <si>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</si>
  <si>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</si>
  <si>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</si>
  <si>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</si>
  <si>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</si>
  <si>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-</t>
  </si>
  <si>
    <t>Amortizaciones</t>
  </si>
  <si>
    <t>Personal indirecto</t>
  </si>
  <si>
    <t>Materiales</t>
  </si>
  <si>
    <t>Energía eléctrica</t>
  </si>
  <si>
    <t>Combustibles</t>
  </si>
  <si>
    <t>Tasas e impuestos</t>
  </si>
  <si>
    <t>seguros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</si>
  <si>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</si>
  <si>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</si>
  <si>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</si>
  <si>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</si>
  <si>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</si>
  <si>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</si>
  <si>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</si>
  <si>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</si>
  <si>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</si>
  <si>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</si>
  <si>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</si>
  <si>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</si>
  <si>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</si>
  <si>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</si>
  <si>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</si>
  <si>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</si>
  <si>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</si>
  <si>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</si>
  <si>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</si>
  <si>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</si>
  <si>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Energía Eléctrica</t>
  </si>
  <si>
    <t>Combustible</t>
  </si>
  <si>
    <t>Varios</t>
  </si>
  <si>
    <t>Costo total de Admistración</t>
  </si>
  <si>
    <t>Gastos en el Area de Comercialización</t>
  </si>
  <si>
    <t>Amortizaciones (Activo Fijo)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</si>
  <si>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</si>
  <si>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</si>
  <si>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</si>
  <si>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</si>
  <si>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</si>
  <si>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</si>
  <si>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</si>
  <si>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</si>
  <si>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</si>
  <si>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</si>
  <si>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</si>
  <si>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</si>
  <si>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</si>
  <si>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</si>
  <si>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</si>
  <si>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</si>
  <si>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</si>
  <si>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</si>
  <si>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</si>
  <si>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</si>
  <si>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</si>
  <si>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</si>
  <si>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</si>
  <si>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</si>
  <si>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</si>
  <si>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</si>
  <si>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</si>
  <si>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</si>
  <si>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</si>
  <si>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</si>
  <si>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</si>
  <si>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</si>
  <si>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</si>
  <si>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</si>
  <si>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1</t>
  </si>
  <si>
    <t>AÑO 5</t>
  </si>
  <si>
    <t>UNIDADES</t>
  </si>
  <si>
    <t>CV</t>
  </si>
  <si>
    <t>CF</t>
  </si>
  <si>
    <t>CT</t>
  </si>
  <si>
    <t>IxV</t>
  </si>
  <si>
    <t>Pot Contratada</t>
  </si>
  <si>
    <t>Pot Adquirida</t>
  </si>
  <si>
    <t>Costos BT =&lt; 300kw</t>
  </si>
  <si>
    <t>Año 2-n</t>
  </si>
  <si>
    <t>Cargo Fijo</t>
  </si>
  <si>
    <t>$/mes</t>
  </si>
  <si>
    <t>Anual</t>
  </si>
  <si>
    <t>Mensual</t>
  </si>
  <si>
    <t>Costo unit</t>
  </si>
  <si>
    <t>Costo total</t>
  </si>
  <si>
    <t>Cargo x Pot contratada</t>
  </si>
  <si>
    <t>$/kw - mes</t>
  </si>
  <si>
    <t>Agua (Litros)</t>
  </si>
  <si>
    <t>Cargo x Pot adquirida</t>
  </si>
  <si>
    <t>Energia (Kwh)</t>
  </si>
  <si>
    <t>Adm / Comer</t>
  </si>
  <si>
    <t>Cargo Variable Pico</t>
  </si>
  <si>
    <t>$/kwH</t>
  </si>
  <si>
    <t>Producción</t>
  </si>
  <si>
    <t>Cargo Variable Resto</t>
  </si>
  <si>
    <t>Cargo Variable Valle</t>
  </si>
  <si>
    <t>Costos Energia Prod</t>
  </si>
  <si>
    <t>$</t>
  </si>
  <si>
    <t>Año 1: 62% años 2-n</t>
  </si>
  <si>
    <t>Salario Bruto</t>
  </si>
  <si>
    <t>Carga Social 24
%</t>
  </si>
  <si>
    <t>Cantidad</t>
  </si>
  <si>
    <t>Gasto Total</t>
  </si>
  <si>
    <t>GT Anual</t>
  </si>
  <si>
    <t>Costos Energia Adm</t>
  </si>
  <si>
    <t>Gerente Gral</t>
  </si>
  <si>
    <t>Gerente Comercial</t>
  </si>
  <si>
    <t>Resp Adm y Finanzas</t>
  </si>
  <si>
    <t>Jefe Produccion</t>
  </si>
  <si>
    <t>Operarios</t>
  </si>
  <si>
    <t>Año  2-n</t>
  </si>
  <si>
    <t>Año 1 (95%)</t>
  </si>
  <si>
    <t>Gasto específico año 2 a 5</t>
  </si>
  <si>
    <t>$/u</t>
  </si>
  <si>
    <t>Año 1 a n</t>
  </si>
  <si>
    <t>Gasto por tasas e impuestos en la la mercadería en proceso año 2 al 5</t>
  </si>
  <si>
    <t>Tasa municipal</t>
  </si>
  <si>
    <t>del valor del inmueble</t>
  </si>
  <si>
    <t>Correspondiente a Produccion</t>
  </si>
  <si>
    <t>Impuesto inmobiliairio</t>
  </si>
  <si>
    <t>Valor del terreno + Valor del edificio</t>
  </si>
  <si>
    <t xml:space="preserve">Gasto específico año 1 </t>
  </si>
  <si>
    <t>Gasto por tasas e impuestos en la la mercadería en proceso año 1</t>
  </si>
  <si>
    <t xml:space="preserve">Año 1 </t>
  </si>
  <si>
    <t>Año 2 a N</t>
  </si>
  <si>
    <t>Ventas</t>
  </si>
  <si>
    <t xml:space="preserve">ES UN GASTO FIJO </t>
  </si>
  <si>
    <t>Stock</t>
  </si>
  <si>
    <t>Produccion</t>
  </si>
  <si>
    <t>Desperdicio Nrec</t>
  </si>
  <si>
    <t>MeC y SE</t>
  </si>
  <si>
    <t>Consumo MP</t>
  </si>
  <si>
    <t>Stock MP</t>
  </si>
  <si>
    <t>Compra MP</t>
  </si>
  <si>
    <t>Kg de MP/unidad</t>
  </si>
  <si>
    <t>Costo ($/1000kg)</t>
  </si>
  <si>
    <t>Costo unitario</t>
  </si>
  <si>
    <t>Fuente</t>
  </si>
  <si>
    <t>Rollo SAE (Ø=3,5mm)</t>
  </si>
  <si>
    <t>Completar por Rama!</t>
  </si>
  <si>
    <t>Rollo SAE (Ø=5mm)</t>
  </si>
  <si>
    <t>Caño 5/8"x0.7mm</t>
  </si>
  <si>
    <t>https://articulo.mercadolibre.com.ar/MLA-669381662-cano-estructural-redondo-58-x-090mm-barra-x-6-mtrs-_JM</t>
  </si>
  <si>
    <t>Aranlock (unidades)</t>
  </si>
  <si>
    <t>https://articulo.mercadolibre.com.ar/MLA-608599088-arandelas-de-presion-aranlock-8-x-18-x100-unidades-_JM</t>
  </si>
  <si>
    <t>Remache (unidades)</t>
  </si>
  <si>
    <t>https://articulo.mercadolibre.com.ar/MLA-684972412-remache-pop-aluminio-rerar-48-x-30-5x30-caja-de-500-unid-_JM</t>
  </si>
  <si>
    <t>Regaton (unidades)</t>
  </si>
  <si>
    <t>https://articulo.mercadolibre.com.ar/MLA-620112137-regaton-regatones-plasticos-58-x-100-unidades-exterior-_JM</t>
  </si>
  <si>
    <t>Bolsa embalaje</t>
  </si>
  <si>
    <t>https://articulo.mercadolibre.com.ar/MLA-616970184-funda-bolsa-polietileno-traslucido-larga-60x140-cm-x-100-u-_JM</t>
  </si>
  <si>
    <t>Film embalaje (kg/u)</t>
  </si>
  <si>
    <t>https://www.fscontenidos.com.ar/film-stretch-embalaje-70cm-cmango-26kg-rollos-caba-787593015xJM</t>
  </si>
  <si>
    <t>Pintura (tercerizado)</t>
  </si>
  <si>
    <t>Información obtenida de una de las empresas del mercado</t>
  </si>
  <si>
    <t>SON GASTOS VARIABLES</t>
  </si>
  <si>
    <t>%</t>
  </si>
  <si>
    <t>CALCULOS AUXILIARES</t>
  </si>
  <si>
    <t>Costo de la MP incorporada en la mercadería en curso y SE</t>
  </si>
  <si>
    <t>Años 4 y 5</t>
  </si>
  <si>
    <t>Costo del exceso de la MP en la puesta en marcha</t>
  </si>
  <si>
    <t>sumatoria de maquinas nacionales e importadas (sin incluir repuestos) con los gastos conexos a la importación  con transporte y montaje más rodados y equipos auxiliares</t>
  </si>
  <si>
    <t>Valor FOB del gasto anual en repuestos importados</t>
  </si>
  <si>
    <t>Volumen de producción año 2 a 5</t>
  </si>
  <si>
    <t>Gasto específico</t>
  </si>
  <si>
    <t>MP en proceso</t>
  </si>
  <si>
    <t>(dim tecnico)</t>
  </si>
  <si>
    <t>MATERIALES</t>
  </si>
  <si>
    <t>Gasto en la mercadería en proceso</t>
  </si>
  <si>
    <t>Datos del tecnólogo</t>
  </si>
  <si>
    <t>Correspondencia del %</t>
  </si>
  <si>
    <t>otros %</t>
  </si>
  <si>
    <t>Año 2 y 3</t>
  </si>
  <si>
    <t>Año 4 y 5</t>
  </si>
  <si>
    <t>Mantenimiento</t>
  </si>
  <si>
    <t>del total anual de bienes de uso</t>
  </si>
  <si>
    <t>Flete y derecho de importación</t>
  </si>
  <si>
    <t>Volumen de producción año 1</t>
  </si>
  <si>
    <t>del total anual del gasto de MP</t>
  </si>
  <si>
    <t xml:space="preserve">Gasto en PT </t>
  </si>
  <si>
    <t>del total anual de Personal</t>
  </si>
  <si>
    <t>TOTAL</t>
  </si>
  <si>
    <t>Exceso de gasto de materiales en la puesta en marcha</t>
  </si>
  <si>
    <t>Los años 4 y 5 se incrementan los gastos de MTM y consumo de repuestos un 10%</t>
  </si>
  <si>
    <t>% Afectado de los bienes de uso en producción</t>
  </si>
  <si>
    <t>(así en la guía)</t>
  </si>
  <si>
    <t>Amortizaciones MC y SE</t>
  </si>
  <si>
    <t>Alícuota anual</t>
  </si>
  <si>
    <t>Imputación esp.</t>
  </si>
  <si>
    <t>Consumo MC en régimen</t>
  </si>
  <si>
    <t>Incide en un 50%</t>
  </si>
  <si>
    <t>Imputación del AF (Amortizaciones)</t>
  </si>
  <si>
    <t>PROD 80%</t>
  </si>
  <si>
    <t>COMER 5%</t>
  </si>
  <si>
    <t>ADMIN 5%</t>
  </si>
  <si>
    <t xml:space="preserve"> Repuestos 100%</t>
  </si>
  <si>
    <t>Materiales PRODU</t>
  </si>
  <si>
    <t>Porcentaje</t>
  </si>
  <si>
    <t>Ítem</t>
  </si>
  <si>
    <t>Materiales ADMIN</t>
  </si>
  <si>
    <t>Materiales COMER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</si>
  <si>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</si>
  <si>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</si>
  <si>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</si>
  <si>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</si>
  <si>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</si>
  <si>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</si>
  <si>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</si>
  <si>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</si>
  <si>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Año 2 al 5</t>
  </si>
  <si>
    <t>Año 1 (90%)</t>
  </si>
  <si>
    <t>(dan 0 porque estan en funcion del costo anual de produccion aun no calculado)</t>
  </si>
  <si>
    <t>Varios ADMIN (semifijo)</t>
  </si>
  <si>
    <t>Año 1-N</t>
  </si>
  <si>
    <t>Tasas e Impuestos ADMIN (semifijo)</t>
  </si>
  <si>
    <t>Honorarios profesionales</t>
  </si>
  <si>
    <t>Impuesto a los sellos</t>
  </si>
  <si>
    <t>Gastos de representacion</t>
  </si>
  <si>
    <t>(2500 por mes)</t>
  </si>
  <si>
    <t>Impuesto a debitos/creditos</t>
  </si>
  <si>
    <t>Viajes</t>
  </si>
  <si>
    <t>Gastos de oficina</t>
  </si>
  <si>
    <t>Varios COMER (semifijo)</t>
  </si>
  <si>
    <t>Tasas e Impuestos COMER (semifijo)</t>
  </si>
  <si>
    <t>Ingreso Brutos</t>
  </si>
  <si>
    <t>Publicidad especializada</t>
  </si>
  <si>
    <t>MOD MC y SE</t>
  </si>
  <si>
    <t>Gasto MOD</t>
  </si>
  <si>
    <t>Gasto PT</t>
  </si>
  <si>
    <t>Año 2-5</t>
  </si>
  <si>
    <t>(Dim técnico)</t>
  </si>
  <si>
    <t xml:space="preserve">Se incorporará la mitad del consumo de MOD específico correspondiente </t>
  </si>
  <si>
    <t>Gasto MC y Se (2-5)</t>
  </si>
  <si>
    <t>Gasto PM</t>
  </si>
  <si>
    <t>MOI MC y SE</t>
  </si>
  <si>
    <t>Gasto MOI</t>
  </si>
  <si>
    <t>Consumo MC régimen</t>
  </si>
  <si>
    <t xml:space="preserve">Se incorporará la mitad del consumo de MOI específico correspondiente </t>
  </si>
  <si>
    <t>Gasto MC y Se (1)</t>
  </si>
  <si>
    <t>Año</t>
  </si>
  <si>
    <t xml:space="preserve">Consumo MP </t>
  </si>
  <si>
    <t>2 al 5</t>
  </si>
  <si>
    <t>Año 2 a 5</t>
  </si>
  <si>
    <t>Consumo específico</t>
  </si>
  <si>
    <t>Gasto anual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</si>
  <si>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</si>
  <si>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</si>
  <si>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</si>
  <si>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</si>
  <si>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del exeso de la MP en la puesta en marcha</t>
  </si>
  <si>
    <t>Stock promedio PT</t>
  </si>
  <si>
    <t>Stock elaborado al final-</t>
  </si>
  <si>
    <t>Stock elaborado al final +</t>
  </si>
  <si>
    <t>Variación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</si>
  <si>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</si>
  <si>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</si>
  <si>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</si>
  <si>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</si>
  <si>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</si>
  <si>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</si>
  <si>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</si>
  <si>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</si>
  <si>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</si>
  <si>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</si>
  <si>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</si>
  <si>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</si>
  <si>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</si>
  <si>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</si>
  <si>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</si>
  <si>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</si>
  <si>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</si>
  <si>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</si>
  <si>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</si>
  <si>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</si>
  <si>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</si>
  <si>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</si>
  <si>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</si>
  <si>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</si>
  <si>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</si>
  <si>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</si>
  <si>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</si>
  <si>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Disponibilidad min CyB</t>
  </si>
  <si>
    <t>Porcentaje de ventas</t>
  </si>
  <si>
    <t>de los otros años</t>
  </si>
  <si>
    <t>Plazo de financiación</t>
  </si>
  <si>
    <t>30 días</t>
  </si>
  <si>
    <t>Canidad de mp por unidad (KG MP/unidad)</t>
  </si>
  <si>
    <t>Precio (($/1000kg))</t>
  </si>
  <si>
    <t>COSTO UNITARIO</t>
  </si>
  <si>
    <t>Arandela 5/8"</t>
  </si>
  <si>
    <t>Stock promedio de PT</t>
  </si>
  <si>
    <t>Desperdicio no recuperables</t>
  </si>
  <si>
    <t>Area</t>
  </si>
  <si>
    <t xml:space="preserve">Stock equivalente al consumo de: </t>
  </si>
  <si>
    <t>meses</t>
  </si>
  <si>
    <t>Administración</t>
  </si>
  <si>
    <t>Comercialización</t>
  </si>
  <si>
    <t>Stock de elaborado - incremento IVA inv.</t>
  </si>
  <si>
    <t>AÑO 2</t>
  </si>
  <si>
    <t>AÑO 3</t>
  </si>
  <si>
    <t>AÑO 4</t>
  </si>
  <si>
    <t>Incremento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</si>
  <si>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</si>
  <si>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</si>
  <si>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</si>
  <si>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</si>
  <si>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</si>
  <si>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</si>
  <si>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</si>
  <si>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</si>
  <si>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</si>
  <si>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</si>
  <si>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</si>
  <si>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</si>
  <si>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</si>
  <si>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</si>
  <si>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</si>
  <si>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</si>
  <si>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</si>
  <si>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</si>
  <si>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</si>
  <si>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</si>
  <si>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</si>
  <si>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</si>
  <si>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</si>
  <si>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</si>
  <si>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</si>
  <si>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</si>
  <si>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</si>
  <si>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</si>
  <si>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</si>
  <si>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</si>
  <si>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</si>
  <si>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</si>
  <si>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</si>
  <si>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</si>
  <si>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</si>
  <si>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</si>
  <si>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</si>
  <si>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</si>
  <si>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</si>
  <si>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</si>
  <si>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</si>
  <si>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</si>
  <si>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</si>
  <si>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IVA 21%</t>
  </si>
  <si>
    <t>Stock de elaborado</t>
  </si>
  <si>
    <t>PLAN DE VENTAS</t>
  </si>
  <si>
    <t>Q</t>
  </si>
  <si>
    <t>INGRESOS TOTALES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</si>
  <si>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</si>
  <si>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</si>
  <si>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</si>
  <si>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</si>
  <si>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</si>
  <si>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</si>
  <si>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</si>
  <si>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</si>
  <si>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</si>
  <si>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</si>
  <si>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</si>
  <si>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</si>
  <si>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</si>
  <si>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</si>
  <si>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</si>
  <si>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</si>
  <si>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</si>
  <si>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</si>
  <si>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</si>
  <si>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</si>
  <si>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</si>
  <si>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</si>
  <si>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Equivalencia del credito de proveedores con un credito renovable</t>
  </si>
  <si>
    <t>Total Inversión</t>
  </si>
  <si>
    <t>CréditoS</t>
  </si>
  <si>
    <t>Capital Propio</t>
  </si>
  <si>
    <t>monto</t>
  </si>
  <si>
    <t>Meses</t>
  </si>
  <si>
    <t>Monto comprado</t>
  </si>
  <si>
    <t>Credito</t>
  </si>
  <si>
    <t>Cancelacion</t>
  </si>
  <si>
    <t>Interes</t>
  </si>
  <si>
    <t>Amortizacion=</t>
  </si>
  <si>
    <t>8 cuotas trimestrales consecutivas e iguales</t>
  </si>
  <si>
    <t xml:space="preserve">Activo Fijo </t>
  </si>
  <si>
    <t>Monto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</si>
  <si>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</si>
  <si>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</si>
  <si>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</si>
  <si>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</si>
  <si>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</si>
  <si>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</si>
  <si>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</si>
  <si>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</si>
  <si>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</si>
  <si>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</si>
  <si>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</si>
  <si>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</si>
  <si>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</si>
  <si>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</si>
  <si>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</si>
  <si>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</si>
  <si>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</si>
  <si>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Equivalencia credito anual=</t>
  </si>
  <si>
    <t>Total Gasto Preoperativo</t>
  </si>
  <si>
    <t>Comision bancaria=</t>
  </si>
  <si>
    <t>gastos preoperativos: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</si>
  <si>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</si>
  <si>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</si>
  <si>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</si>
  <si>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</si>
  <si>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</si>
  <si>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</si>
  <si>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</si>
  <si>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</si>
  <si>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</si>
  <si>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</si>
  <si>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</si>
  <si>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</si>
  <si>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</si>
  <si>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</si>
  <si>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</si>
  <si>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</si>
  <si>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</si>
  <si>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</si>
  <si>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</si>
  <si>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</si>
  <si>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</si>
  <si>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</si>
  <si>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</si>
  <si>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</si>
  <si>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</si>
  <si>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</si>
  <si>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</si>
  <si>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</si>
  <si>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</si>
  <si>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</si>
  <si>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</si>
  <si>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</si>
  <si>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</si>
  <si>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</si>
  <si>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</si>
  <si>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</si>
  <si>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</si>
  <si>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</si>
  <si>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</si>
  <si>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</si>
  <si>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</si>
  <si>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</si>
  <si>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</si>
  <si>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</si>
  <si>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</si>
  <si>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Crédito renovable</t>
  </si>
  <si>
    <t>Crédito no renovable</t>
  </si>
  <si>
    <t>Capital propio</t>
  </si>
  <si>
    <t>PUNTO DE EQUILIBRIO ECONOMICO FINANCIERO</t>
  </si>
  <si>
    <t>Gasto Financiero</t>
  </si>
  <si>
    <t>unid</t>
  </si>
  <si>
    <t>cv</t>
  </si>
  <si>
    <t>cf</t>
  </si>
  <si>
    <t>ct</t>
  </si>
  <si>
    <t>Ventas Anuales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</si>
  <si>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</si>
  <si>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</si>
  <si>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</si>
  <si>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</si>
  <si>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</si>
  <si>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</si>
  <si>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</si>
  <si>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</si>
  <si>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</si>
  <si>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</si>
  <si>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</si>
  <si>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</si>
  <si>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</si>
  <si>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</si>
  <si>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</si>
  <si>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</si>
  <si>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</si>
  <si>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</si>
  <si>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</si>
  <si>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</si>
  <si>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</si>
  <si>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</si>
  <si>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</si>
  <si>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</si>
  <si>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</si>
  <si>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</si>
  <si>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</si>
  <si>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</si>
  <si>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</si>
  <si>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</si>
  <si>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</si>
  <si>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</si>
  <si>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</si>
  <si>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</si>
  <si>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</si>
  <si>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</si>
  <si>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</si>
  <si>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</si>
  <si>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</si>
  <si>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</si>
  <si>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</si>
  <si>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</si>
  <si>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</si>
  <si>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</si>
  <si>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</si>
  <si>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</si>
  <si>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</si>
  <si>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</si>
  <si>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</si>
  <si>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</si>
  <si>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</si>
  <si>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</si>
  <si>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</si>
  <si>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</si>
  <si>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</si>
  <si>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</si>
  <si>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</si>
  <si>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</si>
  <si>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</si>
  <si>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</si>
  <si>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</si>
  <si>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</si>
  <si>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</si>
  <si>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</si>
  <si>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</si>
  <si>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</si>
  <si>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</si>
  <si>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</si>
  <si>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</si>
  <si>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</si>
  <si>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</si>
  <si>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</si>
  <si>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</si>
  <si>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</si>
  <si>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</si>
  <si>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</si>
  <si>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</si>
  <si>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</si>
  <si>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</si>
  <si>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</si>
  <si>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Banco Provincia Microcréditos</t>
  </si>
  <si>
    <t>https://www.provinciamicrocreditos.com/creditos/</t>
  </si>
  <si>
    <t>Los plazos dependerán del destino del crédito (CAPITAL DE TRABAJO: de 12 a 36 meses; INVERSIÓN: de 37 a 60 meses). Para solicitar un monto superior a $250.000 hasta $500.000 se deberá contar con inscripción ante el AFIP (Monotributo o Responsable Inscripto). El otorgamiento efectivo del producto se encuentra sujeto a evaluación crediticia y a las condiciones de otorgamiento. Tasa de interés nominal anual (TNA) = 50%. Tasa de interés efectiva anual (TEA) = 63,23%. CFT(NA) 75,21%*. *CFT(NA) estimado considerando periodos de pago iguales de 30 días. El CFT(NA) definitivo será calculado e informado al momento de solicitar tu préstamo, considerando las opciones de plazo y montos que hayas elegido. Tasa fija en pesos. Sistema de amortización francés. El costo financiero total efectivo anual (CFT) incluye capital e intereses.</t>
  </si>
  <si>
    <t>Se recomienda elegir este prestamo para cubrir las Inverciones en Activo de Trabajo</t>
  </si>
  <si>
    <t>Se solicitará un monto de $350.000 a un plazo de 36 meses</t>
  </si>
  <si>
    <t>TEA=</t>
  </si>
  <si>
    <t>Plazo semestral=</t>
  </si>
  <si>
    <t>Gasto bancario anual</t>
  </si>
  <si>
    <t>Interes semestral</t>
  </si>
  <si>
    <t>Cuota sist. Frances</t>
  </si>
  <si>
    <t>Gastos bancarios</t>
  </si>
  <si>
    <t>Santander Rio Advance</t>
  </si>
  <si>
    <t>https://www.santanderrio.com.ar/banco/online/pymes-advance/financiacion/super-prestamo-pyme-uvas</t>
  </si>
  <si>
    <t>Super Prestamo PyMEs UVAs</t>
  </si>
  <si>
    <t>DISPONIBLE PARA CARTERA COMERCIAL</t>
  </si>
  <si>
    <t>Costo Financiero Total Efectivo Anual: C.F.T.E.A.</t>
  </si>
  <si>
    <t>CFTEA:17,94%. </t>
  </si>
  <si>
    <t>PRÉSTAMO EN PESOS AJUSTABLE POR EL COEFICIENTE DE ESTABILIZACIÓN DE REFERENCIA Y EXPRESADO EN UNIDADES DE VALOR ADQUISITIVO.</t>
  </si>
  <si>
    <t>Tasa Fija Nominal Anual: 15,70%. Tasa Efectiva Anual: 16,88%. (no incluye variación CER ni seguro ni el IVA sobre intereses). La tasa informada corresponde al plazo de 60 meses.</t>
  </si>
  <si>
    <t>Condiciones vigentes del 03/07/2018 al 31/10/2018. Sistema amortización Francés, el otorgamiento efectivo del producto se encuentra sujeto a evaluación crediticia.</t>
  </si>
  <si>
    <t>La comisión de estructuración es de 2% + iva, la comisión por cancelación anticipada es de 3% + iva sobre el monto a cancelar. (*)La comisión por cancelación anticipada total solo será aplicada cuando se realice antes de cumplirse el 75% del plazo total del mismo.</t>
  </si>
  <si>
    <t>Ejemplo: Un préstamo de $ 1.000.000 a 60 meses, equivale a 60.132,29 UVAs (considerando para este ejemplo el valor de la UVA al 01/11/2016, $ 16,63).</t>
  </si>
  <si>
    <t>BIEN</t>
  </si>
  <si>
    <t>Guia de trabajos prácticos dice que sale de donde los pusimos.</t>
  </si>
  <si>
    <t>CORREGIDO 23/11</t>
  </si>
  <si>
    <t>Credito por ventas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</si>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</sst>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0\ %"/>
    <numFmt numFmtId="166" formatCode="0.00\ %"/>
    <numFmt numFmtId="167" formatCode="_(\$* #,##0.00_);_(\$* \(#,##0.00\);_(\$* \-??_);_(@_)"/>
    <numFmt numFmtId="168" formatCode="0.0"/>
    <numFmt numFmtId="169" formatCode="0.000"/>
    <numFmt numFmtId="170" formatCode="_(* #,##0.00_);_(* \(#,##0.00\);_(* \-??_);_(@_)"/>
    <numFmt numFmtId="171" formatCode="_(\$* #,##0_);_(\$* \(#,##0\);_(\$* \-??_);_(@_)"/>
    <numFmt numFmtId="172" formatCode="0.0000"/>
    <numFmt numFmtId="173" formatCode="\$#,##0.00"/>
    <numFmt numFmtId="174" formatCode="dd/mmm"/>
    <numFmt numFmtId="175" formatCode="_ * #,##0.00_ ;_ * \-#,##0.00_ ;_ * \-??_ ;_ @_ "/>
    <numFmt numFmtId="176" formatCode="_(\$* #,##0.00000_);_(\$* \(#,##0.00000\);_(\$* \-??_);_(@_)"/>
    <numFmt numFmtId="177" formatCode="0.0%"/>
    <numFmt numFmtId="178" formatCode="d&quot; de &quot;mmm&quot; de &quot;yy"/>
    <numFmt numFmtId="179" formatCode="d/m/yy;@"/>
    <numFmt numFmtId="180" formatCode="_-* #,##0.00_-;\-* #,##0.00_-;_-* \-??_-;_-@_-"/>
    <numFmt numFmtId="181" formatCode="0.000%"/>
  </numFmts>
  <fonts count="33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0"/>
      <color indexed="8"/>
      <name val="Arial"/>
      <family val="2"/>
    </font>
    <font>
      <u/>
      <sz val="10"/>
      <color indexed="30"/>
      <name val="Arial"/>
      <family val="2"/>
    </font>
    <font>
      <sz val="11"/>
      <name val="Arial"/>
      <family val="2"/>
    </font>
    <font>
      <sz val="10"/>
      <color indexed="53"/>
      <name val="Arial"/>
      <family val="2"/>
    </font>
    <font>
      <sz val="10"/>
      <color indexed="12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10"/>
      <color indexed="8"/>
      <name val="Inconsolata"/>
    </font>
    <font>
      <sz val="12"/>
      <name val="Symbol"/>
      <family val="1"/>
      <charset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59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1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10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/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double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double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thin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59"/>
      </left>
      <right/>
      <top style="medium">
        <color indexed="59"/>
      </top>
      <bottom/>
      <diagonal/>
    </border>
    <border>
      <left/>
      <right/>
      <top style="medium">
        <color indexed="59"/>
      </top>
      <bottom/>
      <diagonal/>
    </border>
    <border>
      <left/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double">
        <color indexed="56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6"/>
      </left>
      <right/>
      <top style="hair">
        <color indexed="56"/>
      </top>
      <bottom style="double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/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/>
      <bottom/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/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double">
        <color indexed="56"/>
      </right>
      <top/>
      <bottom/>
      <diagonal/>
    </border>
    <border>
      <left style="double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59"/>
      </bottom>
      <diagonal/>
    </border>
    <border>
      <left style="thin">
        <color indexed="56"/>
      </left>
      <right/>
      <top style="double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70" fontId="32" fillId="0" borderId="0" applyFill="0" applyBorder="0" applyAlignment="0" applyProtection="0"/>
    <xf numFmtId="167" fontId="32" fillId="0" borderId="0" applyFill="0" applyBorder="0" applyAlignment="0" applyProtection="0"/>
    <xf numFmtId="165" fontId="32" fillId="0" borderId="0" applyFill="0" applyBorder="0" applyAlignment="0" applyProtection="0"/>
    <xf numFmtId="0" fontId="1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8" borderId="1" applyNumberFormat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2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165" fontId="13" fillId="7" borderId="2" xfId="3" applyFont="1" applyFill="1" applyBorder="1" applyAlignment="1" applyProtection="1"/>
    <xf numFmtId="166" fontId="13" fillId="7" borderId="2" xfId="3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3" fillId="7" borderId="2" xfId="0" applyFont="1" applyFill="1" applyBorder="1" applyAlignment="1">
      <alignment horizontal="center"/>
    </xf>
    <xf numFmtId="166" fontId="13" fillId="7" borderId="2" xfId="0" applyNumberFormat="1" applyFont="1" applyFill="1" applyBorder="1" applyAlignment="1">
      <alignment horizontal="center"/>
    </xf>
    <xf numFmtId="0" fontId="0" fillId="12" borderId="4" xfId="0" applyFont="1" applyFill="1" applyBorder="1" applyProtection="1">
      <protection locked="0"/>
    </xf>
    <xf numFmtId="0" fontId="0" fillId="12" borderId="5" xfId="0" applyFill="1" applyBorder="1"/>
    <xf numFmtId="0" fontId="0" fillId="12" borderId="6" xfId="0" applyFill="1" applyBorder="1"/>
    <xf numFmtId="0" fontId="0" fillId="12" borderId="2" xfId="0" applyFill="1" applyBorder="1" applyProtection="1">
      <protection locked="0"/>
    </xf>
    <xf numFmtId="0" fontId="13" fillId="0" borderId="0" xfId="0" applyFont="1"/>
    <xf numFmtId="165" fontId="32" fillId="12" borderId="7" xfId="3" applyFill="1" applyBorder="1" applyAlignment="1" applyProtection="1">
      <protection locked="0"/>
    </xf>
    <xf numFmtId="0" fontId="2" fillId="0" borderId="0" xfId="0" applyFont="1"/>
    <xf numFmtId="165" fontId="32" fillId="12" borderId="2" xfId="3" applyFill="1" applyBorder="1" applyAlignment="1" applyProtection="1">
      <protection locked="0"/>
    </xf>
    <xf numFmtId="0" fontId="0" fillId="0" borderId="0" xfId="0" applyFill="1"/>
    <xf numFmtId="0" fontId="17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7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7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7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7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7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0" fontId="0" fillId="0" borderId="17" xfId="2" applyNumberFormat="1" applyFont="1" applyFill="1" applyBorder="1" applyAlignment="1" applyProtection="1">
      <protection locked="0"/>
    </xf>
    <xf numFmtId="167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8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8" fontId="0" fillId="0" borderId="17" xfId="0" applyNumberFormat="1" applyFill="1" applyBorder="1"/>
    <xf numFmtId="168" fontId="0" fillId="0" borderId="19" xfId="0" applyNumberFormat="1" applyFill="1" applyBorder="1"/>
    <xf numFmtId="168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8" fontId="0" fillId="0" borderId="0" xfId="0" applyNumberFormat="1" applyFill="1"/>
    <xf numFmtId="168" fontId="13" fillId="0" borderId="0" xfId="0" applyNumberFormat="1" applyFont="1" applyFill="1" applyAlignment="1">
      <alignment horizontal="center"/>
    </xf>
    <xf numFmtId="0" fontId="0" fillId="0" borderId="0" xfId="0" applyAlignment="1"/>
    <xf numFmtId="0" fontId="18" fillId="14" borderId="20" xfId="0" applyFont="1" applyFill="1" applyBorder="1" applyAlignment="1">
      <alignment horizontal="center" vertical="center"/>
    </xf>
    <xf numFmtId="0" fontId="0" fillId="15" borderId="0" xfId="0" applyFont="1" applyFill="1" applyAlignment="1"/>
    <xf numFmtId="0" fontId="0" fillId="0" borderId="20" xfId="0" applyBorder="1"/>
    <xf numFmtId="0" fontId="19" fillId="0" borderId="20" xfId="4" applyNumberFormat="1" applyFill="1" applyBorder="1" applyAlignment="1" applyProtection="1"/>
    <xf numFmtId="165" fontId="32" fillId="0" borderId="20" xfId="3" applyFill="1" applyBorder="1" applyAlignment="1" applyProtection="1"/>
    <xf numFmtId="167" fontId="32" fillId="0" borderId="20" xfId="2" applyFill="1" applyBorder="1" applyAlignment="1" applyProtection="1"/>
    <xf numFmtId="0" fontId="0" fillId="0" borderId="20" xfId="0" applyFont="1" applyBorder="1" applyAlignment="1"/>
    <xf numFmtId="1" fontId="32" fillId="0" borderId="20" xfId="2" applyNumberFormat="1" applyFill="1" applyBorder="1" applyAlignment="1" applyProtection="1"/>
    <xf numFmtId="0" fontId="18" fillId="15" borderId="20" xfId="0" applyFont="1" applyFill="1" applyBorder="1" applyAlignment="1">
      <alignment horizontal="center" vertical="center"/>
    </xf>
    <xf numFmtId="0" fontId="19" fillId="15" borderId="20" xfId="4" applyNumberFormat="1" applyFont="1" applyFill="1" applyBorder="1" applyAlignment="1" applyProtection="1">
      <alignment horizontal="center" vertical="center"/>
    </xf>
    <xf numFmtId="167" fontId="0" fillId="0" borderId="20" xfId="2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167" fontId="0" fillId="0" borderId="0" xfId="2" applyFont="1" applyFill="1" applyBorder="1" applyAlignment="1" applyProtection="1">
      <protection locked="0"/>
    </xf>
    <xf numFmtId="0" fontId="0" fillId="0" borderId="0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7" fontId="0" fillId="0" borderId="15" xfId="2" applyFont="1" applyFill="1" applyBorder="1" applyAlignment="1" applyProtection="1">
      <alignment horizontal="center"/>
      <protection locked="0"/>
    </xf>
    <xf numFmtId="167" fontId="0" fillId="0" borderId="18" xfId="2" applyFont="1" applyFill="1" applyBorder="1" applyAlignment="1" applyProtection="1">
      <alignment horizontal="center"/>
      <protection locked="0"/>
    </xf>
    <xf numFmtId="167" fontId="0" fillId="0" borderId="17" xfId="2" applyFont="1" applyFill="1" applyBorder="1" applyAlignment="1" applyProtection="1">
      <alignment horizontal="center"/>
      <protection locked="0"/>
    </xf>
    <xf numFmtId="167" fontId="0" fillId="0" borderId="19" xfId="2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168" fontId="0" fillId="0" borderId="26" xfId="0" applyNumberFormat="1" applyFill="1" applyBorder="1" applyAlignment="1">
      <alignment horizontal="center"/>
    </xf>
    <xf numFmtId="168" fontId="0" fillId="0" borderId="27" xfId="0" applyNumberFormat="1" applyFill="1" applyBorder="1"/>
    <xf numFmtId="0" fontId="13" fillId="0" borderId="25" xfId="0" applyFont="1" applyFill="1" applyBorder="1"/>
    <xf numFmtId="166" fontId="0" fillId="0" borderId="26" xfId="0" applyNumberFormat="1" applyFill="1" applyBorder="1" applyAlignment="1" applyProtection="1">
      <alignment horizontal="center"/>
      <protection locked="0"/>
    </xf>
    <xf numFmtId="166" fontId="0" fillId="0" borderId="27" xfId="0" applyNumberFormat="1" applyFill="1" applyBorder="1" applyAlignment="1">
      <alignment horizontal="center"/>
    </xf>
    <xf numFmtId="166" fontId="0" fillId="0" borderId="28" xfId="0" applyNumberFormat="1" applyFill="1" applyBorder="1" applyAlignment="1" applyProtection="1">
      <alignment horizontal="center"/>
      <protection locked="0"/>
    </xf>
    <xf numFmtId="166" fontId="0" fillId="0" borderId="29" xfId="0" applyNumberFormat="1" applyFill="1" applyBorder="1" applyAlignment="1">
      <alignment horizontal="center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7" fontId="32" fillId="0" borderId="17" xfId="2" applyFill="1" applyBorder="1" applyAlignment="1" applyProtection="1">
      <alignment horizontal="center"/>
      <protection locked="0"/>
    </xf>
    <xf numFmtId="167" fontId="0" fillId="0" borderId="27" xfId="2" applyFont="1" applyFill="1" applyBorder="1" applyAlignment="1" applyProtection="1">
      <alignment horizontal="center"/>
      <protection locked="0"/>
    </xf>
    <xf numFmtId="167" fontId="0" fillId="0" borderId="12" xfId="2" applyFont="1" applyFill="1" applyBorder="1" applyAlignment="1" applyProtection="1">
      <alignment horizontal="center"/>
      <protection locked="0"/>
    </xf>
    <xf numFmtId="167" fontId="0" fillId="0" borderId="29" xfId="2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169" fontId="0" fillId="0" borderId="0" xfId="0" applyNumberFormat="1" applyFill="1" applyAlignment="1">
      <alignment horizontal="center"/>
    </xf>
    <xf numFmtId="169" fontId="13" fillId="0" borderId="9" xfId="0" applyNumberFormat="1" applyFont="1" applyFill="1" applyBorder="1" applyAlignment="1">
      <alignment horizontal="center"/>
    </xf>
    <xf numFmtId="169" fontId="13" fillId="0" borderId="10" xfId="0" applyNumberFormat="1" applyFont="1" applyFill="1" applyBorder="1" applyAlignment="1">
      <alignment horizontal="center"/>
    </xf>
    <xf numFmtId="167" fontId="0" fillId="0" borderId="26" xfId="2" applyFont="1" applyFill="1" applyBorder="1" applyAlignment="1" applyProtection="1">
      <alignment horizontal="center"/>
      <protection locked="0"/>
    </xf>
    <xf numFmtId="166" fontId="0" fillId="0" borderId="26" xfId="3" applyNumberFormat="1" applyFont="1" applyFill="1" applyBorder="1" applyAlignment="1" applyProtection="1">
      <alignment horizontal="center"/>
      <protection locked="0"/>
    </xf>
    <xf numFmtId="166" fontId="0" fillId="0" borderId="12" xfId="3" applyNumberFormat="1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7" fontId="0" fillId="0" borderId="9" xfId="2" applyFont="1" applyFill="1" applyBorder="1" applyAlignment="1" applyProtection="1">
      <alignment horizontal="center"/>
      <protection locked="0"/>
    </xf>
    <xf numFmtId="167" fontId="0" fillId="0" borderId="17" xfId="2" applyFont="1" applyFill="1" applyBorder="1" applyAlignment="1" applyProtection="1">
      <alignment horizontal="center"/>
    </xf>
    <xf numFmtId="165" fontId="0" fillId="0" borderId="17" xfId="3" applyFont="1" applyFill="1" applyBorder="1" applyAlignment="1" applyProtection="1">
      <alignment horizontal="center"/>
      <protection locked="0"/>
    </xf>
    <xf numFmtId="165" fontId="0" fillId="0" borderId="12" xfId="3" applyFont="1" applyFill="1" applyBorder="1" applyAlignment="1" applyProtection="1">
      <alignment horizontal="center"/>
      <protection locked="0"/>
    </xf>
    <xf numFmtId="166" fontId="0" fillId="0" borderId="17" xfId="3" applyNumberFormat="1" applyFont="1" applyFill="1" applyBorder="1" applyAlignment="1" applyProtection="1">
      <alignment horizontal="left" indent="3"/>
      <protection locked="0"/>
    </xf>
    <xf numFmtId="166" fontId="0" fillId="0" borderId="12" xfId="3" applyNumberFormat="1" applyFont="1" applyFill="1" applyBorder="1" applyAlignment="1" applyProtection="1">
      <alignment horizontal="left" indent="3"/>
      <protection locked="0"/>
    </xf>
    <xf numFmtId="170" fontId="0" fillId="0" borderId="17" xfId="1" applyFont="1" applyFill="1" applyBorder="1" applyAlignment="1" applyProtection="1">
      <alignment horizontal="center"/>
      <protection locked="0"/>
    </xf>
    <xf numFmtId="170" fontId="0" fillId="0" borderId="19" xfId="1" applyFont="1" applyFill="1" applyBorder="1" applyAlignment="1" applyProtection="1">
      <alignment horizontal="center"/>
      <protection locked="0"/>
    </xf>
    <xf numFmtId="167" fontId="0" fillId="0" borderId="0" xfId="0" applyNumberFormat="1" applyFill="1"/>
    <xf numFmtId="167" fontId="0" fillId="0" borderId="19" xfId="2" applyFont="1" applyFill="1" applyBorder="1" applyAlignment="1" applyProtection="1">
      <alignment horizontal="center"/>
    </xf>
    <xf numFmtId="167" fontId="13" fillId="0" borderId="17" xfId="2" applyFont="1" applyFill="1" applyBorder="1" applyAlignment="1" applyProtection="1">
      <alignment horizontal="center"/>
      <protection locked="0"/>
    </xf>
    <xf numFmtId="167" fontId="13" fillId="0" borderId="19" xfId="2" applyFont="1" applyFill="1" applyBorder="1" applyAlignment="1" applyProtection="1">
      <alignment horizontal="center"/>
    </xf>
    <xf numFmtId="0" fontId="13" fillId="0" borderId="17" xfId="2" applyNumberFormat="1" applyFont="1" applyFill="1" applyBorder="1" applyAlignment="1" applyProtection="1">
      <alignment horizontal="center"/>
      <protection locked="0"/>
    </xf>
    <xf numFmtId="0" fontId="13" fillId="0" borderId="19" xfId="2" applyNumberFormat="1" applyFont="1" applyFill="1" applyBorder="1" applyAlignment="1" applyProtection="1">
      <alignment horizontal="center"/>
      <protection locked="0"/>
    </xf>
    <xf numFmtId="167" fontId="13" fillId="0" borderId="17" xfId="2" applyFont="1" applyFill="1" applyBorder="1" applyAlignment="1" applyProtection="1">
      <alignment horizontal="center"/>
    </xf>
    <xf numFmtId="167" fontId="13" fillId="16" borderId="17" xfId="2" applyFont="1" applyFill="1" applyBorder="1" applyAlignment="1" applyProtection="1">
      <alignment horizontal="center"/>
      <protection locked="0"/>
    </xf>
    <xf numFmtId="165" fontId="0" fillId="0" borderId="17" xfId="3" applyFont="1" applyFill="1" applyBorder="1" applyAlignment="1" applyProtection="1">
      <protection locked="0"/>
    </xf>
    <xf numFmtId="165" fontId="0" fillId="0" borderId="19" xfId="3" applyFont="1" applyFill="1" applyBorder="1" applyAlignment="1" applyProtection="1"/>
    <xf numFmtId="165" fontId="0" fillId="0" borderId="17" xfId="3" applyFont="1" applyFill="1" applyBorder="1" applyAlignment="1" applyProtection="1"/>
    <xf numFmtId="167" fontId="0" fillId="0" borderId="19" xfId="2" applyFont="1" applyFill="1" applyBorder="1" applyAlignment="1" applyProtection="1"/>
    <xf numFmtId="167" fontId="0" fillId="0" borderId="27" xfId="2" applyFont="1" applyFill="1" applyBorder="1" applyAlignment="1" applyProtection="1">
      <alignment horizontal="center"/>
    </xf>
    <xf numFmtId="165" fontId="0" fillId="0" borderId="30" xfId="3" applyFont="1" applyFill="1" applyBorder="1" applyAlignment="1" applyProtection="1">
      <protection locked="0"/>
    </xf>
    <xf numFmtId="165" fontId="0" fillId="0" borderId="31" xfId="3" applyFont="1" applyFill="1" applyBorder="1" applyAlignment="1" applyProtection="1"/>
    <xf numFmtId="0" fontId="17" fillId="0" borderId="0" xfId="0" applyFont="1" applyFill="1"/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0" xfId="0" applyFill="1" applyBorder="1"/>
    <xf numFmtId="167" fontId="0" fillId="0" borderId="20" xfId="0" applyNumberFormat="1" applyFill="1" applyBorder="1"/>
    <xf numFmtId="170" fontId="0" fillId="0" borderId="20" xfId="0" applyNumberFormat="1" applyFill="1" applyBorder="1"/>
    <xf numFmtId="171" fontId="0" fillId="0" borderId="20" xfId="0" applyNumberFormat="1" applyFill="1" applyBorder="1"/>
    <xf numFmtId="167" fontId="20" fillId="0" borderId="20" xfId="0" applyNumberFormat="1" applyFont="1" applyFill="1" applyBorder="1"/>
    <xf numFmtId="0" fontId="0" fillId="0" borderId="20" xfId="0" applyFont="1" applyFill="1" applyBorder="1" applyAlignment="1"/>
    <xf numFmtId="2" fontId="0" fillId="0" borderId="20" xfId="0" applyNumberFormat="1" applyFill="1" applyBorder="1"/>
    <xf numFmtId="2" fontId="0" fillId="0" borderId="20" xfId="0" applyNumberFormat="1" applyFont="1" applyFill="1" applyBorder="1"/>
    <xf numFmtId="172" fontId="0" fillId="0" borderId="0" xfId="0" applyNumberFormat="1" applyFill="1"/>
    <xf numFmtId="2" fontId="13" fillId="0" borderId="0" xfId="0" applyNumberFormat="1" applyFont="1" applyFill="1"/>
    <xf numFmtId="2" fontId="0" fillId="0" borderId="0" xfId="0" applyNumberFormat="1" applyFill="1"/>
    <xf numFmtId="0" fontId="13" fillId="0" borderId="20" xfId="0" applyFont="1" applyFill="1" applyBorder="1"/>
    <xf numFmtId="0" fontId="13" fillId="0" borderId="20" xfId="0" applyFont="1" applyFill="1" applyBorder="1" applyAlignment="1">
      <alignment horizontal="center"/>
    </xf>
    <xf numFmtId="2" fontId="13" fillId="13" borderId="20" xfId="0" applyNumberFormat="1" applyFont="1" applyFill="1" applyBorder="1"/>
    <xf numFmtId="0" fontId="0" fillId="0" borderId="20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36" xfId="0" applyFont="1" applyBorder="1"/>
    <xf numFmtId="0" fontId="0" fillId="0" borderId="37" xfId="0" applyFont="1" applyBorder="1"/>
    <xf numFmtId="166" fontId="0" fillId="0" borderId="0" xfId="0" applyNumberFormat="1" applyBorder="1"/>
    <xf numFmtId="0" fontId="0" fillId="0" borderId="0" xfId="0" applyFont="1" applyBorder="1"/>
    <xf numFmtId="165" fontId="0" fillId="0" borderId="0" xfId="0" applyNumberFormat="1" applyBorder="1"/>
    <xf numFmtId="0" fontId="0" fillId="0" borderId="39" xfId="0" applyBorder="1"/>
    <xf numFmtId="0" fontId="0" fillId="0" borderId="40" xfId="0" applyFont="1" applyBorder="1"/>
    <xf numFmtId="165" fontId="0" fillId="0" borderId="38" xfId="0" applyNumberFormat="1" applyBorder="1"/>
    <xf numFmtId="0" fontId="0" fillId="0" borderId="38" xfId="0" applyBorder="1"/>
    <xf numFmtId="0" fontId="0" fillId="0" borderId="41" xfId="0" applyBorder="1"/>
    <xf numFmtId="0" fontId="0" fillId="8" borderId="20" xfId="0" applyFill="1" applyBorder="1"/>
    <xf numFmtId="0" fontId="0" fillId="0" borderId="0" xfId="0" applyFont="1" applyFill="1" applyBorder="1"/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17" borderId="0" xfId="0" applyFont="1" applyFill="1"/>
    <xf numFmtId="173" fontId="0" fillId="17" borderId="0" xfId="0" applyNumberFormat="1" applyFill="1"/>
    <xf numFmtId="2" fontId="0" fillId="0" borderId="0" xfId="0" applyNumberFormat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Fill="1" applyBorder="1"/>
    <xf numFmtId="0" fontId="0" fillId="0" borderId="39" xfId="0" applyFill="1" applyBorder="1"/>
    <xf numFmtId="2" fontId="0" fillId="0" borderId="39" xfId="0" applyNumberFormat="1" applyFill="1" applyBorder="1"/>
    <xf numFmtId="2" fontId="0" fillId="0" borderId="38" xfId="0" applyNumberFormat="1" applyBorder="1"/>
    <xf numFmtId="2" fontId="0" fillId="0" borderId="41" xfId="0" applyNumberFormat="1" applyFill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11" borderId="0" xfId="0" applyFont="1" applyFill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11" borderId="0" xfId="0" applyNumberFormat="1" applyFill="1"/>
    <xf numFmtId="166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/>
    </xf>
    <xf numFmtId="174" fontId="0" fillId="0" borderId="0" xfId="0" applyNumberFormat="1" applyFont="1" applyFill="1"/>
    <xf numFmtId="2" fontId="0" fillId="0" borderId="0" xfId="0" applyNumberFormat="1" applyAlignment="1">
      <alignment horizontal="left" indent="4"/>
    </xf>
    <xf numFmtId="173" fontId="0" fillId="0" borderId="0" xfId="0" applyNumberFormat="1"/>
    <xf numFmtId="0" fontId="0" fillId="8" borderId="0" xfId="0" applyFill="1"/>
    <xf numFmtId="0" fontId="13" fillId="0" borderId="42" xfId="0" applyFont="1" applyFill="1" applyBorder="1"/>
    <xf numFmtId="167" fontId="0" fillId="0" borderId="15" xfId="2" applyFont="1" applyFill="1" applyBorder="1" applyAlignment="1" applyProtection="1">
      <alignment horizontal="center"/>
    </xf>
    <xf numFmtId="167" fontId="0" fillId="0" borderId="18" xfId="2" applyFont="1" applyFill="1" applyBorder="1" applyAlignment="1" applyProtection="1">
      <alignment horizontal="center"/>
    </xf>
    <xf numFmtId="0" fontId="0" fillId="0" borderId="42" xfId="0" applyFill="1" applyBorder="1"/>
    <xf numFmtId="167" fontId="0" fillId="9" borderId="17" xfId="2" applyFont="1" applyFill="1" applyBorder="1" applyAlignment="1" applyProtection="1">
      <alignment horizontal="center"/>
      <protection locked="0"/>
    </xf>
    <xf numFmtId="167" fontId="32" fillId="0" borderId="26" xfId="2" applyFill="1" applyBorder="1" applyAlignment="1" applyProtection="1">
      <alignment horizontal="center"/>
      <protection locked="0"/>
    </xf>
    <xf numFmtId="0" fontId="13" fillId="0" borderId="43" xfId="0" applyFont="1" applyFill="1" applyBorder="1"/>
    <xf numFmtId="167" fontId="32" fillId="0" borderId="13" xfId="2" applyFill="1" applyBorder="1" applyAlignment="1" applyProtection="1">
      <alignment horizontal="center"/>
    </xf>
    <xf numFmtId="0" fontId="0" fillId="15" borderId="0" xfId="0" applyFill="1"/>
    <xf numFmtId="0" fontId="13" fillId="15" borderId="0" xfId="0" applyFont="1" applyFill="1"/>
    <xf numFmtId="0" fontId="0" fillId="15" borderId="0" xfId="0" applyFont="1" applyFill="1"/>
    <xf numFmtId="165" fontId="0" fillId="15" borderId="0" xfId="0" applyNumberFormat="1" applyFill="1"/>
    <xf numFmtId="0" fontId="13" fillId="15" borderId="0" xfId="0" applyFont="1" applyFill="1" applyBorder="1"/>
    <xf numFmtId="0" fontId="13" fillId="15" borderId="34" xfId="0" applyFont="1" applyFill="1" applyBorder="1" applyAlignment="1">
      <alignment wrapText="1"/>
    </xf>
    <xf numFmtId="0" fontId="13" fillId="15" borderId="44" xfId="0" applyFont="1" applyFill="1" applyBorder="1" applyAlignment="1">
      <alignment wrapText="1"/>
    </xf>
    <xf numFmtId="0" fontId="13" fillId="15" borderId="35" xfId="0" applyFont="1" applyFill="1" applyBorder="1" applyAlignment="1">
      <alignment wrapText="1"/>
    </xf>
    <xf numFmtId="0" fontId="13" fillId="15" borderId="36" xfId="0" applyFont="1" applyFill="1" applyBorder="1" applyAlignment="1">
      <alignment wrapText="1"/>
    </xf>
    <xf numFmtId="0" fontId="0" fillId="15" borderId="34" xfId="0" applyFont="1" applyFill="1" applyBorder="1" applyAlignment="1">
      <alignment horizontal="left" vertical="center"/>
    </xf>
    <xf numFmtId="0" fontId="0" fillId="15" borderId="35" xfId="0" applyFill="1" applyBorder="1" applyAlignment="1">
      <alignment horizontal="center" vertical="center"/>
    </xf>
    <xf numFmtId="2" fontId="0" fillId="15" borderId="35" xfId="0" applyNumberFormat="1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0" fillId="15" borderId="0" xfId="0" applyFill="1" applyBorder="1" applyAlignment="1"/>
    <xf numFmtId="0" fontId="0" fillId="15" borderId="37" xfId="0" applyFont="1" applyFill="1" applyBorder="1" applyAlignment="1">
      <alignment horizontal="left" vertical="center"/>
    </xf>
    <xf numFmtId="0" fontId="0" fillId="15" borderId="0" xfId="0" applyFill="1" applyBorder="1" applyAlignment="1">
      <alignment horizontal="center" vertical="center"/>
    </xf>
    <xf numFmtId="2" fontId="0" fillId="15" borderId="0" xfId="0" applyNumberFormat="1" applyFill="1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22" fillId="15" borderId="39" xfId="0" applyFont="1" applyFill="1" applyBorder="1" applyAlignment="1">
      <alignment horizontal="center" vertical="center"/>
    </xf>
    <xf numFmtId="0" fontId="0" fillId="15" borderId="40" xfId="0" applyFont="1" applyFill="1" applyBorder="1" applyAlignment="1">
      <alignment horizontal="left" vertical="center"/>
    </xf>
    <xf numFmtId="0" fontId="0" fillId="15" borderId="38" xfId="0" applyFill="1" applyBorder="1" applyAlignment="1">
      <alignment horizontal="center" vertical="center"/>
    </xf>
    <xf numFmtId="2" fontId="0" fillId="15" borderId="38" xfId="0" applyNumberFormat="1" applyFill="1" applyBorder="1" applyAlignment="1">
      <alignment horizontal="center" vertical="center"/>
    </xf>
    <xf numFmtId="0" fontId="0" fillId="15" borderId="41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2" fontId="0" fillId="4" borderId="46" xfId="0" applyNumberForma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15" borderId="49" xfId="0" applyFont="1" applyFill="1" applyBorder="1" applyAlignment="1">
      <alignment horizontal="center" vertical="center"/>
    </xf>
    <xf numFmtId="0" fontId="0" fillId="15" borderId="50" xfId="0" applyFont="1" applyFill="1" applyBorder="1" applyAlignment="1">
      <alignment horizontal="center" vertical="center"/>
    </xf>
    <xf numFmtId="0" fontId="0" fillId="15" borderId="51" xfId="0" applyFont="1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53" xfId="0" applyFill="1" applyBorder="1" applyAlignment="1">
      <alignment horizontal="center" vertical="center"/>
    </xf>
    <xf numFmtId="0" fontId="0" fillId="15" borderId="54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0" fillId="15" borderId="56" xfId="0" applyFont="1" applyFill="1" applyBorder="1" applyAlignment="1">
      <alignment horizontal="center" vertical="center"/>
    </xf>
    <xf numFmtId="0" fontId="0" fillId="15" borderId="57" xfId="0" applyFill="1" applyBorder="1" applyAlignment="1">
      <alignment horizontal="center" vertical="center"/>
    </xf>
    <xf numFmtId="0" fontId="0" fillId="15" borderId="58" xfId="0" applyFill="1" applyBorder="1" applyAlignment="1">
      <alignment horizontal="center" vertical="center"/>
    </xf>
    <xf numFmtId="0" fontId="0" fillId="15" borderId="45" xfId="0" applyFont="1" applyFill="1" applyBorder="1" applyAlignment="1">
      <alignment horizontal="center" vertical="center"/>
    </xf>
    <xf numFmtId="0" fontId="0" fillId="15" borderId="60" xfId="0" applyFont="1" applyFill="1" applyBorder="1" applyAlignment="1">
      <alignment horizontal="center" vertical="center"/>
    </xf>
    <xf numFmtId="0" fontId="0" fillId="15" borderId="61" xfId="0" applyFill="1" applyBorder="1" applyAlignment="1">
      <alignment horizontal="center" vertical="center"/>
    </xf>
    <xf numFmtId="0" fontId="0" fillId="15" borderId="62" xfId="0" applyFont="1" applyFill="1" applyBorder="1"/>
    <xf numFmtId="0" fontId="0" fillId="15" borderId="63" xfId="0" applyFont="1" applyFill="1" applyBorder="1" applyAlignment="1">
      <alignment horizontal="center" vertical="center"/>
    </xf>
    <xf numFmtId="0" fontId="0" fillId="15" borderId="55" xfId="0" applyFont="1" applyFill="1" applyBorder="1"/>
    <xf numFmtId="0" fontId="0" fillId="15" borderId="64" xfId="0" applyFont="1" applyFill="1" applyBorder="1" applyAlignment="1">
      <alignment horizontal="center" vertical="center"/>
    </xf>
    <xf numFmtId="0" fontId="0" fillId="15" borderId="58" xfId="0" applyFont="1" applyFill="1" applyBorder="1"/>
    <xf numFmtId="0" fontId="0" fillId="15" borderId="44" xfId="0" applyFont="1" applyFill="1" applyBorder="1"/>
    <xf numFmtId="0" fontId="0" fillId="15" borderId="35" xfId="0" applyFont="1" applyFill="1" applyBorder="1" applyAlignment="1">
      <alignment horizontal="center"/>
    </xf>
    <xf numFmtId="0" fontId="0" fillId="15" borderId="36" xfId="0" applyFont="1" applyFill="1" applyBorder="1" applyAlignment="1">
      <alignment horizontal="center"/>
    </xf>
    <xf numFmtId="0" fontId="0" fillId="15" borderId="37" xfId="0" applyFont="1" applyFill="1" applyBorder="1"/>
    <xf numFmtId="169" fontId="0" fillId="15" borderId="61" xfId="0" applyNumberFormat="1" applyFill="1" applyBorder="1" applyAlignment="1">
      <alignment horizontal="center"/>
    </xf>
    <xf numFmtId="169" fontId="0" fillId="15" borderId="65" xfId="0" applyNumberFormat="1" applyFill="1" applyBorder="1" applyAlignment="1">
      <alignment horizontal="center"/>
    </xf>
    <xf numFmtId="169" fontId="0" fillId="15" borderId="62" xfId="0" applyNumberFormat="1" applyFill="1" applyBorder="1" applyAlignment="1">
      <alignment horizontal="center"/>
    </xf>
    <xf numFmtId="169" fontId="0" fillId="15" borderId="54" xfId="0" applyNumberFormat="1" applyFill="1" applyBorder="1" applyAlignment="1">
      <alignment horizontal="center"/>
    </xf>
    <xf numFmtId="169" fontId="0" fillId="15" borderId="20" xfId="0" applyNumberFormat="1" applyFill="1" applyBorder="1" applyAlignment="1">
      <alignment horizontal="center"/>
    </xf>
    <xf numFmtId="169" fontId="0" fillId="15" borderId="55" xfId="0" applyNumberFormat="1" applyFill="1" applyBorder="1" applyAlignment="1">
      <alignment horizontal="center"/>
    </xf>
    <xf numFmtId="0" fontId="0" fillId="15" borderId="40" xfId="0" applyFont="1" applyFill="1" applyBorder="1"/>
    <xf numFmtId="169" fontId="0" fillId="15" borderId="56" xfId="0" applyNumberFormat="1" applyFill="1" applyBorder="1" applyAlignment="1">
      <alignment horizontal="center"/>
    </xf>
    <xf numFmtId="169" fontId="0" fillId="15" borderId="57" xfId="0" applyNumberFormat="1" applyFill="1" applyBorder="1" applyAlignment="1">
      <alignment horizontal="center"/>
    </xf>
    <xf numFmtId="0" fontId="13" fillId="0" borderId="12" xfId="0" applyFont="1" applyFill="1" applyBorder="1" applyAlignment="1">
      <alignment horizontal="center" wrapText="1"/>
    </xf>
    <xf numFmtId="0" fontId="13" fillId="0" borderId="66" xfId="0" applyFont="1" applyFill="1" applyBorder="1" applyAlignment="1">
      <alignment horizontal="center"/>
    </xf>
    <xf numFmtId="167" fontId="0" fillId="0" borderId="67" xfId="2" applyFont="1" applyFill="1" applyBorder="1" applyAlignment="1" applyProtection="1">
      <alignment horizontal="center"/>
    </xf>
    <xf numFmtId="0" fontId="0" fillId="0" borderId="42" xfId="0" applyFont="1" applyFill="1" applyBorder="1"/>
    <xf numFmtId="167" fontId="0" fillId="0" borderId="68" xfId="2" applyFont="1" applyFill="1" applyBorder="1" applyAlignment="1" applyProtection="1">
      <alignment horizontal="center"/>
      <protection locked="0"/>
    </xf>
    <xf numFmtId="167" fontId="0" fillId="0" borderId="68" xfId="2" applyFont="1" applyFill="1" applyBorder="1" applyAlignment="1" applyProtection="1">
      <alignment horizontal="center"/>
    </xf>
    <xf numFmtId="167" fontId="0" fillId="0" borderId="13" xfId="2" applyFont="1" applyFill="1" applyBorder="1" applyAlignment="1" applyProtection="1">
      <alignment horizontal="center"/>
      <protection locked="0"/>
    </xf>
    <xf numFmtId="0" fontId="17" fillId="0" borderId="22" xfId="0" applyFont="1" applyFill="1" applyBorder="1" applyAlignment="1">
      <alignment horizontal="left"/>
    </xf>
    <xf numFmtId="0" fontId="17" fillId="0" borderId="69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center"/>
    </xf>
    <xf numFmtId="0" fontId="17" fillId="0" borderId="7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71" xfId="0" applyFont="1" applyFill="1" applyBorder="1"/>
    <xf numFmtId="167" fontId="0" fillId="0" borderId="72" xfId="2" applyFont="1" applyFill="1" applyBorder="1" applyAlignment="1" applyProtection="1">
      <alignment horizontal="center"/>
    </xf>
    <xf numFmtId="0" fontId="0" fillId="0" borderId="73" xfId="0" applyFont="1" applyFill="1" applyBorder="1"/>
    <xf numFmtId="167" fontId="0" fillId="0" borderId="74" xfId="2" applyFont="1" applyFill="1" applyBorder="1" applyAlignment="1" applyProtection="1">
      <alignment horizontal="center"/>
      <protection locked="0"/>
    </xf>
    <xf numFmtId="0" fontId="0" fillId="16" borderId="73" xfId="0" applyFont="1" applyFill="1" applyBorder="1"/>
    <xf numFmtId="167" fontId="0" fillId="16" borderId="74" xfId="2" applyFont="1" applyFill="1" applyBorder="1" applyAlignment="1" applyProtection="1">
      <alignment horizontal="center"/>
      <protection locked="0"/>
    </xf>
    <xf numFmtId="167" fontId="0" fillId="16" borderId="17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/>
    <xf numFmtId="167" fontId="0" fillId="0" borderId="74" xfId="2" applyFont="1" applyFill="1" applyBorder="1" applyAlignment="1" applyProtection="1">
      <alignment horizontal="center"/>
    </xf>
    <xf numFmtId="0" fontId="13" fillId="0" borderId="73" xfId="0" applyFont="1" applyFill="1" applyBorder="1" applyAlignment="1">
      <alignment horizontal="left"/>
    </xf>
    <xf numFmtId="167" fontId="0" fillId="0" borderId="75" xfId="2" applyFont="1" applyFill="1" applyBorder="1" applyAlignment="1" applyProtection="1">
      <alignment horizontal="center"/>
      <protection locked="0"/>
    </xf>
    <xf numFmtId="0" fontId="13" fillId="0" borderId="76" xfId="0" applyFont="1" applyFill="1" applyBorder="1"/>
    <xf numFmtId="167" fontId="0" fillId="0" borderId="77" xfId="2" applyFont="1" applyFill="1" applyBorder="1" applyAlignment="1" applyProtection="1">
      <alignment horizontal="center"/>
      <protection locked="0"/>
    </xf>
    <xf numFmtId="167" fontId="0" fillId="0" borderId="20" xfId="2" applyFont="1" applyFill="1" applyBorder="1" applyAlignment="1" applyProtection="1">
      <alignment horizontal="center"/>
      <protection locked="0"/>
    </xf>
    <xf numFmtId="0" fontId="0" fillId="0" borderId="78" xfId="0" applyFont="1" applyFill="1" applyBorder="1"/>
    <xf numFmtId="167" fontId="0" fillId="0" borderId="0" xfId="0" applyNumberFormat="1"/>
    <xf numFmtId="175" fontId="0" fillId="0" borderId="0" xfId="0" applyNumberFormat="1"/>
    <xf numFmtId="0" fontId="0" fillId="15" borderId="20" xfId="0" applyFont="1" applyFill="1" applyBorder="1" applyAlignment="1">
      <alignment horizontal="center"/>
    </xf>
    <xf numFmtId="0" fontId="0" fillId="15" borderId="20" xfId="0" applyFont="1" applyFill="1" applyBorder="1"/>
    <xf numFmtId="0" fontId="0" fillId="15" borderId="0" xfId="0" applyFill="1" applyBorder="1" applyAlignment="1">
      <alignment horizontal="center"/>
    </xf>
    <xf numFmtId="167" fontId="32" fillId="0" borderId="0" xfId="2" applyFill="1" applyBorder="1" applyAlignment="1" applyProtection="1">
      <alignment horizontal="center"/>
      <protection locked="0"/>
    </xf>
    <xf numFmtId="0" fontId="13" fillId="0" borderId="66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/>
    </xf>
    <xf numFmtId="167" fontId="0" fillId="0" borderId="72" xfId="2" applyFont="1" applyFill="1" applyBorder="1" applyAlignment="1" applyProtection="1">
      <alignment horizontal="center"/>
      <protection locked="0"/>
    </xf>
    <xf numFmtId="167" fontId="0" fillId="0" borderId="67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/>
    </xf>
    <xf numFmtId="176" fontId="0" fillId="0" borderId="66" xfId="2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167" fontId="0" fillId="0" borderId="2" xfId="2" applyFont="1" applyFill="1" applyBorder="1" applyAlignment="1" applyProtection="1">
      <protection locked="0"/>
    </xf>
    <xf numFmtId="176" fontId="0" fillId="0" borderId="0" xfId="0" applyNumberFormat="1" applyFill="1"/>
    <xf numFmtId="0" fontId="0" fillId="0" borderId="2" xfId="0" applyFill="1" applyBorder="1" applyProtection="1">
      <protection locked="0"/>
    </xf>
    <xf numFmtId="165" fontId="0" fillId="0" borderId="2" xfId="3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1" borderId="3" xfId="0" applyFont="1" applyFill="1" applyBorder="1" applyProtection="1"/>
    <xf numFmtId="0" fontId="0" fillId="0" borderId="3" xfId="0" applyBorder="1" applyAlignment="1" applyProtection="1">
      <alignment horizontal="center"/>
    </xf>
    <xf numFmtId="175" fontId="0" fillId="0" borderId="0" xfId="0" applyNumberFormat="1" applyFill="1"/>
    <xf numFmtId="0" fontId="0" fillId="0" borderId="2" xfId="0" applyBorder="1"/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25" fillId="0" borderId="0" xfId="0" applyFont="1" applyAlignment="1"/>
    <xf numFmtId="0" fontId="1" fillId="0" borderId="0" xfId="0" applyFont="1" applyAlignment="1"/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26" fillId="0" borderId="0" xfId="0" applyFont="1" applyFill="1"/>
    <xf numFmtId="0" fontId="27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6" fontId="0" fillId="0" borderId="19" xfId="3" applyNumberFormat="1" applyFont="1" applyFill="1" applyBorder="1" applyAlignment="1" applyProtection="1">
      <alignment horizontal="center"/>
      <protection locked="0"/>
    </xf>
    <xf numFmtId="167" fontId="32" fillId="0" borderId="0" xfId="2" applyFill="1" applyBorder="1" applyAlignment="1" applyProtection="1"/>
    <xf numFmtId="167" fontId="13" fillId="0" borderId="12" xfId="2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7" fillId="0" borderId="79" xfId="0" applyFont="1" applyFill="1" applyBorder="1" applyAlignment="1">
      <alignment horizontal="left"/>
    </xf>
    <xf numFmtId="0" fontId="17" fillId="0" borderId="80" xfId="0" applyFont="1" applyFill="1" applyBorder="1" applyAlignment="1">
      <alignment horizontal="left"/>
    </xf>
    <xf numFmtId="0" fontId="17" fillId="0" borderId="81" xfId="0" applyFont="1" applyFill="1" applyBorder="1" applyAlignment="1">
      <alignment horizontal="left"/>
    </xf>
    <xf numFmtId="0" fontId="13" fillId="0" borderId="78" xfId="0" applyFont="1" applyFill="1" applyBorder="1" applyAlignment="1">
      <alignment horizontal="center"/>
    </xf>
    <xf numFmtId="0" fontId="13" fillId="0" borderId="82" xfId="0" applyFont="1" applyFill="1" applyBorder="1" applyAlignment="1">
      <alignment horizontal="center"/>
    </xf>
    <xf numFmtId="0" fontId="13" fillId="0" borderId="83" xfId="0" applyFont="1" applyFill="1" applyBorder="1" applyAlignment="1">
      <alignment horizontal="center"/>
    </xf>
    <xf numFmtId="0" fontId="13" fillId="0" borderId="84" xfId="0" applyFont="1" applyFill="1" applyBorder="1" applyAlignment="1">
      <alignment horizontal="center"/>
    </xf>
    <xf numFmtId="0" fontId="13" fillId="0" borderId="85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/>
    </xf>
    <xf numFmtId="178" fontId="0" fillId="0" borderId="8" xfId="0" applyNumberFormat="1" applyFont="1" applyBorder="1" applyProtection="1">
      <protection locked="0"/>
    </xf>
    <xf numFmtId="167" fontId="0" fillId="0" borderId="9" xfId="2" applyFont="1" applyFill="1" applyBorder="1" applyAlignment="1" applyProtection="1">
      <protection locked="0"/>
    </xf>
    <xf numFmtId="165" fontId="0" fillId="0" borderId="9" xfId="3" applyFont="1" applyFill="1" applyBorder="1" applyAlignment="1" applyProtection="1">
      <protection locked="0"/>
    </xf>
    <xf numFmtId="167" fontId="0" fillId="0" borderId="10" xfId="2" applyFont="1" applyFill="1" applyBorder="1" applyAlignment="1" applyProtection="1">
      <alignment horizontal="center"/>
      <protection locked="0"/>
    </xf>
    <xf numFmtId="178" fontId="0" fillId="0" borderId="16" xfId="0" applyNumberFormat="1" applyFont="1" applyBorder="1" applyProtection="1">
      <protection locked="0"/>
    </xf>
    <xf numFmtId="178" fontId="0" fillId="0" borderId="16" xfId="0" applyNumberFormat="1" applyFont="1" applyFill="1" applyBorder="1" applyProtection="1">
      <protection locked="0"/>
    </xf>
    <xf numFmtId="167" fontId="13" fillId="0" borderId="0" xfId="2" applyFont="1" applyFill="1" applyBorder="1" applyAlignment="1" applyProtection="1"/>
    <xf numFmtId="178" fontId="0" fillId="0" borderId="87" xfId="0" applyNumberFormat="1" applyFont="1" applyFill="1" applyBorder="1" applyProtection="1">
      <protection locked="0"/>
    </xf>
    <xf numFmtId="167" fontId="0" fillId="0" borderId="28" xfId="2" applyFont="1" applyFill="1" applyBorder="1" applyAlignment="1" applyProtection="1">
      <alignment horizontal="center"/>
      <protection locked="0"/>
    </xf>
    <xf numFmtId="167" fontId="0" fillId="0" borderId="28" xfId="2" applyFont="1" applyFill="1" applyBorder="1" applyAlignment="1" applyProtection="1">
      <protection locked="0"/>
    </xf>
    <xf numFmtId="165" fontId="0" fillId="0" borderId="28" xfId="3" applyFont="1" applyFill="1" applyBorder="1" applyAlignment="1" applyProtection="1">
      <protection locked="0"/>
    </xf>
    <xf numFmtId="165" fontId="0" fillId="0" borderId="0" xfId="0" applyNumberFormat="1" applyFill="1"/>
    <xf numFmtId="0" fontId="13" fillId="0" borderId="0" xfId="0" applyFont="1" applyFill="1" applyBorder="1" applyAlignment="1">
      <alignment horizontal="right"/>
    </xf>
    <xf numFmtId="167" fontId="0" fillId="0" borderId="82" xfId="2" applyFont="1" applyFill="1" applyBorder="1" applyAlignment="1" applyProtection="1">
      <alignment horizontal="center"/>
      <protection locked="0"/>
    </xf>
    <xf numFmtId="167" fontId="13" fillId="0" borderId="89" xfId="2" applyFont="1" applyFill="1" applyBorder="1" applyAlignment="1" applyProtection="1">
      <alignment horizontal="center"/>
      <protection locked="0"/>
    </xf>
    <xf numFmtId="167" fontId="13" fillId="0" borderId="0" xfId="2" applyFont="1" applyFill="1" applyBorder="1" applyAlignment="1" applyProtection="1">
      <alignment horizontal="center"/>
    </xf>
    <xf numFmtId="165" fontId="0" fillId="0" borderId="0" xfId="3" applyFont="1" applyFill="1" applyBorder="1" applyAlignment="1" applyProtection="1"/>
    <xf numFmtId="179" fontId="0" fillId="0" borderId="8" xfId="0" applyNumberFormat="1" applyFont="1" applyBorder="1" applyAlignment="1" applyProtection="1">
      <alignment horizontal="center"/>
      <protection locked="0"/>
    </xf>
    <xf numFmtId="178" fontId="0" fillId="0" borderId="16" xfId="0" applyNumberFormat="1" applyFont="1" applyBorder="1" applyAlignment="1" applyProtection="1">
      <alignment horizontal="center"/>
      <protection locked="0"/>
    </xf>
    <xf numFmtId="165" fontId="13" fillId="0" borderId="12" xfId="3" applyFont="1" applyFill="1" applyBorder="1" applyAlignment="1" applyProtection="1"/>
    <xf numFmtId="167" fontId="13" fillId="0" borderId="12" xfId="2" applyFont="1" applyFill="1" applyBorder="1" applyAlignment="1" applyProtection="1"/>
    <xf numFmtId="167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7" fillId="0" borderId="2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0" fontId="17" fillId="0" borderId="24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66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43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90" xfId="0" applyFill="1" applyBorder="1" applyProtection="1"/>
    <xf numFmtId="167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166" fontId="0" fillId="0" borderId="12" xfId="2" applyNumberFormat="1" applyFont="1" applyFill="1" applyBorder="1" applyAlignment="1" applyProtection="1">
      <protection locked="0"/>
    </xf>
    <xf numFmtId="0" fontId="17" fillId="0" borderId="0" xfId="0" applyFont="1" applyFill="1" applyProtection="1"/>
    <xf numFmtId="167" fontId="0" fillId="0" borderId="32" xfId="0" applyNumberFormat="1" applyFont="1" applyBorder="1" applyAlignment="1">
      <alignment horizontal="center"/>
    </xf>
    <xf numFmtId="170" fontId="28" fillId="15" borderId="91" xfId="0" applyNumberFormat="1" applyFont="1" applyFill="1" applyBorder="1"/>
    <xf numFmtId="0" fontId="0" fillId="0" borderId="0" xfId="0" applyFont="1"/>
    <xf numFmtId="170" fontId="0" fillId="0" borderId="32" xfId="0" applyNumberFormat="1" applyFont="1" applyBorder="1" applyAlignment="1">
      <alignment horizontal="center"/>
    </xf>
    <xf numFmtId="0" fontId="17" fillId="0" borderId="69" xfId="0" applyFont="1" applyFill="1" applyBorder="1" applyAlignment="1" applyProtection="1">
      <alignment horizontal="left"/>
    </xf>
    <xf numFmtId="0" fontId="17" fillId="0" borderId="42" xfId="0" applyFont="1" applyFill="1" applyBorder="1" applyAlignment="1" applyProtection="1">
      <alignment horizontal="center"/>
    </xf>
    <xf numFmtId="0" fontId="17" fillId="0" borderId="70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71" xfId="0" applyFont="1" applyFill="1" applyBorder="1" applyProtection="1"/>
    <xf numFmtId="0" fontId="0" fillId="0" borderId="73" xfId="0" applyFont="1" applyFill="1" applyBorder="1" applyProtection="1"/>
    <xf numFmtId="0" fontId="0" fillId="0" borderId="73" xfId="0" applyFont="1" applyFill="1" applyBorder="1" applyAlignment="1" applyProtection="1">
      <alignment horizontal="left"/>
    </xf>
    <xf numFmtId="0" fontId="13" fillId="0" borderId="73" xfId="0" applyFont="1" applyFill="1" applyBorder="1" applyProtection="1"/>
    <xf numFmtId="0" fontId="13" fillId="0" borderId="73" xfId="0" applyFont="1" applyFill="1" applyBorder="1" applyAlignment="1" applyProtection="1">
      <alignment horizontal="left"/>
    </xf>
    <xf numFmtId="167" fontId="0" fillId="16" borderId="75" xfId="2" applyFont="1" applyFill="1" applyBorder="1" applyAlignment="1" applyProtection="1">
      <alignment horizontal="center"/>
      <protection locked="0"/>
    </xf>
    <xf numFmtId="0" fontId="13" fillId="0" borderId="76" xfId="0" applyFont="1" applyFill="1" applyBorder="1" applyProtection="1"/>
    <xf numFmtId="0" fontId="0" fillId="0" borderId="0" xfId="0" applyProtection="1"/>
    <xf numFmtId="0" fontId="17" fillId="0" borderId="8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</xf>
    <xf numFmtId="0" fontId="17" fillId="0" borderId="92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68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7" fontId="32" fillId="16" borderId="17" xfId="2" applyFill="1" applyBorder="1" applyAlignment="1" applyProtection="1">
      <alignment horizontal="center"/>
      <protection locked="0"/>
    </xf>
    <xf numFmtId="167" fontId="32" fillId="0" borderId="19" xfId="2" applyFill="1" applyBorder="1" applyAlignment="1" applyProtection="1">
      <alignment horizontal="center"/>
      <protection locked="0"/>
    </xf>
    <xf numFmtId="167" fontId="32" fillId="0" borderId="17" xfId="2" applyFill="1" applyBorder="1" applyAlignment="1" applyProtection="1">
      <protection locked="0"/>
    </xf>
    <xf numFmtId="167" fontId="32" fillId="0" borderId="68" xfId="2" applyFill="1" applyBorder="1" applyAlignment="1" applyProtection="1">
      <protection locked="0"/>
    </xf>
    <xf numFmtId="167" fontId="32" fillId="0" borderId="19" xfId="2" applyFill="1" applyBorder="1" applyAlignment="1" applyProtection="1">
      <protection locked="0"/>
    </xf>
    <xf numFmtId="167" fontId="32" fillId="0" borderId="68" xfId="2" applyFill="1" applyBorder="1" applyAlignment="1" applyProtection="1">
      <alignment horizontal="center"/>
      <protection locked="0"/>
    </xf>
    <xf numFmtId="0" fontId="0" fillId="14" borderId="0" xfId="0" applyFont="1" applyFill="1" applyProtection="1"/>
    <xf numFmtId="167" fontId="32" fillId="14" borderId="17" xfId="2" applyFill="1" applyBorder="1" applyAlignment="1" applyProtection="1">
      <protection locked="0"/>
    </xf>
    <xf numFmtId="167" fontId="32" fillId="14" borderId="68" xfId="2" applyFill="1" applyBorder="1" applyAlignment="1" applyProtection="1">
      <protection locked="0"/>
    </xf>
    <xf numFmtId="167" fontId="32" fillId="14" borderId="19" xfId="2" applyFill="1" applyBorder="1" applyAlignment="1" applyProtection="1">
      <alignment horizontal="center"/>
      <protection locked="0"/>
    </xf>
    <xf numFmtId="0" fontId="0" fillId="15" borderId="0" xfId="0" applyFont="1" applyFill="1" applyProtection="1"/>
    <xf numFmtId="167" fontId="32" fillId="15" borderId="17" xfId="2" applyFill="1" applyBorder="1" applyAlignment="1" applyProtection="1">
      <alignment horizontal="center"/>
      <protection locked="0"/>
    </xf>
    <xf numFmtId="167" fontId="32" fillId="15" borderId="19" xfId="2" applyFill="1" applyBorder="1" applyAlignment="1" applyProtection="1">
      <alignment horizontal="center"/>
      <protection locked="0"/>
    </xf>
    <xf numFmtId="167" fontId="32" fillId="0" borderId="17" xfId="2" applyFill="1" applyBorder="1" applyAlignment="1" applyProtection="1">
      <alignment horizontal="center"/>
    </xf>
    <xf numFmtId="167" fontId="32" fillId="0" borderId="68" xfId="2" applyFill="1" applyBorder="1" applyAlignment="1" applyProtection="1">
      <alignment horizontal="center"/>
    </xf>
    <xf numFmtId="167" fontId="32" fillId="0" borderId="19" xfId="2" applyFill="1" applyBorder="1" applyAlignment="1" applyProtection="1">
      <alignment horizontal="center"/>
    </xf>
    <xf numFmtId="0" fontId="13" fillId="14" borderId="0" xfId="0" applyFont="1" applyFill="1" applyProtection="1"/>
    <xf numFmtId="167" fontId="32" fillId="14" borderId="17" xfId="2" applyFill="1" applyBorder="1" applyAlignment="1" applyProtection="1">
      <alignment horizontal="center"/>
      <protection locked="0"/>
    </xf>
    <xf numFmtId="167" fontId="32" fillId="0" borderId="12" xfId="2" applyFill="1" applyBorder="1" applyAlignment="1" applyProtection="1">
      <protection locked="0"/>
    </xf>
    <xf numFmtId="167" fontId="32" fillId="15" borderId="12" xfId="2" applyFill="1" applyBorder="1" applyAlignment="1" applyProtection="1">
      <protection locked="0"/>
    </xf>
    <xf numFmtId="167" fontId="32" fillId="0" borderId="29" xfId="2" applyFill="1" applyBorder="1" applyAlignment="1" applyProtection="1">
      <alignment horizontal="center"/>
      <protection locked="0"/>
    </xf>
    <xf numFmtId="0" fontId="0" fillId="0" borderId="25" xfId="0" applyFill="1" applyBorder="1" applyProtection="1"/>
    <xf numFmtId="0" fontId="13" fillId="0" borderId="26" xfId="0" applyFont="1" applyFill="1" applyBorder="1" applyAlignment="1" applyProtection="1">
      <alignment horizontal="center"/>
    </xf>
    <xf numFmtId="0" fontId="13" fillId="0" borderId="29" xfId="0" applyFont="1" applyFill="1" applyBorder="1" applyAlignment="1" applyProtection="1">
      <alignment horizontal="center"/>
    </xf>
    <xf numFmtId="0" fontId="13" fillId="9" borderId="8" xfId="0" applyFont="1" applyFill="1" applyBorder="1" applyProtection="1"/>
    <xf numFmtId="167" fontId="32" fillId="9" borderId="9" xfId="2" applyFill="1" applyBorder="1" applyAlignment="1" applyProtection="1">
      <alignment horizontal="center"/>
      <protection locked="0"/>
    </xf>
    <xf numFmtId="167" fontId="32" fillId="9" borderId="18" xfId="2" applyFill="1" applyBorder="1" applyAlignment="1" applyProtection="1">
      <alignment horizontal="center"/>
      <protection locked="0"/>
    </xf>
    <xf numFmtId="0" fontId="13" fillId="9" borderId="16" xfId="0" applyFont="1" applyFill="1" applyBorder="1" applyProtection="1"/>
    <xf numFmtId="167" fontId="32" fillId="9" borderId="17" xfId="2" applyFill="1" applyBorder="1" applyAlignment="1" applyProtection="1">
      <alignment horizontal="center"/>
      <protection locked="0"/>
    </xf>
    <xf numFmtId="167" fontId="32" fillId="9" borderId="0" xfId="2" applyFill="1" applyBorder="1" applyAlignment="1" applyProtection="1"/>
    <xf numFmtId="0" fontId="13" fillId="13" borderId="16" xfId="0" applyFont="1" applyFill="1" applyBorder="1" applyProtection="1"/>
    <xf numFmtId="0" fontId="13" fillId="18" borderId="16" xfId="0" applyFont="1" applyFill="1" applyBorder="1" applyProtection="1"/>
    <xf numFmtId="167" fontId="32" fillId="18" borderId="17" xfId="2" applyFill="1" applyBorder="1" applyAlignment="1" applyProtection="1">
      <protection locked="0"/>
    </xf>
    <xf numFmtId="167" fontId="32" fillId="18" borderId="19" xfId="2" applyFill="1" applyBorder="1" applyAlignment="1" applyProtection="1">
      <protection locked="0"/>
    </xf>
    <xf numFmtId="167" fontId="32" fillId="9" borderId="19" xfId="2" applyFill="1" applyBorder="1" applyAlignment="1" applyProtection="1">
      <alignment horizontal="center"/>
      <protection locked="0"/>
    </xf>
    <xf numFmtId="0" fontId="13" fillId="18" borderId="11" xfId="0" applyFont="1" applyFill="1" applyBorder="1" applyProtection="1"/>
    <xf numFmtId="167" fontId="32" fillId="18" borderId="12" xfId="2" applyFill="1" applyBorder="1" applyAlignment="1" applyProtection="1">
      <protection locked="0"/>
    </xf>
    <xf numFmtId="167" fontId="32" fillId="18" borderId="13" xfId="2" applyFill="1" applyBorder="1" applyAlignment="1" applyProtection="1">
      <protection locked="0"/>
    </xf>
    <xf numFmtId="0" fontId="13" fillId="0" borderId="0" xfId="0" applyFont="1" applyFill="1" applyBorder="1" applyProtection="1"/>
    <xf numFmtId="170" fontId="0" fillId="0" borderId="0" xfId="0" applyNumberFormat="1" applyFill="1" applyProtection="1"/>
    <xf numFmtId="0" fontId="5" fillId="11" borderId="3" xfId="0" applyFont="1" applyFill="1" applyBorder="1" applyAlignment="1" applyProtection="1">
      <alignment horizontal="center"/>
    </xf>
    <xf numFmtId="0" fontId="13" fillId="0" borderId="66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71" xfId="0" applyFont="1" applyFill="1" applyBorder="1" applyAlignment="1" applyProtection="1">
      <alignment horizontal="center"/>
    </xf>
    <xf numFmtId="0" fontId="13" fillId="0" borderId="73" xfId="0" applyFont="1" applyFill="1" applyBorder="1" applyAlignment="1" applyProtection="1">
      <alignment horizontal="center"/>
    </xf>
    <xf numFmtId="0" fontId="13" fillId="0" borderId="76" xfId="0" applyFont="1" applyFill="1" applyBorder="1" applyAlignment="1" applyProtection="1">
      <alignment horizontal="center"/>
    </xf>
    <xf numFmtId="180" fontId="0" fillId="0" borderId="0" xfId="0" applyNumberFormat="1" applyFill="1" applyProtection="1"/>
    <xf numFmtId="0" fontId="0" fillId="0" borderId="0" xfId="0" applyFont="1" applyFill="1" applyAlignment="1" applyProtection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169" fontId="0" fillId="0" borderId="0" xfId="0" applyNumberFormat="1" applyFill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7" fontId="1" fillId="0" borderId="0" xfId="0" applyNumberFormat="1" applyFont="1" applyFill="1" applyBorder="1"/>
    <xf numFmtId="0" fontId="2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19" fillId="0" borderId="0" xfId="4" applyNumberFormat="1" applyFont="1" applyFill="1" applyBorder="1" applyAlignment="1" applyProtection="1"/>
    <xf numFmtId="3" fontId="0" fillId="0" borderId="0" xfId="0" applyNumberFormat="1"/>
    <xf numFmtId="181" fontId="32" fillId="0" borderId="0" xfId="3" applyNumberFormat="1" applyFill="1" applyBorder="1" applyAlignment="1" applyProtection="1"/>
    <xf numFmtId="0" fontId="30" fillId="0" borderId="0" xfId="0" applyFont="1"/>
    <xf numFmtId="0" fontId="31" fillId="0" borderId="0" xfId="0" applyFont="1"/>
    <xf numFmtId="0" fontId="0" fillId="19" borderId="42" xfId="0" applyFont="1" applyFill="1" applyBorder="1"/>
    <xf numFmtId="167" fontId="0" fillId="19" borderId="17" xfId="2" applyFont="1" applyFill="1" applyBorder="1" applyAlignment="1" applyProtection="1">
      <alignment horizontal="center"/>
      <protection locked="0"/>
    </xf>
    <xf numFmtId="167" fontId="0" fillId="19" borderId="68" xfId="2" applyFont="1" applyFill="1" applyBorder="1" applyAlignment="1" applyProtection="1">
      <alignment horizontal="center"/>
      <protection locked="0"/>
    </xf>
    <xf numFmtId="167" fontId="0" fillId="19" borderId="19" xfId="2" applyFont="1" applyFill="1" applyBorder="1" applyAlignment="1" applyProtection="1">
      <alignment horizontal="center"/>
      <protection locked="0"/>
    </xf>
    <xf numFmtId="0" fontId="0" fillId="19" borderId="0" xfId="0" applyFill="1"/>
    <xf numFmtId="167" fontId="32" fillId="19" borderId="17" xfId="2" applyFill="1" applyBorder="1" applyAlignment="1" applyProtection="1">
      <protection locked="0"/>
    </xf>
    <xf numFmtId="167" fontId="32" fillId="20" borderId="17" xfId="2" applyFill="1" applyBorder="1" applyAlignment="1" applyProtection="1">
      <protection locked="0"/>
    </xf>
    <xf numFmtId="0" fontId="0" fillId="19" borderId="0" xfId="0" applyFill="1" applyProtection="1"/>
    <xf numFmtId="164" fontId="0" fillId="0" borderId="0" xfId="0" applyNumberFormat="1" applyFill="1"/>
    <xf numFmtId="164" fontId="0" fillId="0" borderId="0" xfId="0" applyNumberFormat="1" applyFill="1" applyProtection="1"/>
    <xf numFmtId="167" fontId="0" fillId="0" borderId="17" xfId="2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Fill="1" applyProtection="1"/>
    <xf numFmtId="2" fontId="0" fillId="0" borderId="0" xfId="0" applyNumberFormat="1" applyFill="1" applyProtection="1"/>
    <xf numFmtId="167" fontId="32" fillId="20" borderId="17" xfId="2" applyFill="1" applyBorder="1" applyAlignment="1" applyProtection="1">
      <alignment horizontal="center"/>
      <protection locked="0"/>
    </xf>
    <xf numFmtId="164" fontId="0" fillId="0" borderId="0" xfId="0" applyNumberFormat="1" applyProtection="1"/>
    <xf numFmtId="167" fontId="32" fillId="0" borderId="0" xfId="2" applyFill="1" applyBorder="1" applyAlignment="1" applyProtection="1">
      <alignment horizontal="center"/>
    </xf>
    <xf numFmtId="167" fontId="32" fillId="20" borderId="17" xfId="2" applyFill="1" applyBorder="1" applyAlignment="1" applyProtection="1">
      <alignment horizontal="center"/>
    </xf>
    <xf numFmtId="167" fontId="32" fillId="0" borderId="93" xfId="2" applyFill="1" applyBorder="1" applyAlignment="1" applyProtection="1"/>
    <xf numFmtId="0" fontId="0" fillId="0" borderId="93" xfId="0" applyFill="1" applyBorder="1"/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1" fillId="0" borderId="97" xfId="0" applyFont="1" applyBorder="1" applyAlignment="1">
      <alignment horizontal="center"/>
    </xf>
    <xf numFmtId="167" fontId="32" fillId="0" borderId="98" xfId="2" applyFill="1" applyBorder="1" applyAlignment="1" applyProtection="1"/>
    <xf numFmtId="0" fontId="0" fillId="0" borderId="99" xfId="0" applyFill="1" applyBorder="1"/>
    <xf numFmtId="0" fontId="0" fillId="0" borderId="100" xfId="0" applyFill="1" applyBorder="1"/>
    <xf numFmtId="167" fontId="13" fillId="0" borderId="100" xfId="2" applyFont="1" applyFill="1" applyBorder="1" applyAlignment="1" applyProtection="1"/>
    <xf numFmtId="167" fontId="13" fillId="0" borderId="101" xfId="2" applyFont="1" applyFill="1" applyBorder="1" applyAlignment="1" applyProtection="1"/>
    <xf numFmtId="167" fontId="0" fillId="0" borderId="100" xfId="0" applyNumberFormat="1" applyFill="1" applyBorder="1"/>
    <xf numFmtId="177" fontId="0" fillId="0" borderId="0" xfId="0" applyNumberFormat="1" applyFill="1"/>
    <xf numFmtId="166" fontId="0" fillId="0" borderId="17" xfId="3" applyNumberFormat="1" applyFont="1" applyFill="1" applyBorder="1" applyAlignment="1" applyProtection="1">
      <alignment horizontal="center"/>
      <protection locked="0"/>
    </xf>
    <xf numFmtId="10" fontId="0" fillId="0" borderId="17" xfId="3" applyNumberFormat="1" applyFont="1" applyFill="1" applyBorder="1" applyAlignment="1" applyProtection="1">
      <alignment horizontal="center"/>
      <protection locked="0"/>
    </xf>
    <xf numFmtId="0" fontId="0" fillId="12" borderId="2" xfId="0" applyFont="1" applyFill="1" applyBorder="1" applyAlignment="1" applyProtection="1">
      <alignment horizontal="center"/>
      <protection locked="0"/>
    </xf>
    <xf numFmtId="0" fontId="14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0" fillId="15" borderId="5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167" fontId="13" fillId="0" borderId="20" xfId="2" applyFont="1" applyFill="1" applyBorder="1" applyAlignment="1" applyProtection="1">
      <alignment horizontal="center"/>
      <protection locked="0"/>
    </xf>
    <xf numFmtId="0" fontId="13" fillId="15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20" xfId="0" applyFont="1" applyBorder="1" applyAlignment="1">
      <alignment horizontal="center"/>
    </xf>
    <xf numFmtId="0" fontId="15" fillId="11" borderId="3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15" fillId="11" borderId="3" xfId="0" applyFont="1" applyFill="1" applyBorder="1" applyAlignment="1" applyProtection="1">
      <alignment horizont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</cellXfs>
  <cellStyles count="22">
    <cellStyle name="Accent 1 1" xfId="5" xr:uid="{00000000-0005-0000-0000-000000000000}"/>
    <cellStyle name="Accent 2 1" xfId="6" xr:uid="{00000000-0005-0000-0000-000001000000}"/>
    <cellStyle name="Accent 3 1" xfId="7" xr:uid="{00000000-0005-0000-0000-000002000000}"/>
    <cellStyle name="Accent 4" xfId="8" xr:uid="{00000000-0005-0000-0000-000003000000}"/>
    <cellStyle name="Bad 1" xfId="9" xr:uid="{00000000-0005-0000-0000-000004000000}"/>
    <cellStyle name="Comma" xfId="1" builtinId="3"/>
    <cellStyle name="Currency" xfId="2" builtinId="4"/>
    <cellStyle name="Error 1" xfId="10" xr:uid="{00000000-0005-0000-0000-000005000000}"/>
    <cellStyle name="Footnote 1" xfId="11" xr:uid="{00000000-0005-0000-0000-000006000000}"/>
    <cellStyle name="Good 1" xfId="12" xr:uid="{00000000-0005-0000-0000-000007000000}"/>
    <cellStyle name="Heading 1 1" xfId="13" xr:uid="{00000000-0005-0000-0000-000008000000}"/>
    <cellStyle name="Heading 2 1" xfId="14" xr:uid="{00000000-0005-0000-0000-000009000000}"/>
    <cellStyle name="Hyperlink" xfId="4" builtinId="8"/>
    <cellStyle name="Neutral 1" xfId="15" xr:uid="{00000000-0005-0000-0000-00000D000000}"/>
    <cellStyle name="Normal" xfId="0" builtinId="0"/>
    <cellStyle name="Note 1" xfId="16" xr:uid="{00000000-0005-0000-0000-00000F000000}"/>
    <cellStyle name="Percent" xfId="3" builtinId="5"/>
    <cellStyle name="Sin título1" xfId="17" xr:uid="{00000000-0005-0000-0000-000011000000}"/>
    <cellStyle name="Sin título2" xfId="18" xr:uid="{00000000-0005-0000-0000-000012000000}"/>
    <cellStyle name="Status 1" xfId="19" xr:uid="{00000000-0005-0000-0000-000013000000}"/>
    <cellStyle name="Text 1" xfId="20" xr:uid="{00000000-0005-0000-0000-000014000000}"/>
    <cellStyle name="Warning 1" xfId="21" xr:uid="{00000000-0005-0000-0000-000015000000}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3C3C3C"/>
      <rgbColor rgb="0062A73B"/>
      <rgbColor rgb="00003300"/>
      <rgbColor rgb="00232627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1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C-4956-B2FA-2CBEDBDDF872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'E-Costos'!$B$143:$B$144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C-4956-B2FA-2CBEDBDDF872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'E-Costos'!$C$143:$C$144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5220104.424503251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C-4956-B2FA-2CBEDBDDF872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'E-Costos'!$D$143:$D$144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9490594.2517408188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7C-4956-B2FA-2CBEDBDDF872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'E-Costos'!$E$143:$E$144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14100000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7C-4956-B2FA-2CBEDBDD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448496"/>
        <c:axId val="1"/>
      </c:lineChart>
      <c:catAx>
        <c:axId val="3074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307448496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55741127348643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5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1-47BC-9973-BA5C5628F5D9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'E-Costos'!$I$143:$I$144</c:f>
              <c:numCache>
                <c:formatCode>_(\$* #,##0.00_);_(\$* \(#,##0.00\);_(\$* \-??_);_(@_)</c:formatCode>
                <c:ptCount val="2"/>
                <c:pt idx="0" formatCode="General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1-47BC-9973-BA5C5628F5D9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'E-Costos'!$J$143:$J$144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5429253.045625452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D1-47BC-9973-BA5C5628F5D9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'E-Costos'!$K$143:$K$144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11113423.683470657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D1-47BC-9973-BA5C5628F5D9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'E-Costos'!$L$143:$L$144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22600000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D1-47BC-9973-BA5C562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449152"/>
        <c:axId val="1"/>
      </c:lineChart>
      <c:catAx>
        <c:axId val="3074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307449152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76617954070981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1</a:t>
            </a:r>
          </a:p>
        </c:rich>
      </c:tx>
      <c:layout>
        <c:manualLayout>
          <c:xMode val="edge"/>
          <c:yMode val="edge"/>
          <c:x val="0.43736263736263736"/>
          <c:y val="1.9867592498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28697633609343975"/>
          <c:w val="0.7846153846153846"/>
          <c:h val="0.60706532635150723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Estructura'!$A$49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C-4F6C-A75D-389FA52D07AF}"/>
            </c:ext>
          </c:extLst>
        </c:ser>
        <c:ser>
          <c:idx val="1"/>
          <c:order val="1"/>
          <c:tx>
            <c:strRef>
              <c:f>'F-2 Estructura'!$B$49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Estructura'!$B$50:$B$51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C-4F6C-A75D-389FA52D07AF}"/>
            </c:ext>
          </c:extLst>
        </c:ser>
        <c:ser>
          <c:idx val="2"/>
          <c:order val="2"/>
          <c:tx>
            <c:strRef>
              <c:f>'F-2 Estructura'!$C$49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Estructura'!$C$50:$C$51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5681262.1779923281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6C-4F6C-A75D-389FA52D07AF}"/>
            </c:ext>
          </c:extLst>
        </c:ser>
        <c:ser>
          <c:idx val="3"/>
          <c:order val="3"/>
          <c:tx>
            <c:strRef>
              <c:f>'F-2 Estructura'!$D$49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Estructura'!$D$50:$D$51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9951752.0052298959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6C-4F6C-A75D-389FA52D07AF}"/>
            </c:ext>
          </c:extLst>
        </c:ser>
        <c:ser>
          <c:idx val="4"/>
          <c:order val="4"/>
          <c:tx>
            <c:strRef>
              <c:f>'F-2 Estructura'!$E$49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Estructura'!$E$50:$E$51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14100000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6C-4F6C-A75D-389FA52D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443904"/>
        <c:axId val="1"/>
      </c:lineChart>
      <c:catAx>
        <c:axId val="30744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30744390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560494938132748E-2"/>
          <c:y val="0.92432215033687704"/>
          <c:w val="0.84773633295838025"/>
          <c:h val="7.56778496631229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5</a:t>
            </a:r>
          </a:p>
        </c:rich>
      </c:tx>
      <c:layout>
        <c:manualLayout>
          <c:xMode val="edge"/>
          <c:yMode val="edge"/>
          <c:x val="0.43534482758620691"/>
          <c:y val="1.9736884373467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7241379310345"/>
          <c:y val="0.32675508573851625"/>
          <c:w val="0.74784482758620685"/>
          <c:h val="0.54386081384665796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Estructura'!$A$55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E-4237-B586-8CD1C51996B3}"/>
            </c:ext>
          </c:extLst>
        </c:ser>
        <c:ser>
          <c:idx val="1"/>
          <c:order val="1"/>
          <c:tx>
            <c:strRef>
              <c:f>'F-2 Estructura'!$B$55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Estructura'!$B$56:$B$57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E-4237-B586-8CD1C51996B3}"/>
            </c:ext>
          </c:extLst>
        </c:ser>
        <c:ser>
          <c:idx val="2"/>
          <c:order val="2"/>
          <c:tx>
            <c:strRef>
              <c:f>'F-2 Estructura'!$C$55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Estructura'!$C$56:$C$57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5525314.549114529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3E-4237-B586-8CD1C51996B3}"/>
            </c:ext>
          </c:extLst>
        </c:ser>
        <c:ser>
          <c:idx val="3"/>
          <c:order val="3"/>
          <c:tx>
            <c:strRef>
              <c:f>'F-2 Estructura'!$D$55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Estructura'!$D$56:$D$57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11209485.186959734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E-4237-B586-8CD1C51996B3}"/>
            </c:ext>
          </c:extLst>
        </c:ser>
        <c:ser>
          <c:idx val="4"/>
          <c:order val="4"/>
          <c:tx>
            <c:strRef>
              <c:f>'F-2 Estructura'!$E$55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Estructura'!$E$56:$E$57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22600000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3E-4237-B586-8CD1C5199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581248"/>
        <c:axId val="1"/>
      </c:lineChart>
      <c:catAx>
        <c:axId val="3055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305581248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85822087063111E-2"/>
          <c:y val="0.91859922795994109"/>
          <c:w val="0.85045225816777847"/>
          <c:h val="8.14007720400588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1657350</xdr:colOff>
      <xdr:row>5</xdr:row>
      <xdr:rowOff>76200</xdr:rowOff>
    </xdr:from>
    <xdr:to>
      <xdr:col>5</xdr:col>
      <xdr:colOff>161925</xdr:colOff>
      <xdr:row>12</xdr:row>
      <xdr:rowOff>95250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CB605449-57BB-4FF1-815B-60C3F44B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885825"/>
          <a:ext cx="229552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146</xdr:row>
      <xdr:rowOff>76200</xdr:rowOff>
    </xdr:from>
    <xdr:to>
      <xdr:col>3</xdr:col>
      <xdr:colOff>419100</xdr:colOff>
      <xdr:row>163</xdr:row>
      <xdr:rowOff>47625</xdr:rowOff>
    </xdr:to>
    <xdr:graphicFrame macro="">
      <xdr:nvGraphicFramePr>
        <xdr:cNvPr id="4097" name="Gráfico 1">
          <a:extLst>
            <a:ext uri="{FF2B5EF4-FFF2-40B4-BE49-F238E27FC236}">
              <a16:creationId xmlns:a16="http://schemas.microsoft.com/office/drawing/2014/main" id="{09C75AC7-120C-4BA2-8987-A391421B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147</xdr:row>
      <xdr:rowOff>66675</xdr:rowOff>
    </xdr:from>
    <xdr:to>
      <xdr:col>12</xdr:col>
      <xdr:colOff>28575</xdr:colOff>
      <xdr:row>164</xdr:row>
      <xdr:rowOff>38100</xdr:rowOff>
    </xdr:to>
    <xdr:graphicFrame macro="">
      <xdr:nvGraphicFramePr>
        <xdr:cNvPr id="4098" name="Gráfico 2">
          <a:extLst>
            <a:ext uri="{FF2B5EF4-FFF2-40B4-BE49-F238E27FC236}">
              <a16:creationId xmlns:a16="http://schemas.microsoft.com/office/drawing/2014/main" id="{A4AE85A0-11B9-432C-A8F4-0EFDDBF37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76</xdr:row>
      <xdr:rowOff>76200</xdr:rowOff>
    </xdr:from>
    <xdr:to>
      <xdr:col>16</xdr:col>
      <xdr:colOff>342900</xdr:colOff>
      <xdr:row>76</xdr:row>
      <xdr:rowOff>85725</xdr:rowOff>
    </xdr:to>
    <xdr:sp macro="" textlink="">
      <xdr:nvSpPr>
        <xdr:cNvPr id="5124" name="Conector recto 10">
          <a:extLst>
            <a:ext uri="{FF2B5EF4-FFF2-40B4-BE49-F238E27FC236}">
              <a16:creationId xmlns:a16="http://schemas.microsoft.com/office/drawing/2014/main" id="{B8E606E9-1060-438F-AD4A-7311250D8086}"/>
            </a:ext>
          </a:extLst>
        </xdr:cNvPr>
        <xdr:cNvSpPr>
          <a:spLocks noChangeShapeType="1"/>
        </xdr:cNvSpPr>
      </xdr:nvSpPr>
      <xdr:spPr bwMode="auto">
        <a:xfrm flipV="1">
          <a:off x="16554450" y="12553950"/>
          <a:ext cx="5019675" cy="9525"/>
        </a:xfrm>
        <a:prstGeom prst="line">
          <a:avLst/>
        </a:prstGeom>
        <a:noFill/>
        <a:ln w="9360" cap="sq">
          <a:solidFill>
            <a:srgbClr val="232627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58</xdr:row>
      <xdr:rowOff>20108</xdr:rowOff>
    </xdr:from>
    <xdr:to>
      <xdr:col>2</xdr:col>
      <xdr:colOff>920750</xdr:colOff>
      <xdr:row>89</xdr:row>
      <xdr:rowOff>116416</xdr:rowOff>
    </xdr:to>
    <xdr:graphicFrame macro="">
      <xdr:nvGraphicFramePr>
        <xdr:cNvPr id="14337" name="Gráfico 1">
          <a:extLst>
            <a:ext uri="{FF2B5EF4-FFF2-40B4-BE49-F238E27FC236}">
              <a16:creationId xmlns:a16="http://schemas.microsoft.com/office/drawing/2014/main" id="{BEC3BEA8-6862-4117-8CBB-D16A65726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73025</xdr:colOff>
      <xdr:row>57</xdr:row>
      <xdr:rowOff>98424</xdr:rowOff>
    </xdr:from>
    <xdr:to>
      <xdr:col>10</xdr:col>
      <xdr:colOff>264583</xdr:colOff>
      <xdr:row>89</xdr:row>
      <xdr:rowOff>63499</xdr:rowOff>
    </xdr:to>
    <xdr:graphicFrame macro="">
      <xdr:nvGraphicFramePr>
        <xdr:cNvPr id="14338" name="Gráfico 2">
          <a:extLst>
            <a:ext uri="{FF2B5EF4-FFF2-40B4-BE49-F238E27FC236}">
              <a16:creationId xmlns:a16="http://schemas.microsoft.com/office/drawing/2014/main" id="{95FCF8CE-B284-44ED-9295-0A8F5536A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35640/AppData/Local/Microsoft/Windows/INetCache/Content.Outlook/U5C4ZJQP/Dim%20Economico%20Financiero_5_grupo_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DIM%20ECONOMICO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"/>
      <sheetName val="E-Costos (Cálculos y links)"/>
      <sheetName val="E-InvAT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1">
          <cell r="E1">
            <v>7</v>
          </cell>
        </row>
        <row r="15">
          <cell r="B15">
            <v>7.2999999999999995E-2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 (Cálculos y links)"/>
      <sheetName val="E-Costos"/>
      <sheetName val="E-InvAT"/>
      <sheetName val="E-InvAT Datos y links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32">
          <cell r="B32">
            <v>37.9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tanderrio.com.ar/banco/online/pymes-advance/financiacion/super-prestamo-pyme-uvas" TargetMode="External"/><Relationship Id="rId1" Type="http://schemas.openxmlformats.org/officeDocument/2006/relationships/hyperlink" Target="https://www.provinciamicrocreditos.com/credit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rticulo.mercadolibre.com.ar/MLA-734913827-aplicador-cinta-bifaz-doble-faz-3m-atg-700-_JM" TargetMode="External"/><Relationship Id="rId1" Type="http://schemas.openxmlformats.org/officeDocument/2006/relationships/hyperlink" Target="https://www.cotodigital3.com.ar/sitios/cdigi/producto/-aire-acondicionado-split-top-house-3350-watts-frio-calor-ths35wcp/_/A-00460511-00460511-2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articulo.mercadolibre.com.ar/MLA-616970184-funda-bolsa-polietileno-traslucido-larga-60x140-cm-x-100-u-_JM" TargetMode="External"/><Relationship Id="rId1" Type="http://schemas.openxmlformats.org/officeDocument/2006/relationships/hyperlink" Target="https://articulo.mercadolibre.com.ar/MLA-608599088-arandelas-de-presion-aranlock-8-x-18-x100-unidades-_J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articulo.mercadolibre.com.ar/MLA-608599088-arandelas-de-presion-aranlock-8-x-18-x100-unidades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M202"/>
  <sheetViews>
    <sheetView topLeftCell="A19" zoomScale="85" zoomScaleNormal="85" workbookViewId="0">
      <selection activeCell="B35" sqref="B35"/>
    </sheetView>
  </sheetViews>
  <sheetFormatPr defaultColWidth="11" defaultRowHeight="12.75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>
      <c r="A1" s="1" t="s">
        <v>0</v>
      </c>
      <c r="E1" s="2">
        <v>7</v>
      </c>
    </row>
    <row r="2" spans="1:13" ht="15">
      <c r="G2" s="497" t="s">
        <v>1</v>
      </c>
      <c r="H2" s="497"/>
      <c r="I2" s="497"/>
      <c r="J2" s="497"/>
      <c r="K2" s="497"/>
      <c r="L2" s="497"/>
      <c r="M2" s="497"/>
    </row>
    <row r="3" spans="1:13" ht="14.65" customHeight="1">
      <c r="A3" s="3" t="s">
        <v>2</v>
      </c>
      <c r="B3" s="4">
        <v>0.21</v>
      </c>
      <c r="G3" s="498" t="s">
        <v>3</v>
      </c>
      <c r="H3" s="498"/>
      <c r="I3" s="498"/>
      <c r="J3" s="498"/>
      <c r="K3" s="498"/>
      <c r="L3" s="498"/>
      <c r="M3" s="498"/>
    </row>
    <row r="4" spans="1:13">
      <c r="A4" s="3" t="s">
        <v>4</v>
      </c>
      <c r="B4" s="4">
        <v>0.35</v>
      </c>
      <c r="G4" s="498"/>
      <c r="H4" s="498"/>
      <c r="I4" s="498"/>
      <c r="J4" s="498"/>
      <c r="K4" s="498"/>
      <c r="L4" s="498"/>
      <c r="M4" s="498"/>
    </row>
    <row r="5" spans="1:13">
      <c r="A5" s="3" t="s">
        <v>5</v>
      </c>
      <c r="B5" s="5">
        <v>5.5E-2</v>
      </c>
      <c r="C5" t="s">
        <v>6</v>
      </c>
      <c r="G5" s="498"/>
      <c r="H5" s="498"/>
      <c r="I5" s="498"/>
      <c r="J5" s="498"/>
      <c r="K5" s="498"/>
      <c r="L5" s="498"/>
      <c r="M5" s="498"/>
    </row>
    <row r="6" spans="1:13">
      <c r="G6" s="498"/>
      <c r="H6" s="498"/>
      <c r="I6" s="498"/>
      <c r="J6" s="498"/>
      <c r="K6" s="498"/>
      <c r="L6" s="498"/>
      <c r="M6" s="498"/>
    </row>
    <row r="7" spans="1:13" ht="14.65" customHeight="1">
      <c r="A7" s="3" t="s">
        <v>7</v>
      </c>
      <c r="B7" t="s">
        <v>8</v>
      </c>
      <c r="G7" s="499" t="s">
        <v>9</v>
      </c>
      <c r="H7" s="499"/>
      <c r="I7" s="499"/>
      <c r="J7" s="499"/>
      <c r="K7" s="499"/>
      <c r="L7" s="499"/>
      <c r="M7" s="499"/>
    </row>
    <row r="8" spans="1:13">
      <c r="A8" s="6" t="s">
        <v>10</v>
      </c>
      <c r="B8" s="7">
        <v>30</v>
      </c>
      <c r="C8" t="s">
        <v>11</v>
      </c>
      <c r="G8" s="499"/>
      <c r="H8" s="499"/>
      <c r="I8" s="499"/>
      <c r="J8" s="499"/>
      <c r="K8" s="499"/>
      <c r="L8" s="499"/>
      <c r="M8" s="499"/>
    </row>
    <row r="9" spans="1:13">
      <c r="A9" s="6" t="s">
        <v>12</v>
      </c>
      <c r="B9" s="7">
        <v>10</v>
      </c>
      <c r="C9" t="s">
        <v>11</v>
      </c>
      <c r="G9" s="500" t="s">
        <v>13</v>
      </c>
      <c r="H9" s="500"/>
      <c r="I9" s="500"/>
      <c r="J9" s="500"/>
      <c r="K9" s="500"/>
      <c r="L9" s="500"/>
      <c r="M9" s="500"/>
    </row>
    <row r="10" spans="1:13" ht="14.65" customHeight="1">
      <c r="A10" s="6" t="s">
        <v>14</v>
      </c>
      <c r="B10" s="7">
        <v>10</v>
      </c>
      <c r="C10" t="s">
        <v>11</v>
      </c>
      <c r="G10" s="501" t="s">
        <v>15</v>
      </c>
      <c r="H10" s="501"/>
      <c r="I10" s="501"/>
      <c r="J10" s="501"/>
      <c r="K10" s="501"/>
      <c r="L10" s="501"/>
      <c r="M10" s="501"/>
    </row>
    <row r="11" spans="1:13">
      <c r="A11" s="6" t="s">
        <v>16</v>
      </c>
      <c r="B11" s="7">
        <v>5</v>
      </c>
      <c r="C11" t="s">
        <v>11</v>
      </c>
      <c r="G11" s="501"/>
      <c r="H11" s="501"/>
      <c r="I11" s="501"/>
      <c r="J11" s="501"/>
      <c r="K11" s="501"/>
      <c r="L11" s="501"/>
      <c r="M11" s="501"/>
    </row>
    <row r="12" spans="1:13" ht="14.65" customHeight="1">
      <c r="A12" s="6" t="s">
        <v>17</v>
      </c>
      <c r="B12" s="7">
        <v>5</v>
      </c>
      <c r="C12" t="s">
        <v>11</v>
      </c>
      <c r="G12" s="501" t="s">
        <v>18</v>
      </c>
      <c r="H12" s="501"/>
      <c r="I12" s="501"/>
      <c r="J12" s="501"/>
      <c r="K12" s="501"/>
      <c r="L12" s="501"/>
      <c r="M12" s="501"/>
    </row>
    <row r="13" spans="1:13">
      <c r="A13" s="6" t="s">
        <v>19</v>
      </c>
      <c r="B13" s="7">
        <v>3</v>
      </c>
      <c r="C13" t="s">
        <v>11</v>
      </c>
      <c r="G13" s="501"/>
      <c r="H13" s="501"/>
      <c r="I13" s="501"/>
      <c r="J13" s="501"/>
      <c r="K13" s="501"/>
      <c r="L13" s="501"/>
      <c r="M13" s="501"/>
    </row>
    <row r="14" spans="1:13">
      <c r="A14" s="6" t="s">
        <v>20</v>
      </c>
      <c r="B14" s="7">
        <v>5</v>
      </c>
      <c r="C14" t="s">
        <v>11</v>
      </c>
    </row>
    <row r="15" spans="1:13">
      <c r="A15" s="6" t="s">
        <v>21</v>
      </c>
      <c r="B15" s="8">
        <v>7.2999999999999995E-2</v>
      </c>
    </row>
    <row r="17" spans="1:7">
      <c r="A17" s="3" t="s">
        <v>22</v>
      </c>
      <c r="B17" s="9" t="s">
        <v>23</v>
      </c>
      <c r="C17" s="10"/>
      <c r="D17" s="10"/>
      <c r="E17" s="10"/>
      <c r="F17" s="10"/>
      <c r="G17" s="11"/>
    </row>
    <row r="19" spans="1:7">
      <c r="A19" s="3" t="s">
        <v>24</v>
      </c>
      <c r="B19" s="12">
        <v>20900</v>
      </c>
      <c r="C19" t="s">
        <v>25</v>
      </c>
      <c r="E19" s="3" t="s">
        <v>26</v>
      </c>
      <c r="F19" s="12">
        <v>14100</v>
      </c>
      <c r="G19" t="s">
        <v>25</v>
      </c>
    </row>
    <row r="20" spans="1:7">
      <c r="A20" s="3" t="s">
        <v>27</v>
      </c>
      <c r="B20" s="12">
        <v>1000</v>
      </c>
      <c r="C20" t="s">
        <v>28</v>
      </c>
    </row>
    <row r="22" spans="1:7">
      <c r="A22" s="3" t="s">
        <v>29</v>
      </c>
    </row>
    <row r="23" spans="1:7">
      <c r="A23" s="3" t="s">
        <v>30</v>
      </c>
      <c r="B23" s="12">
        <v>6</v>
      </c>
      <c r="C23" t="s">
        <v>31</v>
      </c>
    </row>
    <row r="24" spans="1:7">
      <c r="A24" s="3" t="s">
        <v>32</v>
      </c>
      <c r="B24" s="12">
        <v>2</v>
      </c>
      <c r="C24" t="s">
        <v>31</v>
      </c>
    </row>
    <row r="25" spans="1:7">
      <c r="A25" s="3" t="s">
        <v>33</v>
      </c>
      <c r="B25" s="12">
        <v>1</v>
      </c>
      <c r="C25" t="s">
        <v>31</v>
      </c>
    </row>
    <row r="27" spans="1:7">
      <c r="A27" s="3" t="s">
        <v>34</v>
      </c>
      <c r="B27" s="12">
        <v>1380</v>
      </c>
      <c r="C27" t="s">
        <v>35</v>
      </c>
    </row>
    <row r="28" spans="1:7">
      <c r="A28" s="3" t="s">
        <v>36</v>
      </c>
      <c r="B28" s="12">
        <v>12</v>
      </c>
      <c r="C28" t="s">
        <v>37</v>
      </c>
    </row>
    <row r="29" spans="1:7">
      <c r="A29" s="3" t="s">
        <v>38</v>
      </c>
      <c r="B29" s="12">
        <v>12</v>
      </c>
      <c r="C29" t="s">
        <v>37</v>
      </c>
    </row>
    <row r="32" spans="1:7">
      <c r="A32" s="3" t="s">
        <v>39</v>
      </c>
      <c r="B32" s="12">
        <v>37.9</v>
      </c>
      <c r="C32" t="s">
        <v>40</v>
      </c>
      <c r="D32" s="12">
        <v>1</v>
      </c>
      <c r="E32" t="s">
        <v>41</v>
      </c>
    </row>
    <row r="33" spans="1:7">
      <c r="A33" s="13"/>
    </row>
    <row r="34" spans="1:7">
      <c r="A34" s="13"/>
    </row>
    <row r="35" spans="1:7">
      <c r="A35" s="3" t="s">
        <v>42</v>
      </c>
      <c r="B35" s="14">
        <v>0.17</v>
      </c>
      <c r="C35" t="s">
        <v>43</v>
      </c>
      <c r="G35" s="15" t="s">
        <v>44</v>
      </c>
    </row>
    <row r="36" spans="1:7">
      <c r="A36" s="3" t="s">
        <v>45</v>
      </c>
      <c r="B36" s="496" t="s">
        <v>46</v>
      </c>
      <c r="C36" s="496"/>
      <c r="D36" s="496"/>
    </row>
    <row r="37" spans="1:7">
      <c r="A37" s="3" t="s">
        <v>47</v>
      </c>
      <c r="B37" s="14">
        <v>0.4</v>
      </c>
    </row>
    <row r="38" spans="1:7">
      <c r="A38" s="3"/>
    </row>
    <row r="39" spans="1:7">
      <c r="A39" s="3" t="s">
        <v>48</v>
      </c>
      <c r="B39" s="12">
        <v>30</v>
      </c>
    </row>
    <row r="40" spans="1:7">
      <c r="A40" s="3" t="s">
        <v>49</v>
      </c>
      <c r="B40" s="16">
        <v>0.4</v>
      </c>
    </row>
    <row r="41" spans="1:7">
      <c r="A41" s="3" t="s">
        <v>50</v>
      </c>
      <c r="B41" s="16">
        <v>0.15</v>
      </c>
      <c r="C41" t="s">
        <v>43</v>
      </c>
    </row>
    <row r="134" spans="9:9">
      <c r="I134" s="15" t="s">
        <v>51</v>
      </c>
    </row>
    <row r="202" spans="8:8">
      <c r="H202" s="15" t="s">
        <v>52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</sheetPr>
  <dimension ref="A1:M41"/>
  <sheetViews>
    <sheetView zoomScale="85" zoomScaleNormal="85" workbookViewId="0">
      <selection activeCell="C39" sqref="C39"/>
    </sheetView>
  </sheetViews>
  <sheetFormatPr defaultColWidth="11.140625" defaultRowHeight="12.75"/>
  <cols>
    <col min="1" max="1" width="21.42578125" customWidth="1"/>
    <col min="2" max="2" width="13.85546875" customWidth="1"/>
    <col min="3" max="3" width="13.7109375" customWidth="1"/>
    <col min="4" max="4" width="14.140625" customWidth="1"/>
    <col min="5" max="5" width="14" customWidth="1"/>
    <col min="6" max="6" width="14.140625" customWidth="1"/>
    <col min="7" max="7" width="16.7109375" customWidth="1"/>
    <col min="8" max="8" width="29.85546875" customWidth="1"/>
    <col min="9" max="9" width="15.5703125" customWidth="1"/>
    <col min="10" max="10" width="16.85546875" customWidth="1"/>
    <col min="11" max="11" width="15.5703125" customWidth="1"/>
    <col min="12" max="13" width="15.28515625" customWidth="1"/>
  </cols>
  <sheetData>
    <row r="1" spans="1:13">
      <c r="A1" s="517" t="s">
        <v>220</v>
      </c>
      <c r="B1" s="517"/>
      <c r="C1" s="517"/>
      <c r="D1" s="517"/>
      <c r="E1" s="517"/>
      <c r="F1" s="517"/>
      <c r="H1" s="518" t="s">
        <v>234</v>
      </c>
      <c r="I1" s="518"/>
      <c r="J1" s="518"/>
      <c r="K1" s="518"/>
      <c r="L1" s="518"/>
      <c r="M1" s="518"/>
    </row>
    <row r="2" spans="1:13">
      <c r="A2" s="519" t="s">
        <v>221</v>
      </c>
      <c r="B2" s="519"/>
      <c r="C2" s="519"/>
      <c r="D2" s="519"/>
      <c r="E2" s="519"/>
      <c r="F2" s="519"/>
      <c r="H2" s="144" t="s">
        <v>201</v>
      </c>
      <c r="I2" s="144" t="s">
        <v>58</v>
      </c>
      <c r="J2" s="144" t="s">
        <v>202</v>
      </c>
      <c r="K2" s="144" t="s">
        <v>203</v>
      </c>
      <c r="L2" s="144" t="s">
        <v>204</v>
      </c>
      <c r="M2" s="144" t="s">
        <v>205</v>
      </c>
    </row>
    <row r="3" spans="1:13">
      <c r="A3" s="76" t="s">
        <v>201</v>
      </c>
      <c r="B3" s="92" t="s">
        <v>58</v>
      </c>
      <c r="C3" s="92" t="s">
        <v>202</v>
      </c>
      <c r="D3" s="92" t="s">
        <v>203</v>
      </c>
      <c r="E3" s="92" t="s">
        <v>204</v>
      </c>
      <c r="F3" s="92" t="s">
        <v>205</v>
      </c>
      <c r="H3" s="146" t="s">
        <v>212</v>
      </c>
      <c r="I3" s="283">
        <f>'E-Costos'!B55</f>
        <v>39246.039126495452</v>
      </c>
      <c r="J3" s="283">
        <f>'E-Costos'!C55</f>
        <v>43606.710140550502</v>
      </c>
      <c r="K3" s="283">
        <f>'E-Costos'!D55</f>
        <v>43606.710140550502</v>
      </c>
      <c r="L3" s="283">
        <f>'E-Costos'!E55</f>
        <v>43606.710140550502</v>
      </c>
      <c r="M3" s="283">
        <f>'E-Costos'!F55</f>
        <v>43606.710140550502</v>
      </c>
    </row>
    <row r="4" spans="1:13">
      <c r="A4" s="24" t="s">
        <v>206</v>
      </c>
      <c r="B4" s="79">
        <f>+'E-Costos (Cálculos y links)'!$D$174</f>
        <v>165.18181684153848</v>
      </c>
      <c r="C4" s="79">
        <f>+'E-Costos (Cálculos y links)'!$D$174</f>
        <v>165.18181684153848</v>
      </c>
      <c r="D4" s="79">
        <f>+'E-Costos (Cálculos y links)'!$D$174</f>
        <v>165.18181684153848</v>
      </c>
      <c r="E4" s="79">
        <f>+'E-Costos (Cálculos y links)'!$D$174</f>
        <v>165.18181684153848</v>
      </c>
      <c r="F4" s="79">
        <f>+'E-Costos (Cálculos y links)'!$D$174</f>
        <v>165.18181684153848</v>
      </c>
      <c r="H4" s="146" t="s">
        <v>237</v>
      </c>
      <c r="I4" s="283">
        <f>'E-Costos'!B56</f>
        <v>71527.840600800002</v>
      </c>
      <c r="J4" s="283">
        <f>'E-Costos'!C56</f>
        <v>115367.48484</v>
      </c>
      <c r="K4" s="283">
        <f>'E-Costos'!D56</f>
        <v>115367.48484</v>
      </c>
      <c r="L4" s="283">
        <f>'E-Costos'!E56</f>
        <v>115367.48484</v>
      </c>
      <c r="M4" s="283">
        <f>'E-Costos'!F56</f>
        <v>115367.48484</v>
      </c>
    </row>
    <row r="5" spans="1:13">
      <c r="A5" s="28" t="s">
        <v>208</v>
      </c>
      <c r="B5" s="29"/>
      <c r="C5" s="29"/>
      <c r="D5" s="29"/>
      <c r="E5" s="29"/>
      <c r="F5" s="29"/>
      <c r="H5" s="146" t="s">
        <v>238</v>
      </c>
      <c r="I5" s="283" t="s">
        <v>209</v>
      </c>
      <c r="J5" s="283" t="s">
        <v>209</v>
      </c>
      <c r="K5" s="283" t="s">
        <v>209</v>
      </c>
      <c r="L5" s="283" t="s">
        <v>209</v>
      </c>
      <c r="M5" s="283" t="s">
        <v>209</v>
      </c>
    </row>
    <row r="6" spans="1:13">
      <c r="A6" s="28" t="s">
        <v>212</v>
      </c>
      <c r="B6" s="81">
        <f>+'E-Costos (Cálculos y links)'!O66</f>
        <v>0</v>
      </c>
      <c r="C6" s="81">
        <f>+'E-Costos (Cálculos y links)'!$O$81</f>
        <v>2.5554029797276048</v>
      </c>
      <c r="D6" s="81">
        <f>+'E-Costos (Cálculos y links)'!$O$81</f>
        <v>2.5554029797276048</v>
      </c>
      <c r="E6" s="81">
        <f>+'E-Costos (Cálculos y links)'!$O$81</f>
        <v>2.5554029797276048</v>
      </c>
      <c r="F6" s="81">
        <f>+'E-Costos (Cálculos y links)'!$O$81</f>
        <v>2.5554029797276048</v>
      </c>
      <c r="H6" s="146" t="s">
        <v>239</v>
      </c>
      <c r="I6" s="283">
        <f>+'E-Costos (Cálculos y links)'!$D$126</f>
        <v>80000</v>
      </c>
      <c r="J6" s="283">
        <f>+'E-Costos (Cálculos y links)'!$D$126</f>
        <v>80000</v>
      </c>
      <c r="K6" s="283">
        <f>+'E-Costos (Cálculos y links)'!$D$126</f>
        <v>80000</v>
      </c>
      <c r="L6" s="283">
        <f>+'E-Costos (Cálculos y links)'!$D$126</f>
        <v>80000</v>
      </c>
      <c r="M6" s="283">
        <f>+'E-Costos (Cálculos y links)'!$D$126</f>
        <v>80000</v>
      </c>
    </row>
    <row r="7" spans="1:13">
      <c r="A7" s="28" t="s">
        <v>223</v>
      </c>
      <c r="B7" s="94">
        <v>0</v>
      </c>
      <c r="C7" s="94">
        <v>0</v>
      </c>
      <c r="D7" s="94">
        <v>0</v>
      </c>
      <c r="E7" s="94">
        <v>0</v>
      </c>
      <c r="F7" s="94">
        <v>0</v>
      </c>
      <c r="H7" s="143" t="s">
        <v>240</v>
      </c>
      <c r="I7" s="283">
        <f>SUM(I3:I6)</f>
        <v>190773.87972729545</v>
      </c>
      <c r="J7" s="283">
        <f>SUM(J3:J6)</f>
        <v>238974.1949805505</v>
      </c>
      <c r="K7" s="283">
        <f>SUM(K3:K6)</f>
        <v>238974.1949805505</v>
      </c>
      <c r="L7" s="283">
        <f>SUM(L3:L6)</f>
        <v>238974.1949805505</v>
      </c>
      <c r="M7" s="283">
        <f>SUM(M3:M6)</f>
        <v>238974.1949805505</v>
      </c>
    </row>
    <row r="8" spans="1:13">
      <c r="A8" s="28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</row>
    <row r="9" spans="1:13">
      <c r="A9" s="36" t="s">
        <v>227</v>
      </c>
      <c r="B9" s="96">
        <f>+SUM(B4:B8)</f>
        <v>165.18181684153848</v>
      </c>
      <c r="C9" s="96">
        <f>+SUM(C4:C8)</f>
        <v>167.73721982126608</v>
      </c>
      <c r="D9" s="96">
        <f>+SUM(D4:D8)</f>
        <v>167.73721982126608</v>
      </c>
      <c r="E9" s="96">
        <f>+SUM(E4:E8)</f>
        <v>167.73721982126608</v>
      </c>
      <c r="F9" s="96">
        <f>+SUM(F4:F8)</f>
        <v>167.73721982126608</v>
      </c>
      <c r="H9" s="520" t="s">
        <v>554</v>
      </c>
      <c r="I9" s="520"/>
      <c r="J9" s="520"/>
      <c r="K9" s="520"/>
      <c r="L9" s="520"/>
      <c r="M9" s="520"/>
    </row>
    <row r="10" spans="1:13" ht="14.25" customHeight="1">
      <c r="H10" s="518" t="s">
        <v>234</v>
      </c>
      <c r="I10" s="518"/>
      <c r="J10" s="518"/>
      <c r="K10" s="518"/>
      <c r="L10" s="518"/>
      <c r="M10" s="518"/>
    </row>
    <row r="11" spans="1:13">
      <c r="A11" s="517" t="s">
        <v>554</v>
      </c>
      <c r="B11" s="517"/>
      <c r="C11" s="517"/>
      <c r="D11" s="517"/>
      <c r="E11" s="517"/>
      <c r="F11" s="517"/>
      <c r="H11" s="144" t="s">
        <v>201</v>
      </c>
      <c r="I11" s="144" t="s">
        <v>58</v>
      </c>
      <c r="J11" s="144" t="s">
        <v>202</v>
      </c>
      <c r="K11" s="144" t="s">
        <v>203</v>
      </c>
      <c r="L11" s="144" t="s">
        <v>204</v>
      </c>
      <c r="M11" s="144" t="s">
        <v>205</v>
      </c>
    </row>
    <row r="12" spans="1:13">
      <c r="A12" s="519" t="s">
        <v>221</v>
      </c>
      <c r="B12" s="519"/>
      <c r="C12" s="519"/>
      <c r="D12" s="519"/>
      <c r="E12" s="519"/>
      <c r="F12" s="519"/>
      <c r="H12" s="146" t="s">
        <v>212</v>
      </c>
      <c r="I12" s="283">
        <f t="shared" ref="I12:I13" si="0">I3*0.21</f>
        <v>8241.668216564045</v>
      </c>
      <c r="J12" s="283">
        <f t="shared" ref="J12:J13" si="1">J3*0.21</f>
        <v>9157.4091295156049</v>
      </c>
      <c r="K12" s="283">
        <f t="shared" ref="K12:K13" si="2">K3*0.21</f>
        <v>9157.4091295156049</v>
      </c>
      <c r="L12" s="283">
        <f t="shared" ref="L12:L13" si="3">L3*0.21</f>
        <v>9157.4091295156049</v>
      </c>
      <c r="M12" s="283">
        <f t="shared" ref="M12:M13" si="4">M3*0.21</f>
        <v>9157.4091295156049</v>
      </c>
    </row>
    <row r="13" spans="1:13">
      <c r="A13" s="76" t="s">
        <v>201</v>
      </c>
      <c r="B13" s="92" t="s">
        <v>58</v>
      </c>
      <c r="C13" s="92" t="s">
        <v>202</v>
      </c>
      <c r="D13" s="92" t="s">
        <v>203</v>
      </c>
      <c r="E13" s="92" t="s">
        <v>204</v>
      </c>
      <c r="F13" s="92" t="s">
        <v>205</v>
      </c>
      <c r="H13" s="146" t="s">
        <v>237</v>
      </c>
      <c r="I13" s="283">
        <f t="shared" si="0"/>
        <v>15020.846526167999</v>
      </c>
      <c r="J13" s="283">
        <f t="shared" si="1"/>
        <v>24227.171816400001</v>
      </c>
      <c r="K13" s="283">
        <f t="shared" si="2"/>
        <v>24227.171816400001</v>
      </c>
      <c r="L13" s="283">
        <f t="shared" si="3"/>
        <v>24227.171816400001</v>
      </c>
      <c r="M13" s="283">
        <f t="shared" si="4"/>
        <v>24227.171816400001</v>
      </c>
    </row>
    <row r="14" spans="1:13">
      <c r="A14" s="24" t="s">
        <v>206</v>
      </c>
      <c r="B14" s="79">
        <f>B4*0.21</f>
        <v>34.688181536723079</v>
      </c>
      <c r="C14" s="79">
        <f>C4*0.21</f>
        <v>34.688181536723079</v>
      </c>
      <c r="D14" s="79">
        <f>D4*0.21</f>
        <v>34.688181536723079</v>
      </c>
      <c r="E14" s="79">
        <f>E4*0.21</f>
        <v>34.688181536723079</v>
      </c>
      <c r="F14" s="79">
        <f>F4*0.21</f>
        <v>34.688181536723079</v>
      </c>
      <c r="H14" s="146" t="s">
        <v>238</v>
      </c>
      <c r="I14" s="283" t="s">
        <v>209</v>
      </c>
      <c r="J14" s="283" t="s">
        <v>209</v>
      </c>
      <c r="K14" s="283" t="s">
        <v>209</v>
      </c>
      <c r="L14" s="283" t="s">
        <v>209</v>
      </c>
      <c r="M14" s="283" t="s">
        <v>209</v>
      </c>
    </row>
    <row r="15" spans="1:13">
      <c r="A15" s="28" t="s">
        <v>208</v>
      </c>
      <c r="B15" s="29"/>
      <c r="C15" s="29"/>
      <c r="D15" s="29"/>
      <c r="E15" s="29"/>
      <c r="F15" s="29"/>
      <c r="H15" s="146" t="s">
        <v>239</v>
      </c>
      <c r="I15" s="283">
        <f>I6*0.21</f>
        <v>16800</v>
      </c>
      <c r="J15" s="283">
        <f>J6*0.21</f>
        <v>16800</v>
      </c>
      <c r="K15" s="283">
        <f>K6*0.21</f>
        <v>16800</v>
      </c>
      <c r="L15" s="283">
        <f>L6*0.21</f>
        <v>16800</v>
      </c>
      <c r="M15" s="283">
        <f>M6*0.21</f>
        <v>16800</v>
      </c>
    </row>
    <row r="16" spans="1:13">
      <c r="A16" s="28" t="s">
        <v>212</v>
      </c>
      <c r="B16" s="81">
        <f>+'E-Costos (Cálculos y links)'!O76</f>
        <v>0</v>
      </c>
      <c r="C16" s="81">
        <f>C6*0.21</f>
        <v>0.53663462574279697</v>
      </c>
      <c r="D16" s="81">
        <f>D6*0.21</f>
        <v>0.53663462574279697</v>
      </c>
      <c r="E16" s="81">
        <f>E6*0.21</f>
        <v>0.53663462574279697</v>
      </c>
      <c r="F16" s="81">
        <f>F6*0.21</f>
        <v>0.53663462574279697</v>
      </c>
      <c r="H16" s="143" t="s">
        <v>240</v>
      </c>
      <c r="I16" s="283">
        <f>SUM(I12:I15)</f>
        <v>40062.514742732048</v>
      </c>
      <c r="J16" s="283">
        <f>SUM(J12:J15)</f>
        <v>50184.580945915608</v>
      </c>
      <c r="K16" s="283">
        <f>SUM(K12:K15)</f>
        <v>50184.580945915608</v>
      </c>
      <c r="L16" s="283">
        <f>SUM(L12:L15)</f>
        <v>50184.580945915608</v>
      </c>
      <c r="M16" s="283">
        <f>SUM(M12:M15)</f>
        <v>50184.580945915608</v>
      </c>
    </row>
    <row r="17" spans="1:13">
      <c r="A17" s="28" t="s">
        <v>223</v>
      </c>
      <c r="B17" s="94">
        <v>0</v>
      </c>
      <c r="C17" s="94">
        <v>0</v>
      </c>
      <c r="D17" s="94">
        <v>0</v>
      </c>
      <c r="E17" s="94">
        <v>0</v>
      </c>
      <c r="F17" s="94">
        <v>0</v>
      </c>
    </row>
    <row r="18" spans="1:13">
      <c r="A18" s="28" t="s">
        <v>224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</row>
    <row r="19" spans="1:13">
      <c r="A19" s="36" t="s">
        <v>227</v>
      </c>
      <c r="B19" s="96">
        <f>+SUM(B14:B18)</f>
        <v>34.688181536723079</v>
      </c>
      <c r="C19" s="96">
        <f>+SUM(C14:C18)</f>
        <v>35.224816162465878</v>
      </c>
      <c r="D19" s="96">
        <f>+SUM(D14:D18)</f>
        <v>35.224816162465878</v>
      </c>
      <c r="E19" s="96">
        <f>+SUM(E14:E18)</f>
        <v>35.224816162465878</v>
      </c>
      <c r="F19" s="96">
        <f>+SUM(F14:F18)</f>
        <v>35.224816162465878</v>
      </c>
      <c r="H19" s="518" t="s">
        <v>241</v>
      </c>
      <c r="I19" s="518"/>
      <c r="J19" s="518"/>
      <c r="K19" s="518"/>
      <c r="L19" s="518"/>
      <c r="M19" s="518"/>
    </row>
    <row r="20" spans="1:13">
      <c r="A20" s="284" t="s">
        <v>462</v>
      </c>
      <c r="B20" s="285">
        <f>B19</f>
        <v>34.688181536723079</v>
      </c>
      <c r="C20" s="286">
        <f>C19-B19</f>
        <v>0.53663462574279919</v>
      </c>
      <c r="D20" s="286">
        <f>D19-C19</f>
        <v>0</v>
      </c>
      <c r="E20" s="286">
        <f>E19-D19</f>
        <v>0</v>
      </c>
      <c r="F20" s="286">
        <f>F19-E19</f>
        <v>0</v>
      </c>
      <c r="H20" s="144" t="s">
        <v>201</v>
      </c>
      <c r="I20" s="144" t="s">
        <v>58</v>
      </c>
      <c r="J20" s="144" t="s">
        <v>202</v>
      </c>
      <c r="K20" s="144" t="s">
        <v>203</v>
      </c>
      <c r="L20" s="144" t="s">
        <v>204</v>
      </c>
      <c r="M20" s="144" t="s">
        <v>205</v>
      </c>
    </row>
    <row r="21" spans="1:13">
      <c r="H21" s="146" t="s">
        <v>212</v>
      </c>
      <c r="I21" s="283">
        <f>'E-Costos'!B72</f>
        <v>23776.409344871587</v>
      </c>
      <c r="J21" s="283">
        <f>'E-Costos'!C72</f>
        <v>26418.232605412875</v>
      </c>
      <c r="K21" s="283">
        <f>'E-Costos'!D72</f>
        <v>26418.232605412875</v>
      </c>
      <c r="L21" s="283">
        <f>'E-Costos'!E72</f>
        <v>26418.232605412875</v>
      </c>
      <c r="M21" s="283">
        <f>'E-Costos'!F72</f>
        <v>26418.232605412875</v>
      </c>
    </row>
    <row r="22" spans="1:13">
      <c r="A22" s="524" t="s">
        <v>554</v>
      </c>
      <c r="B22" s="524"/>
      <c r="C22" s="524"/>
      <c r="D22" s="524"/>
      <c r="E22" s="524"/>
      <c r="F22" s="524"/>
      <c r="H22" s="146" t="s">
        <v>237</v>
      </c>
      <c r="I22" s="283">
        <f>'E-Costos'!B73</f>
        <v>71527.840600800002</v>
      </c>
      <c r="J22" s="283">
        <f>'E-Costos'!C73</f>
        <v>115367.48484</v>
      </c>
      <c r="K22" s="283">
        <f>'E-Costos'!D73</f>
        <v>115367.48484</v>
      </c>
      <c r="L22" s="283">
        <f>'E-Costos'!E73</f>
        <v>115367.48484</v>
      </c>
      <c r="M22" s="283">
        <f>'E-Costos'!F73</f>
        <v>115367.48484</v>
      </c>
    </row>
    <row r="23" spans="1:13">
      <c r="A23" s="521" t="s">
        <v>555</v>
      </c>
      <c r="B23" s="521"/>
      <c r="C23" s="521"/>
      <c r="D23" s="521"/>
      <c r="E23" s="521"/>
      <c r="F23" s="521"/>
      <c r="H23" s="146" t="s">
        <v>238</v>
      </c>
      <c r="I23" s="283">
        <f>'E-Costos'!B74</f>
        <v>0</v>
      </c>
      <c r="J23" s="283">
        <f>'E-Costos'!C74</f>
        <v>0</v>
      </c>
      <c r="K23" s="283">
        <f>'E-Costos'!D74</f>
        <v>0</v>
      </c>
      <c r="L23" s="283">
        <f>'E-Costos'!E74</f>
        <v>0</v>
      </c>
      <c r="M23" s="283">
        <f>'E-Costos'!F74</f>
        <v>0</v>
      </c>
    </row>
    <row r="24" spans="1:13">
      <c r="A24" s="61"/>
      <c r="B24" s="287" t="s">
        <v>277</v>
      </c>
      <c r="C24" s="287" t="s">
        <v>507</v>
      </c>
      <c r="D24" s="287" t="s">
        <v>508</v>
      </c>
      <c r="E24" s="287" t="s">
        <v>509</v>
      </c>
      <c r="F24" s="287" t="s">
        <v>278</v>
      </c>
      <c r="H24" s="146" t="s">
        <v>239</v>
      </c>
      <c r="I24" s="283">
        <f>'E-Costos'!B75</f>
        <v>115000</v>
      </c>
      <c r="J24" s="283">
        <f>'E-Costos'!C75</f>
        <v>115000</v>
      </c>
      <c r="K24" s="283">
        <f>'E-Costos'!D75</f>
        <v>115000</v>
      </c>
      <c r="L24" s="283">
        <f>'E-Costos'!E75</f>
        <v>115000</v>
      </c>
      <c r="M24" s="283">
        <f>'E-Costos'!F75</f>
        <v>115000</v>
      </c>
    </row>
    <row r="25" spans="1:13">
      <c r="A25" s="288" t="s">
        <v>206</v>
      </c>
      <c r="B25" s="253">
        <f>'E-InvAT (Cálculos y links)'!C34*0.21</f>
        <v>1450.2205803930922</v>
      </c>
      <c r="C25" s="253">
        <f>'E-InvAT (Cálculos y links)'!D34*0.21</f>
        <v>1452.1554526738018</v>
      </c>
      <c r="D25" s="253">
        <f>'E-InvAT (Cálculos y links)'!E34*0.21</f>
        <v>1452.1554526738018</v>
      </c>
      <c r="E25" s="253">
        <f>'E-InvAT (Cálculos y links)'!F34*0.21</f>
        <v>1452.1554526738018</v>
      </c>
      <c r="F25" s="253">
        <f>'E-InvAT (Cálculos y links)'!G34*0.21</f>
        <v>1452.1554526738018</v>
      </c>
      <c r="H25" s="143" t="s">
        <v>243</v>
      </c>
      <c r="I25" s="283">
        <f>SUM(I21:I24)</f>
        <v>210304.24994567159</v>
      </c>
      <c r="J25" s="283">
        <f>SUM(J21:J24)</f>
        <v>256785.71744541288</v>
      </c>
      <c r="K25" s="283">
        <f>SUM(K21:K24)</f>
        <v>256785.71744541288</v>
      </c>
      <c r="L25" s="283">
        <f>SUM(L21:L24)</f>
        <v>256785.71744541288</v>
      </c>
      <c r="M25" s="283">
        <f>SUM(M21:M24)</f>
        <v>256785.71744541288</v>
      </c>
    </row>
    <row r="26" spans="1:13">
      <c r="A26" s="288" t="s">
        <v>212</v>
      </c>
      <c r="B26" s="253">
        <f>'E-InvAT (Cálculos y links)'!C35*0.21</f>
        <v>44.870531917613334</v>
      </c>
      <c r="C26" s="253">
        <f>'E-InvAT (Cálculos y links)'!D35*0.21</f>
        <v>44.615392768079609</v>
      </c>
      <c r="D26" s="253">
        <f>'E-InvAT (Cálculos y links)'!E35*0.21</f>
        <v>44.615392768079609</v>
      </c>
      <c r="E26" s="253">
        <f>'E-InvAT (Cálculos y links)'!F35*0.21</f>
        <v>44.931481360256811</v>
      </c>
      <c r="F26" s="253">
        <f>'E-InvAT (Cálculos y links)'!G35*0.21</f>
        <v>44.931481360256811</v>
      </c>
    </row>
    <row r="27" spans="1:13">
      <c r="A27" s="288" t="s">
        <v>213</v>
      </c>
      <c r="B27" s="253">
        <f>'E-InvAT (Cálculos y links)'!C36*0.21</f>
        <v>161.3235285062525</v>
      </c>
      <c r="C27" s="253">
        <f>'E-InvAT (Cálculos y links)'!D36*0.21</f>
        <v>165.07447865438687</v>
      </c>
      <c r="D27" s="253">
        <f>'E-InvAT (Cálculos y links)'!E36*0.21</f>
        <v>165.07447865438687</v>
      </c>
      <c r="E27" s="253">
        <f>'E-InvAT (Cálculos y links)'!F36*0.21</f>
        <v>165.07447865438687</v>
      </c>
      <c r="F27" s="253">
        <f>'E-InvAT (Cálculos y links)'!G36*0.21</f>
        <v>165.07447865438687</v>
      </c>
      <c r="H27" s="520" t="s">
        <v>554</v>
      </c>
      <c r="I27" s="520"/>
      <c r="J27" s="520"/>
      <c r="K27" s="520"/>
      <c r="L27" s="520"/>
      <c r="M27" s="520"/>
    </row>
    <row r="28" spans="1:13">
      <c r="A28" s="288" t="s">
        <v>214</v>
      </c>
      <c r="B28" s="253" t="s">
        <v>209</v>
      </c>
      <c r="C28" s="253" t="s">
        <v>209</v>
      </c>
      <c r="D28" s="253" t="s">
        <v>209</v>
      </c>
      <c r="E28" s="253" t="s">
        <v>209</v>
      </c>
      <c r="F28" s="253" t="s">
        <v>209</v>
      </c>
      <c r="H28" s="518" t="s">
        <v>241</v>
      </c>
      <c r="I28" s="518"/>
      <c r="J28" s="518"/>
      <c r="K28" s="518"/>
      <c r="L28" s="518"/>
      <c r="M28" s="518"/>
    </row>
    <row r="29" spans="1:13">
      <c r="A29" s="288" t="s">
        <v>267</v>
      </c>
      <c r="B29" s="253">
        <f>SUM(B25:B28)</f>
        <v>1656.4146408169581</v>
      </c>
      <c r="C29" s="253">
        <f>SUM(C25:C28)</f>
        <v>1661.8453240962683</v>
      </c>
      <c r="D29" s="253">
        <f>SUM(D25:D28)</f>
        <v>1661.8453240962683</v>
      </c>
      <c r="E29" s="253">
        <f>SUM(E25:E28)</f>
        <v>1662.1614126884456</v>
      </c>
      <c r="F29" s="253">
        <f>SUM(F25:F28)</f>
        <v>1662.1614126884456</v>
      </c>
      <c r="H29" s="144" t="s">
        <v>201</v>
      </c>
      <c r="I29" s="144" t="s">
        <v>58</v>
      </c>
      <c r="J29" s="144" t="s">
        <v>202</v>
      </c>
      <c r="K29" s="144" t="s">
        <v>203</v>
      </c>
      <c r="L29" s="144" t="s">
        <v>204</v>
      </c>
      <c r="M29" s="144" t="s">
        <v>205</v>
      </c>
    </row>
    <row r="30" spans="1:13">
      <c r="A30" s="288" t="s">
        <v>510</v>
      </c>
      <c r="B30" s="253"/>
      <c r="C30" s="253">
        <f>C29-B29</f>
        <v>5.4306832793101876</v>
      </c>
      <c r="D30" s="253">
        <f>D29-C29</f>
        <v>0</v>
      </c>
      <c r="E30" s="253">
        <f>E29-D29</f>
        <v>0.31608859217726604</v>
      </c>
      <c r="F30" s="253">
        <f>F29-E29</f>
        <v>0</v>
      </c>
      <c r="H30" s="146" t="s">
        <v>212</v>
      </c>
      <c r="I30" s="283">
        <f t="shared" ref="I30:I31" si="5">I21*0.21</f>
        <v>4993.0459624230334</v>
      </c>
      <c r="J30" s="283">
        <f t="shared" ref="J30:J31" si="6">J21*0.21</f>
        <v>5547.8288471367032</v>
      </c>
      <c r="K30" s="283">
        <f t="shared" ref="K30:K31" si="7">K21*0.21</f>
        <v>5547.8288471367032</v>
      </c>
      <c r="L30" s="283">
        <f t="shared" ref="L30:L31" si="8">L21*0.21</f>
        <v>5547.8288471367032</v>
      </c>
      <c r="M30" s="283">
        <f t="shared" ref="M30:M31" si="9">M21*0.21</f>
        <v>5547.8288471367032</v>
      </c>
    </row>
    <row r="31" spans="1:13">
      <c r="H31" s="146" t="s">
        <v>237</v>
      </c>
      <c r="I31" s="283">
        <f t="shared" si="5"/>
        <v>15020.846526167999</v>
      </c>
      <c r="J31" s="283">
        <f t="shared" si="6"/>
        <v>24227.171816400001</v>
      </c>
      <c r="K31" s="283">
        <f t="shared" si="7"/>
        <v>24227.171816400001</v>
      </c>
      <c r="L31" s="283">
        <f t="shared" si="8"/>
        <v>24227.171816400001</v>
      </c>
      <c r="M31" s="283">
        <f t="shared" si="9"/>
        <v>24227.171816400001</v>
      </c>
    </row>
    <row r="32" spans="1:13">
      <c r="A32" s="521" t="s">
        <v>556</v>
      </c>
      <c r="B32" s="521"/>
      <c r="C32" s="521"/>
      <c r="D32" s="521"/>
      <c r="E32" s="521"/>
      <c r="F32" s="521"/>
      <c r="H32" s="146" t="s">
        <v>238</v>
      </c>
      <c r="I32" s="283">
        <f>'E-Costos'!B83</f>
        <v>0</v>
      </c>
      <c r="J32" s="283">
        <f>'E-Costos'!C83</f>
        <v>0</v>
      </c>
      <c r="K32" s="283">
        <f>'E-Costos'!D83</f>
        <v>0</v>
      </c>
      <c r="L32" s="283">
        <f>'E-Costos'!E83</f>
        <v>0</v>
      </c>
      <c r="M32" s="283">
        <f>'E-Costos'!F83</f>
        <v>0</v>
      </c>
    </row>
    <row r="33" spans="1:13">
      <c r="A33" s="61"/>
      <c r="B33" s="287" t="s">
        <v>277</v>
      </c>
      <c r="C33" s="287" t="s">
        <v>507</v>
      </c>
      <c r="D33" s="287" t="s">
        <v>508</v>
      </c>
      <c r="E33" s="287" t="s">
        <v>509</v>
      </c>
      <c r="F33" s="287" t="s">
        <v>278</v>
      </c>
      <c r="H33" s="146" t="s">
        <v>239</v>
      </c>
      <c r="I33" s="283">
        <f>I24*0.21</f>
        <v>24150</v>
      </c>
      <c r="J33" s="283">
        <f>J24*0.21</f>
        <v>24150</v>
      </c>
      <c r="K33" s="283">
        <f>K24*0.21</f>
        <v>24150</v>
      </c>
      <c r="L33" s="283">
        <f>L24*0.21</f>
        <v>24150</v>
      </c>
      <c r="M33" s="283">
        <f>M24*0.21</f>
        <v>24150</v>
      </c>
    </row>
    <row r="34" spans="1:13">
      <c r="A34" s="61" t="s">
        <v>557</v>
      </c>
      <c r="B34" s="61">
        <v>14100</v>
      </c>
      <c r="C34" s="61">
        <v>22600</v>
      </c>
      <c r="D34" s="61">
        <v>22600</v>
      </c>
      <c r="E34" s="61">
        <v>22600</v>
      </c>
      <c r="F34" s="61">
        <v>22600</v>
      </c>
      <c r="H34" s="143" t="s">
        <v>243</v>
      </c>
      <c r="I34" s="283">
        <f>SUM(I30:I33)</f>
        <v>44163.892488591031</v>
      </c>
      <c r="J34" s="283">
        <f>SUM(J30:J33)</f>
        <v>53925.000663536703</v>
      </c>
      <c r="K34" s="283">
        <f>SUM(K30:K33)</f>
        <v>53925.000663536703</v>
      </c>
      <c r="L34" s="283">
        <f>SUM(L30:L33)</f>
        <v>53925.000663536703</v>
      </c>
      <c r="M34" s="283">
        <f>SUM(M30:M33)</f>
        <v>53925.000663536703</v>
      </c>
    </row>
    <row r="35" spans="1:13">
      <c r="A35" s="61" t="s">
        <v>558</v>
      </c>
      <c r="B35" s="61">
        <f>B34*InfoInicial!B20</f>
        <v>14100000</v>
      </c>
      <c r="C35" s="61">
        <f>C34*InfoInicial!$B$20</f>
        <v>22600000</v>
      </c>
      <c r="D35" s="61">
        <f>D34*InfoInicial!$B$20</f>
        <v>22600000</v>
      </c>
      <c r="E35" s="61">
        <f>E34*InfoInicial!$B$20</f>
        <v>22600000</v>
      </c>
      <c r="F35" s="61">
        <f>F34*InfoInicial!$B$20</f>
        <v>22600000</v>
      </c>
    </row>
    <row r="37" spans="1:13">
      <c r="A37" s="522"/>
      <c r="B37" s="522"/>
      <c r="C37" s="522"/>
      <c r="D37" s="522"/>
      <c r="E37" s="522"/>
      <c r="F37" s="522"/>
      <c r="G37" s="154"/>
    </row>
    <row r="38" spans="1:13">
      <c r="A38" s="154"/>
      <c r="B38" s="154"/>
      <c r="C38" s="289"/>
      <c r="D38" s="289"/>
      <c r="E38" s="289"/>
      <c r="F38" s="289"/>
      <c r="G38" s="289"/>
    </row>
    <row r="39" spans="1:13">
      <c r="A39" s="523"/>
      <c r="B39" s="290"/>
      <c r="C39" s="290"/>
      <c r="D39" s="290"/>
      <c r="E39" s="290"/>
      <c r="F39" s="290"/>
      <c r="G39" s="290"/>
    </row>
    <row r="40" spans="1:13">
      <c r="A40" s="523"/>
      <c r="B40" s="154"/>
      <c r="C40" s="154"/>
      <c r="D40" s="154"/>
      <c r="E40" s="154"/>
      <c r="F40" s="154"/>
      <c r="G40" s="154"/>
    </row>
    <row r="41" spans="1:13">
      <c r="A41" s="154"/>
      <c r="B41" s="154"/>
      <c r="C41" s="154"/>
      <c r="D41" s="154"/>
      <c r="E41" s="154"/>
      <c r="F41" s="154"/>
      <c r="G41" s="154"/>
    </row>
  </sheetData>
  <sheetProtection selectLockedCells="1" selectUnlockedCells="1"/>
  <mergeCells count="15">
    <mergeCell ref="A32:F32"/>
    <mergeCell ref="A37:F37"/>
    <mergeCell ref="A39:A40"/>
    <mergeCell ref="A12:F12"/>
    <mergeCell ref="H19:M19"/>
    <mergeCell ref="A22:F22"/>
    <mergeCell ref="A23:F23"/>
    <mergeCell ref="H27:M27"/>
    <mergeCell ref="H28:M28"/>
    <mergeCell ref="A11:F11"/>
    <mergeCell ref="A1:F1"/>
    <mergeCell ref="H1:M1"/>
    <mergeCell ref="A2:F2"/>
    <mergeCell ref="H9:M9"/>
    <mergeCell ref="H10:M10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M21"/>
  <sheetViews>
    <sheetView topLeftCell="B1" zoomScale="85" zoomScaleNormal="85" workbookViewId="0">
      <selection activeCell="F19" sqref="F19"/>
    </sheetView>
  </sheetViews>
  <sheetFormatPr defaultColWidth="11.28515625" defaultRowHeight="12.75"/>
  <cols>
    <col min="1" max="1" width="7.85546875" style="17" customWidth="1"/>
    <col min="2" max="2" width="17.140625" style="17" customWidth="1"/>
    <col min="3" max="3" width="14.7109375" style="17" customWidth="1"/>
    <col min="4" max="4" width="17.140625" style="17" customWidth="1"/>
    <col min="5" max="5" width="15.5703125" style="17" customWidth="1"/>
    <col min="6" max="6" width="17.85546875" style="17" customWidth="1"/>
    <col min="7" max="7" width="17.140625" style="17" customWidth="1"/>
    <col min="8" max="8" width="16.7109375" style="17" customWidth="1"/>
    <col min="9" max="9" width="16" style="17" customWidth="1"/>
    <col min="10" max="10" width="14.7109375" style="17" customWidth="1"/>
    <col min="11" max="11" width="15.5703125" style="17" customWidth="1"/>
    <col min="12" max="12" width="18.28515625" style="17" bestFit="1" customWidth="1"/>
    <col min="13" max="14" width="17.28515625" style="17" customWidth="1"/>
    <col min="15" max="16384" width="11.28515625" style="17"/>
  </cols>
  <sheetData>
    <row r="1" spans="1:13">
      <c r="A1" s="1" t="s">
        <v>0</v>
      </c>
      <c r="B1"/>
      <c r="C1"/>
      <c r="D1"/>
      <c r="G1" s="17">
        <f>InfoInicial!E1</f>
        <v>7</v>
      </c>
      <c r="H1" s="2"/>
    </row>
    <row r="2" spans="1:13" ht="15.75">
      <c r="A2" s="265" t="s">
        <v>559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38.25">
      <c r="A3" s="269" t="s">
        <v>448</v>
      </c>
      <c r="B3" s="258" t="s">
        <v>560</v>
      </c>
      <c r="C3" s="258" t="s">
        <v>561</v>
      </c>
      <c r="D3" s="258" t="s">
        <v>562</v>
      </c>
      <c r="E3" s="258" t="s">
        <v>5</v>
      </c>
      <c r="F3" s="258" t="s">
        <v>563</v>
      </c>
      <c r="G3" s="258" t="s">
        <v>564</v>
      </c>
      <c r="H3" s="258" t="s">
        <v>565</v>
      </c>
      <c r="I3" s="258" t="s">
        <v>210</v>
      </c>
      <c r="J3" s="258" t="s">
        <v>566</v>
      </c>
      <c r="K3" s="258" t="s">
        <v>567</v>
      </c>
      <c r="L3" s="291" t="s">
        <v>568</v>
      </c>
      <c r="M3" s="292" t="s">
        <v>569</v>
      </c>
    </row>
    <row r="4" spans="1:13">
      <c r="A4" s="293">
        <v>0</v>
      </c>
      <c r="B4" s="294">
        <f>'E-Cal Inv.'!B8+'E-Cal Inv.'!C8</f>
        <v>23930153.718550503</v>
      </c>
      <c r="C4" s="79">
        <f>+'E-Cal Inv.'!B18+'E-Cal Inv.'!C18</f>
        <v>511478.52843830048</v>
      </c>
      <c r="D4" s="79">
        <f>+'E-IVA '!B$26</f>
        <v>5085366.7718676487</v>
      </c>
      <c r="E4" s="79">
        <v>0</v>
      </c>
      <c r="G4" s="79">
        <f t="shared" ref="G4:G9" si="0">+SUM(B4:F4)</f>
        <v>29526999.018856451</v>
      </c>
      <c r="H4" s="79">
        <v>0</v>
      </c>
      <c r="I4" s="79">
        <v>0</v>
      </c>
      <c r="J4" s="79">
        <v>0</v>
      </c>
      <c r="K4" s="79">
        <v>0</v>
      </c>
      <c r="L4" s="295">
        <f t="shared" ref="L4:L9" si="1">+K4-G4</f>
        <v>-29526999.018856451</v>
      </c>
      <c r="M4" s="80">
        <f>+L4</f>
        <v>-29526999.018856451</v>
      </c>
    </row>
    <row r="5" spans="1:13">
      <c r="A5" s="296">
        <v>1</v>
      </c>
      <c r="B5" s="273">
        <f>+'E-Cal Inv.'!D8</f>
        <v>160950</v>
      </c>
      <c r="C5" s="81">
        <f>+'E-Cal Inv.'!D18</f>
        <v>2619239.7427119436</v>
      </c>
      <c r="D5" s="79">
        <f>+'E-IVA '!C$26</f>
        <v>406930.64229374437</v>
      </c>
      <c r="E5" s="81">
        <f>+'E-Costos'!B$118</f>
        <v>289615.88132436975</v>
      </c>
      <c r="F5" s="79">
        <f>IF(+(H5-E5)*InfoInicial!$B$4&gt;0,+(H5-E5)*InfoInicial!$B$4,0)</f>
        <v>1741644.5954188237</v>
      </c>
      <c r="G5" s="79">
        <f t="shared" si="0"/>
        <v>5218380.8617488816</v>
      </c>
      <c r="H5" s="81">
        <f>+'E-Costos'!B$117</f>
        <v>5265743.2968067229</v>
      </c>
      <c r="I5" s="81">
        <f>+'E-Inv AF y Am'!$D$56</f>
        <v>1403742.5279601</v>
      </c>
      <c r="J5" s="81">
        <f>+'E-IVA '!C$28</f>
        <v>2357987.4074170184</v>
      </c>
      <c r="K5" s="81">
        <f t="shared" ref="K5:K9" si="2">+SUM(H5:J5)</f>
        <v>9027473.232183842</v>
      </c>
      <c r="L5" s="295">
        <f t="shared" si="1"/>
        <v>3809092.3704349604</v>
      </c>
      <c r="M5" s="82">
        <f t="shared" ref="M5:M9" si="3">+M4+L5</f>
        <v>-25717906.648421489</v>
      </c>
    </row>
    <row r="6" spans="1:13">
      <c r="A6" s="296">
        <v>2</v>
      </c>
      <c r="B6" s="273">
        <f>+'E-Cal Inv.'!E8</f>
        <v>0</v>
      </c>
      <c r="C6" s="81">
        <f>+'E-Cal Inv.'!E18</f>
        <v>1219454.022494907</v>
      </c>
      <c r="D6" s="79">
        <f>+'E-IVA '!D$26</f>
        <v>283717.90815251617</v>
      </c>
      <c r="E6" s="81">
        <f>+'E-Costos'!C$118</f>
        <v>628771.50439276593</v>
      </c>
      <c r="F6" s="79">
        <f>IF(+(H6-E6)*InfoInicial!$B$4&gt;0,+(H6-E6)*InfoInicial!$B$4,0)</f>
        <v>3781203.183234679</v>
      </c>
      <c r="G6" s="79">
        <f t="shared" si="0"/>
        <v>5913146.6182748675</v>
      </c>
      <c r="H6" s="81">
        <f>+'E-Costos'!C$117</f>
        <v>11432209.170777563</v>
      </c>
      <c r="I6" s="81">
        <f>+'E-Inv AF y Am'!$D$56</f>
        <v>1403742.5279601</v>
      </c>
      <c r="J6" s="81">
        <f>+'E-IVA '!D$28</f>
        <v>3418027.914896891</v>
      </c>
      <c r="K6" s="81">
        <f t="shared" si="2"/>
        <v>16253979.613634553</v>
      </c>
      <c r="L6" s="295">
        <f t="shared" si="1"/>
        <v>10340832.995359685</v>
      </c>
      <c r="M6" s="82">
        <f t="shared" si="3"/>
        <v>-15377073.653061803</v>
      </c>
    </row>
    <row r="7" spans="1:13">
      <c r="A7" s="296">
        <v>3</v>
      </c>
      <c r="B7" s="273">
        <f>+'E-Cal Inv.'!F8</f>
        <v>0</v>
      </c>
      <c r="C7" s="81">
        <f>+'E-Cal Inv.'!F18</f>
        <v>-607.9924152350286</v>
      </c>
      <c r="D7" s="79">
        <f>+'E-IVA '!E$26</f>
        <v>0</v>
      </c>
      <c r="E7" s="81">
        <f>+'E-Costos'!D$118</f>
        <v>629460.74557663687</v>
      </c>
      <c r="F7" s="79">
        <f>IF(+(H7-E7)*InfoInicial!$B$4&gt;0,+(H7-E7)*InfoInicial!$B$4,0)</f>
        <v>3785348.0290813204</v>
      </c>
      <c r="G7" s="79">
        <f t="shared" si="0"/>
        <v>4414200.7822427219</v>
      </c>
      <c r="H7" s="81">
        <f>+'E-Costos'!D$117</f>
        <v>11444740.828666124</v>
      </c>
      <c r="I7" s="81">
        <f>+'E-Inv AF y Am'!$D$56</f>
        <v>1403742.5279601</v>
      </c>
      <c r="J7" s="81">
        <f>+'E-IVA '!E$28</f>
        <v>0</v>
      </c>
      <c r="K7" s="81">
        <f t="shared" si="2"/>
        <v>12848483.356626224</v>
      </c>
      <c r="L7" s="295">
        <f t="shared" si="1"/>
        <v>8434282.574383501</v>
      </c>
      <c r="M7" s="82">
        <f t="shared" si="3"/>
        <v>-6942791.0786783025</v>
      </c>
    </row>
    <row r="8" spans="1:13">
      <c r="A8" s="296">
        <v>4</v>
      </c>
      <c r="B8" s="273">
        <f>+'E-Cal Inv.'!G8</f>
        <v>0</v>
      </c>
      <c r="C8" s="81">
        <f>+'E-Cal Inv.'!G18</f>
        <v>1846.1909723478893</v>
      </c>
      <c r="D8" s="79">
        <f>+'E-IVA '!F$26</f>
        <v>78.272326859999737</v>
      </c>
      <c r="E8" s="81">
        <f>+'E-Costos'!E$118</f>
        <v>631739.54433467751</v>
      </c>
      <c r="F8" s="79">
        <f>IF(+(H8-E8)*InfoInicial!$B$4&gt;0,+(H8-E8)*InfoInicial!$B$4,0)</f>
        <v>3799051.8961580829</v>
      </c>
      <c r="G8" s="79">
        <f t="shared" si="0"/>
        <v>4432715.9037919678</v>
      </c>
      <c r="H8" s="81">
        <f>+'E-Costos'!E$117</f>
        <v>11486173.533357773</v>
      </c>
      <c r="I8" s="81">
        <f>+'E-Inv AF y Am'!$E$56</f>
        <v>1361161.8779601001</v>
      </c>
      <c r="J8" s="81">
        <f>+'E-IVA '!F$28</f>
        <v>78.272326859999737</v>
      </c>
      <c r="K8" s="81">
        <f t="shared" si="2"/>
        <v>12847413.683644734</v>
      </c>
      <c r="L8" s="295">
        <f t="shared" si="1"/>
        <v>8414697.7798527665</v>
      </c>
      <c r="M8" s="82">
        <f t="shared" si="3"/>
        <v>1471906.7011744641</v>
      </c>
    </row>
    <row r="9" spans="1:13">
      <c r="A9" s="296">
        <v>5</v>
      </c>
      <c r="B9" s="273">
        <f>-'E-Inv AF y Am'!G56</f>
        <v>-17157552.37875</v>
      </c>
      <c r="C9" s="81">
        <f>-'E-Cal Inv.'!I18+'E-Cal Inv.'!H18</f>
        <v>-4351410.4922022633</v>
      </c>
      <c r="D9" s="79">
        <f>+'E-IVA '!G$26</f>
        <v>0</v>
      </c>
      <c r="E9" s="81">
        <f>+'E-Costos'!F$118</f>
        <v>631761.69682725973</v>
      </c>
      <c r="F9" s="79">
        <f>IF(+(H9-E9)*InfoInicial!$B$4&gt;0,+(H9-E9)*InfoInicial!$B$4,0)</f>
        <v>3799185.1131930212</v>
      </c>
      <c r="G9" s="79">
        <f t="shared" si="0"/>
        <v>-17078016.060931984</v>
      </c>
      <c r="H9" s="81">
        <f>+'E-Costos'!F$117</f>
        <v>11486576.305950178</v>
      </c>
      <c r="I9" s="81">
        <f>+'E-Inv AF y Am'!$E$56</f>
        <v>1361161.8779601001</v>
      </c>
      <c r="J9" s="81">
        <f>+'E-IVA '!G$28</f>
        <v>0</v>
      </c>
      <c r="K9" s="81">
        <f t="shared" si="2"/>
        <v>12847738.183910279</v>
      </c>
      <c r="L9" s="295">
        <f t="shared" si="1"/>
        <v>29925754.244842261</v>
      </c>
      <c r="M9" s="82">
        <f t="shared" si="3"/>
        <v>31397660.946016725</v>
      </c>
    </row>
    <row r="10" spans="1:13">
      <c r="A10" s="296"/>
      <c r="B10" s="278"/>
      <c r="C10" s="107"/>
      <c r="D10" s="107"/>
      <c r="E10" s="107"/>
      <c r="F10" s="107"/>
      <c r="G10" s="107"/>
      <c r="H10" s="107"/>
      <c r="I10" s="107"/>
      <c r="J10" s="107"/>
      <c r="K10" s="107"/>
      <c r="L10" s="263"/>
      <c r="M10" s="115"/>
    </row>
    <row r="11" spans="1:13">
      <c r="A11" s="297" t="s">
        <v>570</v>
      </c>
      <c r="B11" s="282">
        <f>+SUM(B4:B9)</f>
        <v>6933551.3398005031</v>
      </c>
      <c r="C11" s="96">
        <f>SUM(C4:C9)</f>
        <v>0</v>
      </c>
      <c r="D11" s="96">
        <f>+SUM(D4:D9)</f>
        <v>5776093.5946407691</v>
      </c>
      <c r="E11" s="96">
        <f>+SUM(E5:E9)</f>
        <v>2811349.3724557096</v>
      </c>
      <c r="F11" s="96">
        <f>+SUM(F5:F9)</f>
        <v>16906432.817085925</v>
      </c>
      <c r="G11" s="96">
        <f>+SUM(G4:G9)</f>
        <v>32427427.123982903</v>
      </c>
      <c r="H11" s="96">
        <f>+SUM(H5:H9)</f>
        <v>51115443.135558367</v>
      </c>
      <c r="I11" s="96">
        <f>+SUM(I5:I9)</f>
        <v>6933551.3398004994</v>
      </c>
      <c r="J11" s="96">
        <f>+SUM(J5:J9)</f>
        <v>5776093.5946407691</v>
      </c>
      <c r="K11" s="96">
        <f>+SUM(K5:K9)</f>
        <v>63825088.069999628</v>
      </c>
      <c r="L11" s="298">
        <f>+SUM(L4:L9)</f>
        <v>31397660.946016725</v>
      </c>
      <c r="M11" s="264"/>
    </row>
    <row r="13" spans="1:13">
      <c r="C13" s="299" t="s">
        <v>571</v>
      </c>
      <c r="D13" s="300">
        <f>+M9</f>
        <v>31397660.946016725</v>
      </c>
      <c r="H13" s="301"/>
    </row>
    <row r="14" spans="1:13">
      <c r="A14" s="98"/>
      <c r="C14" s="299" t="s">
        <v>572</v>
      </c>
      <c r="D14" s="302">
        <f>A8-M8/L9</f>
        <v>3.9508147166774199</v>
      </c>
      <c r="E14" s="17" t="s">
        <v>573</v>
      </c>
    </row>
    <row r="15" spans="1:13">
      <c r="C15" s="299" t="s">
        <v>574</v>
      </c>
      <c r="D15" s="303">
        <f>IRR(L4:L9)</f>
        <v>0.22070455285805624</v>
      </c>
    </row>
    <row r="16" spans="1:13">
      <c r="L16" s="525" t="s">
        <v>575</v>
      </c>
      <c r="M16" s="525"/>
    </row>
    <row r="17" spans="6:13">
      <c r="J17" s="304"/>
      <c r="L17" s="525" t="s">
        <v>576</v>
      </c>
      <c r="M17" s="525"/>
    </row>
    <row r="18" spans="6:13">
      <c r="L18" s="305" t="s">
        <v>210</v>
      </c>
      <c r="M18" s="306" t="str">
        <f>IF(B11=I11,"OK","MAL")</f>
        <v>OK</v>
      </c>
    </row>
    <row r="19" spans="6:13">
      <c r="F19" s="472"/>
      <c r="L19" s="305" t="s">
        <v>577</v>
      </c>
      <c r="M19" s="306" t="str">
        <f>IF(D11=J11,"OK","MAL")</f>
        <v>OK</v>
      </c>
    </row>
    <row r="20" spans="6:13">
      <c r="H20" s="307"/>
      <c r="L20" s="305" t="s">
        <v>578</v>
      </c>
      <c r="M20" s="306" t="str">
        <f>IF(C11=0,"OK","MAL")</f>
        <v>OK</v>
      </c>
    </row>
    <row r="21" spans="6:13">
      <c r="L21" s="305" t="s">
        <v>579</v>
      </c>
      <c r="M21" s="306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0"/>
    <pageSetUpPr fitToPage="1"/>
  </sheetPr>
  <dimension ref="A1:V44"/>
  <sheetViews>
    <sheetView tabSelected="1" topLeftCell="A4" zoomScale="85" zoomScaleNormal="85" workbookViewId="0">
      <selection activeCell="C25" sqref="C25"/>
    </sheetView>
  </sheetViews>
  <sheetFormatPr defaultColWidth="11.28515625" defaultRowHeight="12.75"/>
  <cols>
    <col min="1" max="1" width="27.140625" style="17" customWidth="1"/>
    <col min="2" max="2" width="16" style="17" customWidth="1"/>
    <col min="3" max="3" width="16.7109375" style="17" customWidth="1"/>
    <col min="4" max="4" width="17.42578125" style="17" bestFit="1" customWidth="1"/>
    <col min="5" max="5" width="16.7109375" style="17" customWidth="1"/>
    <col min="6" max="6" width="16" style="17" customWidth="1"/>
    <col min="7" max="7" width="17.42578125" style="17" bestFit="1" customWidth="1"/>
    <col min="8" max="9" width="15" style="17" customWidth="1"/>
    <col min="10" max="10" width="11.28515625" style="17" customWidth="1"/>
    <col min="11" max="11" width="12.140625" style="17" customWidth="1"/>
    <col min="12" max="12" width="13.42578125" style="17" customWidth="1"/>
    <col min="13" max="14" width="11.28515625" style="17" customWidth="1"/>
    <col min="15" max="15" width="26.140625" style="17" customWidth="1"/>
    <col min="16" max="16" width="15.7109375" style="17" customWidth="1"/>
    <col min="17" max="17" width="14.85546875" style="17" customWidth="1"/>
    <col min="18" max="18" width="12" style="17" customWidth="1"/>
    <col min="19" max="19" width="12.7109375" style="17" customWidth="1"/>
    <col min="20" max="20" width="11.28515625" style="17" customWidth="1"/>
    <col min="21" max="21" width="13.28515625" style="17" customWidth="1"/>
    <col min="22" max="22" width="41.85546875" style="17" customWidth="1"/>
    <col min="23" max="16384" width="11.28515625" style="17"/>
  </cols>
  <sheetData>
    <row r="1" spans="1:22">
      <c r="A1" s="1" t="s">
        <v>0</v>
      </c>
      <c r="B1"/>
      <c r="C1"/>
      <c r="D1"/>
      <c r="F1" s="308">
        <f>InfoInicial!E1</f>
        <v>7</v>
      </c>
      <c r="G1" s="2"/>
    </row>
    <row r="2" spans="1:22" ht="15.75">
      <c r="A2" s="309" t="s">
        <v>580</v>
      </c>
      <c r="B2" s="310"/>
      <c r="C2" s="310"/>
      <c r="D2" s="310"/>
      <c r="E2" s="310"/>
      <c r="F2" s="310"/>
      <c r="G2" s="311"/>
      <c r="O2" s="312" t="s">
        <v>581</v>
      </c>
      <c r="P2" s="313"/>
      <c r="Q2" s="313"/>
      <c r="R2" s="313"/>
      <c r="S2" s="313"/>
    </row>
    <row r="3" spans="1:22" ht="13.5" thickBot="1">
      <c r="A3" s="76" t="s">
        <v>201</v>
      </c>
      <c r="B3" s="526" t="s">
        <v>582</v>
      </c>
      <c r="C3" s="526"/>
      <c r="D3" s="526" t="s">
        <v>583</v>
      </c>
      <c r="E3" s="526"/>
      <c r="F3" s="527" t="s">
        <v>584</v>
      </c>
      <c r="G3" s="527"/>
      <c r="H3" s="493"/>
      <c r="I3" s="98"/>
      <c r="O3" s="313"/>
      <c r="P3" s="313"/>
      <c r="Q3" s="313"/>
      <c r="R3" s="313"/>
      <c r="S3" s="313"/>
    </row>
    <row r="4" spans="1:22">
      <c r="A4" s="76" t="s">
        <v>84</v>
      </c>
      <c r="B4" s="314" t="s">
        <v>585</v>
      </c>
      <c r="C4" s="314" t="s">
        <v>365</v>
      </c>
      <c r="D4" s="314" t="s">
        <v>585</v>
      </c>
      <c r="E4" s="314" t="s">
        <v>365</v>
      </c>
      <c r="F4" s="314" t="s">
        <v>585</v>
      </c>
      <c r="G4" s="315" t="s">
        <v>365</v>
      </c>
      <c r="H4" s="316"/>
      <c r="I4" s="317"/>
      <c r="J4" s="316"/>
      <c r="K4" s="318"/>
      <c r="O4" s="483" t="s">
        <v>586</v>
      </c>
      <c r="P4" s="484" t="s">
        <v>587</v>
      </c>
      <c r="Q4" s="484" t="s">
        <v>588</v>
      </c>
      <c r="R4" s="484" t="s">
        <v>589</v>
      </c>
      <c r="S4" s="485" t="s">
        <v>590</v>
      </c>
      <c r="U4" s="319" t="s">
        <v>591</v>
      </c>
      <c r="V4" s="319" t="s">
        <v>592</v>
      </c>
    </row>
    <row r="5" spans="1:22">
      <c r="A5" s="30" t="s">
        <v>593</v>
      </c>
      <c r="B5" s="81">
        <f>+SUM('E-Cal Inv.'!B8:D8)</f>
        <v>24091103.718550503</v>
      </c>
      <c r="C5" s="108">
        <f t="shared" ref="C5:C8" si="0">+B5/$B$8</f>
        <v>0.73641302769428585</v>
      </c>
      <c r="D5" s="81">
        <f>+InfoInicial!B37*'E-Inv AF y Am'!B8</f>
        <v>2290800</v>
      </c>
      <c r="E5" s="494">
        <f t="shared" ref="E5:E7" si="1">(D5*C5)/B5</f>
        <v>7.0024810135331184E-2</v>
      </c>
      <c r="F5" s="81">
        <f t="shared" ref="F5:F7" si="2">+B5-D5</f>
        <v>21800303.718550503</v>
      </c>
      <c r="G5" s="320">
        <f>+F5/B8</f>
        <v>0.66638821755895461</v>
      </c>
      <c r="O5" s="486">
        <v>1</v>
      </c>
      <c r="P5" s="481">
        <f>'E-Costos'!$D$7/12</f>
        <v>285405.89148461539</v>
      </c>
      <c r="Q5" s="481">
        <f>P5*InfoInicial!$B$40</f>
        <v>114162.35659384617</v>
      </c>
      <c r="R5" s="482">
        <v>2</v>
      </c>
      <c r="S5" s="487">
        <f>(InfoInicial!$B$41/12)*'F-Cred'!Q5</f>
        <v>1427.029457423077</v>
      </c>
      <c r="U5" s="17" t="s">
        <v>594</v>
      </c>
      <c r="V5" s="114">
        <f>B5</f>
        <v>24091103.718550503</v>
      </c>
    </row>
    <row r="6" spans="1:22">
      <c r="A6" s="28" t="s">
        <v>595</v>
      </c>
      <c r="B6" s="81">
        <f>+SUM('E-Cal Inv.'!B18:D18)</f>
        <v>3130718.2711502439</v>
      </c>
      <c r="C6" s="108">
        <f t="shared" si="0"/>
        <v>9.5699298290775323E-2</v>
      </c>
      <c r="D6" s="81">
        <f>P19</f>
        <v>114162.35659384618</v>
      </c>
      <c r="E6" s="495">
        <f t="shared" si="1"/>
        <v>3.4896967631770793E-3</v>
      </c>
      <c r="F6" s="81">
        <f t="shared" si="2"/>
        <v>3016555.9145563976</v>
      </c>
      <c r="G6" s="320">
        <f>+F6/B8</f>
        <v>9.2209601527598231E-2</v>
      </c>
      <c r="O6" s="486">
        <v>2</v>
      </c>
      <c r="P6" s="481">
        <f>'E-Costos'!$D$7/12</f>
        <v>285405.89148461539</v>
      </c>
      <c r="Q6" s="481">
        <f>P6*InfoInicial!$B$40</f>
        <v>114162.35659384617</v>
      </c>
      <c r="R6" s="482">
        <v>3</v>
      </c>
      <c r="S6" s="487">
        <f>(InfoInicial!$B$41/12)*'F-Cred'!Q6</f>
        <v>1427.029457423077</v>
      </c>
    </row>
    <row r="7" spans="1:22">
      <c r="A7" s="28" t="s">
        <v>596</v>
      </c>
      <c r="B7" s="81">
        <f>+SUM('E-Cal Inv.'!B23:D23)</f>
        <v>5492297.4141613934</v>
      </c>
      <c r="C7" s="108">
        <f t="shared" si="0"/>
        <v>0.16788767401493887</v>
      </c>
      <c r="D7" s="81">
        <v>0</v>
      </c>
      <c r="E7" s="108">
        <f t="shared" si="1"/>
        <v>0</v>
      </c>
      <c r="F7" s="81">
        <f t="shared" si="2"/>
        <v>5492297.4141613934</v>
      </c>
      <c r="G7" s="320">
        <f>+F7/B8</f>
        <v>0.16788767401493887</v>
      </c>
      <c r="O7" s="486">
        <v>3</v>
      </c>
      <c r="P7" s="481">
        <f>'E-Costos'!$D$7/12</f>
        <v>285405.89148461539</v>
      </c>
      <c r="Q7" s="481">
        <f>P7*InfoInicial!$B$40</f>
        <v>114162.35659384617</v>
      </c>
      <c r="R7" s="482">
        <v>4</v>
      </c>
      <c r="S7" s="487">
        <f>(InfoInicial!$B$41/12)*'F-Cred'!Q7</f>
        <v>1427.029457423077</v>
      </c>
    </row>
    <row r="8" spans="1:22" ht="13.5" thickBot="1">
      <c r="A8" s="36" t="s">
        <v>514</v>
      </c>
      <c r="B8" s="322">
        <f>+SUM(B5:B7)</f>
        <v>32714119.403862141</v>
      </c>
      <c r="C8" s="108">
        <f t="shared" si="0"/>
        <v>1</v>
      </c>
      <c r="D8" s="81">
        <f>SUM(D5:D7)</f>
        <v>2404962.3565938463</v>
      </c>
      <c r="E8" s="494">
        <f>+D8*C8/B8</f>
        <v>7.3514506898508261E-2</v>
      </c>
      <c r="F8" s="322">
        <f>+SUM(F5:F7)</f>
        <v>30309157.047268294</v>
      </c>
      <c r="G8" s="320">
        <f>+F8/B8</f>
        <v>0.92648549310149175</v>
      </c>
      <c r="O8" s="486">
        <v>4</v>
      </c>
      <c r="P8" s="481">
        <f>'E-Costos'!$D$7/12</f>
        <v>285405.89148461539</v>
      </c>
      <c r="Q8" s="481">
        <f>P8*InfoInicial!$B$40</f>
        <v>114162.35659384617</v>
      </c>
      <c r="R8" s="482">
        <v>5</v>
      </c>
      <c r="S8" s="487">
        <f>(InfoInicial!$B$41/12)*'F-Cred'!Q8</f>
        <v>1427.029457423077</v>
      </c>
    </row>
    <row r="9" spans="1:22" ht="14.25" thickTop="1" thickBot="1">
      <c r="A9" s="98"/>
      <c r="B9" s="57"/>
      <c r="C9" s="323"/>
      <c r="D9" s="57"/>
      <c r="E9" s="57"/>
      <c r="F9" s="57"/>
      <c r="G9" s="57"/>
      <c r="O9" s="486">
        <v>5</v>
      </c>
      <c r="P9" s="481">
        <f>'E-Costos'!$D$7/12</f>
        <v>285405.89148461539</v>
      </c>
      <c r="Q9" s="481">
        <f>P9*InfoInicial!$B$40</f>
        <v>114162.35659384617</v>
      </c>
      <c r="R9" s="482">
        <v>6</v>
      </c>
      <c r="S9" s="487">
        <f>(InfoInicial!$B$41/12)*'F-Cred'!Q9</f>
        <v>1427.029457423077</v>
      </c>
    </row>
    <row r="10" spans="1:22" ht="16.5" thickTop="1">
      <c r="A10" s="324" t="s">
        <v>597</v>
      </c>
      <c r="B10" s="325"/>
      <c r="C10" s="325"/>
      <c r="D10" s="325"/>
      <c r="E10" s="325"/>
      <c r="F10" s="325"/>
      <c r="G10" s="325"/>
      <c r="H10" s="325"/>
      <c r="I10" s="326"/>
      <c r="O10" s="486">
        <v>6</v>
      </c>
      <c r="P10" s="481">
        <f>'E-Costos'!$D$7/12</f>
        <v>285405.89148461539</v>
      </c>
      <c r="Q10" s="481">
        <f>P10*InfoInicial!$B$40</f>
        <v>114162.35659384617</v>
      </c>
      <c r="R10" s="482">
        <v>7</v>
      </c>
      <c r="S10" s="487">
        <f>(InfoInicial!$B$41/12)*'F-Cred'!Q10</f>
        <v>1427.029457423077</v>
      </c>
    </row>
    <row r="11" spans="1:22">
      <c r="A11" s="327" t="s">
        <v>598</v>
      </c>
      <c r="B11" s="328" t="s">
        <v>599</v>
      </c>
      <c r="C11" s="328" t="s">
        <v>600</v>
      </c>
      <c r="D11" s="328" t="s">
        <v>601</v>
      </c>
      <c r="E11" s="328" t="s">
        <v>600</v>
      </c>
      <c r="F11" s="328" t="s">
        <v>602</v>
      </c>
      <c r="G11" s="328" t="s">
        <v>601</v>
      </c>
      <c r="H11" s="328"/>
      <c r="I11" s="329" t="s">
        <v>603</v>
      </c>
      <c r="O11" s="486">
        <v>7</v>
      </c>
      <c r="P11" s="481">
        <f>'E-Costos'!$D$7/12</f>
        <v>285405.89148461539</v>
      </c>
      <c r="Q11" s="481">
        <f>P11*InfoInicial!$B$40</f>
        <v>114162.35659384617</v>
      </c>
      <c r="R11" s="482">
        <v>8</v>
      </c>
      <c r="S11" s="487">
        <f>(InfoInicial!$B$41/12)*'F-Cred'!Q11</f>
        <v>1427.029457423077</v>
      </c>
    </row>
    <row r="12" spans="1:22" ht="13.5" thickBot="1">
      <c r="A12" s="330"/>
      <c r="B12" s="331"/>
      <c r="C12" s="331" t="s">
        <v>604</v>
      </c>
      <c r="D12" s="331" t="s">
        <v>604</v>
      </c>
      <c r="E12" s="331" t="s">
        <v>43</v>
      </c>
      <c r="F12" s="331" t="s">
        <v>605</v>
      </c>
      <c r="G12" s="331" t="s">
        <v>43</v>
      </c>
      <c r="H12" s="331" t="s">
        <v>606</v>
      </c>
      <c r="I12" s="332" t="s">
        <v>607</v>
      </c>
      <c r="O12" s="486">
        <v>8</v>
      </c>
      <c r="P12" s="481">
        <f>'E-Costos'!$D$7/12</f>
        <v>285405.89148461539</v>
      </c>
      <c r="Q12" s="481">
        <f>P12*InfoInicial!$B$40</f>
        <v>114162.35659384617</v>
      </c>
      <c r="R12" s="482">
        <v>9</v>
      </c>
      <c r="S12" s="487">
        <f>(InfoInicial!$B$41/12)*'F-Cred'!Q12</f>
        <v>1427.029457423077</v>
      </c>
    </row>
    <row r="13" spans="1:22" ht="13.5" thickTop="1">
      <c r="A13" s="333" t="s">
        <v>608</v>
      </c>
      <c r="B13" s="106">
        <f>D5/3</f>
        <v>763600</v>
      </c>
      <c r="C13" s="106"/>
      <c r="D13" s="106"/>
      <c r="E13" s="106"/>
      <c r="F13" s="334"/>
      <c r="G13" s="106"/>
      <c r="H13" s="335"/>
      <c r="I13" s="336">
        <f>B13*P20</f>
        <v>15272</v>
      </c>
      <c r="O13" s="486">
        <v>9</v>
      </c>
      <c r="P13" s="481">
        <f>'E-Costos'!$D$7/12</f>
        <v>285405.89148461539</v>
      </c>
      <c r="Q13" s="481">
        <f>P13*InfoInicial!$B$40</f>
        <v>114162.35659384617</v>
      </c>
      <c r="R13" s="482">
        <v>10</v>
      </c>
      <c r="S13" s="487">
        <f>(InfoInicial!$B$41/12)*'F-Cred'!Q13</f>
        <v>1427.029457423077</v>
      </c>
    </row>
    <row r="14" spans="1:22">
      <c r="A14" s="337" t="s">
        <v>609</v>
      </c>
      <c r="B14" s="81">
        <f>D5*2/3</f>
        <v>1527200</v>
      </c>
      <c r="C14" s="81"/>
      <c r="D14" s="81">
        <f>B14*InfoInicial!B35/12*3</f>
        <v>64906.000000000007</v>
      </c>
      <c r="E14" s="81"/>
      <c r="F14" s="29"/>
      <c r="G14" s="81"/>
      <c r="H14" s="122"/>
      <c r="I14" s="82">
        <f>B13*P20</f>
        <v>15272</v>
      </c>
      <c r="O14" s="486">
        <v>10</v>
      </c>
      <c r="P14" s="481">
        <f>'E-Costos'!$D$7/12</f>
        <v>285405.89148461539</v>
      </c>
      <c r="Q14" s="481">
        <f>P14*InfoInicial!$B$40</f>
        <v>114162.35659384617</v>
      </c>
      <c r="R14" s="482">
        <v>11</v>
      </c>
      <c r="S14" s="487">
        <f>(InfoInicial!$B$41/12)*'F-Cred'!Q14</f>
        <v>1427.029457423077</v>
      </c>
    </row>
    <row r="15" spans="1:22">
      <c r="A15" s="337" t="s">
        <v>610</v>
      </c>
      <c r="B15" s="81">
        <f>D5</f>
        <v>2290800</v>
      </c>
      <c r="C15" s="81"/>
      <c r="D15" s="81">
        <f>B15*InfoInicial!B35/12*3</f>
        <v>97359</v>
      </c>
      <c r="E15" s="81"/>
      <c r="F15" s="29"/>
      <c r="G15" s="81"/>
      <c r="H15" s="122"/>
      <c r="I15" s="82">
        <f>B13*P20</f>
        <v>15272</v>
      </c>
      <c r="O15" s="486">
        <v>11</v>
      </c>
      <c r="P15" s="481">
        <f>'E-Costos'!$D$7/12</f>
        <v>285405.89148461539</v>
      </c>
      <c r="Q15" s="481">
        <f>P15*InfoInicial!$B$40</f>
        <v>114162.35659384617</v>
      </c>
      <c r="R15" s="482">
        <v>12</v>
      </c>
      <c r="S15" s="487">
        <f>(InfoInicial!$B$41/12)*'F-Cred'!Q15</f>
        <v>1427.029457423077</v>
      </c>
    </row>
    <row r="16" spans="1:22">
      <c r="A16" s="337" t="s">
        <v>611</v>
      </c>
      <c r="B16" s="81">
        <f>D5</f>
        <v>2290800</v>
      </c>
      <c r="C16" s="81"/>
      <c r="D16" s="81">
        <f>B16*InfoInicial!B35/12*2</f>
        <v>64906</v>
      </c>
      <c r="E16" s="81"/>
      <c r="F16" s="29"/>
      <c r="G16" s="81"/>
      <c r="H16" s="122"/>
      <c r="I16" s="82"/>
      <c r="O16" s="486">
        <v>12</v>
      </c>
      <c r="P16" s="481">
        <f>'E-Costos'!$D$7/12</f>
        <v>285405.89148461539</v>
      </c>
      <c r="Q16" s="481">
        <f>P16*InfoInicial!$B$40</f>
        <v>114162.35659384617</v>
      </c>
      <c r="R16" s="482">
        <v>1</v>
      </c>
      <c r="S16" s="487">
        <f>(InfoInicial!$B$41/12)*'F-Cred'!Q16</f>
        <v>1427.029457423077</v>
      </c>
    </row>
    <row r="17" spans="1:19" ht="13.5" thickBot="1">
      <c r="A17" s="338"/>
      <c r="B17" s="81"/>
      <c r="C17" s="81"/>
      <c r="D17" s="81"/>
      <c r="E17" s="81"/>
      <c r="F17" s="29"/>
      <c r="G17" s="81"/>
      <c r="H17" s="122"/>
      <c r="I17" s="82"/>
      <c r="O17" s="488" t="s">
        <v>390</v>
      </c>
      <c r="P17" s="492">
        <f>+SUM(P5:P16)</f>
        <v>3424870.6978153847</v>
      </c>
      <c r="Q17" s="490">
        <f>SUM(Q5:Q16)</f>
        <v>1369948.2791261536</v>
      </c>
      <c r="R17" s="489"/>
      <c r="S17" s="491">
        <f>SUM(S5:S16)</f>
        <v>17124.353489076926</v>
      </c>
    </row>
    <row r="18" spans="1:19">
      <c r="A18" s="338"/>
      <c r="B18" s="81"/>
      <c r="C18" s="81"/>
      <c r="D18" s="81"/>
      <c r="E18" s="81"/>
      <c r="F18" s="29"/>
      <c r="G18" s="81"/>
      <c r="H18" s="122"/>
      <c r="I18" s="82"/>
    </row>
    <row r="19" spans="1:19">
      <c r="A19" s="338"/>
      <c r="B19" s="81"/>
      <c r="C19" s="81"/>
      <c r="D19" s="81"/>
      <c r="E19" s="81"/>
      <c r="F19" s="29"/>
      <c r="G19" s="81"/>
      <c r="H19" s="122"/>
      <c r="I19" s="82"/>
      <c r="O19" s="17" t="s">
        <v>612</v>
      </c>
      <c r="P19" s="339">
        <f>S17/InfoInicial!B41</f>
        <v>114162.35659384618</v>
      </c>
    </row>
    <row r="20" spans="1:19">
      <c r="A20" s="340"/>
      <c r="B20" s="341"/>
      <c r="C20" s="341"/>
      <c r="D20" s="341"/>
      <c r="E20" s="341"/>
      <c r="F20" s="342"/>
      <c r="G20" s="341"/>
      <c r="H20" s="343"/>
      <c r="I20" s="97"/>
      <c r="J20" s="528" t="s">
        <v>613</v>
      </c>
      <c r="K20" s="528"/>
      <c r="L20" s="307">
        <f>D21+I21</f>
        <v>272987</v>
      </c>
      <c r="O20" s="17" t="s">
        <v>614</v>
      </c>
      <c r="P20" s="344">
        <v>0.02</v>
      </c>
    </row>
    <row r="21" spans="1:19">
      <c r="A21" s="345" t="s">
        <v>615</v>
      </c>
      <c r="B21" s="346"/>
      <c r="C21" s="346"/>
      <c r="D21" s="347">
        <f>SUM(D14:D16)</f>
        <v>227171</v>
      </c>
      <c r="E21" s="348"/>
      <c r="F21" s="339"/>
      <c r="G21" s="347"/>
      <c r="H21" s="349"/>
      <c r="I21" s="347">
        <f>SUM(I13:I16)</f>
        <v>45816</v>
      </c>
      <c r="L21" s="307"/>
    </row>
    <row r="22" spans="1:19">
      <c r="A22" s="350">
        <v>36892</v>
      </c>
      <c r="B22" s="283">
        <f>D5</f>
        <v>2290800</v>
      </c>
      <c r="C22" s="283"/>
      <c r="D22" s="294"/>
      <c r="E22" s="106"/>
      <c r="F22" s="334"/>
      <c r="G22" s="79"/>
      <c r="H22" s="335"/>
      <c r="I22" s="80"/>
    </row>
    <row r="23" spans="1:19">
      <c r="A23" s="351" t="s">
        <v>616</v>
      </c>
      <c r="B23" s="283">
        <f>D6+D5</f>
        <v>2404962.3565938463</v>
      </c>
      <c r="C23" s="283"/>
      <c r="D23" s="273">
        <f>(D6*InfoInicial!B41/2)+('F-Cred'!D5*InfoInicial!B35/2)</f>
        <v>203280.17674453848</v>
      </c>
      <c r="E23" s="81"/>
      <c r="F23" s="29"/>
      <c r="G23" s="81"/>
      <c r="H23" s="122"/>
      <c r="I23" s="82"/>
    </row>
    <row r="24" spans="1:19">
      <c r="A24" s="351" t="s">
        <v>617</v>
      </c>
      <c r="B24" s="283">
        <f t="shared" ref="B24:B32" si="3">B23-C24</f>
        <v>2118612.3565938463</v>
      </c>
      <c r="C24" s="283">
        <f>$D$5/8</f>
        <v>286350</v>
      </c>
      <c r="D24" s="273">
        <f>(D6*InfoInicial!B41/2)+('F-Cred'!D5*InfoInicial!B35/2)</f>
        <v>203280.17674453848</v>
      </c>
      <c r="E24" s="81">
        <f>C24</f>
        <v>286350</v>
      </c>
      <c r="F24" s="81">
        <f>(B24+B22)/2</f>
        <v>2204706.1782969232</v>
      </c>
      <c r="G24" s="81">
        <f>D23+D24</f>
        <v>406560.35348907695</v>
      </c>
      <c r="H24" s="108">
        <f>G24/F24</f>
        <v>0.18440568520705738</v>
      </c>
      <c r="I24" s="82"/>
    </row>
    <row r="25" spans="1:19">
      <c r="A25" s="351" t="s">
        <v>618</v>
      </c>
      <c r="B25" s="283">
        <f t="shared" si="3"/>
        <v>1832262.3565938463</v>
      </c>
      <c r="C25" s="283">
        <f t="shared" ref="C24:C31" si="4">$D$5/8</f>
        <v>286350</v>
      </c>
      <c r="D25" s="273">
        <f>(D6*InfoInicial!B41)/2+((D5-C24)*InfoInicial!B35)/2</f>
        <v>178940.42674453848</v>
      </c>
      <c r="F25" s="108"/>
      <c r="G25" s="81"/>
      <c r="H25" s="108"/>
      <c r="I25" s="82"/>
    </row>
    <row r="26" spans="1:19">
      <c r="A26" s="351" t="s">
        <v>619</v>
      </c>
      <c r="B26" s="283">
        <f t="shared" si="3"/>
        <v>1545912.3565938463</v>
      </c>
      <c r="C26" s="283">
        <f t="shared" si="4"/>
        <v>286350</v>
      </c>
      <c r="D26" s="273">
        <f>(D6*InfoInicial!B41)/2+(D5-C24-C25)*InfoInicial!B35/2</f>
        <v>154600.67674453848</v>
      </c>
      <c r="E26" s="81">
        <f>C25+C26</f>
        <v>572700</v>
      </c>
      <c r="F26" s="81">
        <f>(B24+B26)/2</f>
        <v>1832262.3565938463</v>
      </c>
      <c r="G26" s="81">
        <f>D26+D25</f>
        <v>333541.10348907695</v>
      </c>
      <c r="H26" s="108">
        <f>G26/F26</f>
        <v>0.18203785188772084</v>
      </c>
      <c r="I26" s="82"/>
    </row>
    <row r="27" spans="1:19">
      <c r="A27" s="351" t="s">
        <v>620</v>
      </c>
      <c r="B27" s="283">
        <f t="shared" si="3"/>
        <v>1259562.3565938463</v>
      </c>
      <c r="C27" s="283">
        <f t="shared" si="4"/>
        <v>286350</v>
      </c>
      <c r="D27" s="273">
        <f>(D6*InfoInicial!B41)/2+(D5-C24-C25-C26)*InfoInicial!B35/2</f>
        <v>130260.92674453848</v>
      </c>
      <c r="E27" s="81"/>
      <c r="F27" s="108"/>
      <c r="G27" s="81"/>
      <c r="H27" s="108"/>
      <c r="I27" s="82"/>
    </row>
    <row r="28" spans="1:19">
      <c r="A28" s="351" t="s">
        <v>621</v>
      </c>
      <c r="B28" s="283">
        <f t="shared" si="3"/>
        <v>973212.35659384634</v>
      </c>
      <c r="C28" s="283">
        <f t="shared" si="4"/>
        <v>286350</v>
      </c>
      <c r="D28" s="273">
        <f>(D6*InfoInicial!B41)/2+(D5-C24-C25-C26-C27)*InfoInicial!B35/2</f>
        <v>105921.17674453846</v>
      </c>
      <c r="E28" s="81">
        <f>C28+C27</f>
        <v>572700</v>
      </c>
      <c r="F28" s="81">
        <f>(B26+B28)/2</f>
        <v>1259562.3565938463</v>
      </c>
      <c r="G28" s="81">
        <f>D28+D27</f>
        <v>236182.10348907695</v>
      </c>
      <c r="H28" s="108">
        <f>G28/F28</f>
        <v>0.18751124329228849</v>
      </c>
      <c r="I28" s="82"/>
    </row>
    <row r="29" spans="1:19">
      <c r="A29" s="351" t="s">
        <v>622</v>
      </c>
      <c r="B29" s="283">
        <f t="shared" si="3"/>
        <v>686862.35659384634</v>
      </c>
      <c r="C29" s="283">
        <f t="shared" si="4"/>
        <v>286350</v>
      </c>
      <c r="D29" s="273">
        <f>(D6*InfoInicial!B41)/2+(D5-C24-C25-C26-C27-C28)*InfoInicial!B35/2</f>
        <v>81581.426744538461</v>
      </c>
      <c r="E29" s="81"/>
      <c r="F29" s="108"/>
      <c r="G29" s="81"/>
      <c r="H29" s="108"/>
      <c r="I29" s="82"/>
    </row>
    <row r="30" spans="1:19">
      <c r="A30" s="351" t="s">
        <v>623</v>
      </c>
      <c r="B30" s="283">
        <f t="shared" si="3"/>
        <v>400512.35659384634</v>
      </c>
      <c r="C30" s="283">
        <f t="shared" si="4"/>
        <v>286350</v>
      </c>
      <c r="D30" s="81">
        <f>(D6*InfoInicial!B41)/2+(D5-C24-C25-C26-C27-C28-C29)*InfoInicial!B35/2</f>
        <v>57241.676744538461</v>
      </c>
      <c r="E30" s="81">
        <f>C30+C29</f>
        <v>572700</v>
      </c>
      <c r="F30" s="81">
        <f>(B28+B30)/2</f>
        <v>686862.35659384634</v>
      </c>
      <c r="G30" s="81">
        <f>D30+D29</f>
        <v>138823.10348907692</v>
      </c>
      <c r="H30" s="108">
        <f>G30/F30</f>
        <v>0.20211196924155422</v>
      </c>
      <c r="I30" s="82"/>
    </row>
    <row r="31" spans="1:19">
      <c r="A31" s="351" t="s">
        <v>624</v>
      </c>
      <c r="B31" s="283">
        <f t="shared" si="3"/>
        <v>114162.35659384634</v>
      </c>
      <c r="C31" s="283">
        <f t="shared" si="4"/>
        <v>286350</v>
      </c>
      <c r="D31" s="81">
        <f>(D6*InfoInicial!B41)/2+(D5-C24-C25-C26-C27-C28-C29-C30)*InfoInicial!B35/2</f>
        <v>32901.926744538461</v>
      </c>
      <c r="E31" s="81"/>
      <c r="F31" s="108"/>
      <c r="G31" s="81"/>
      <c r="H31" s="108"/>
      <c r="I31" s="82"/>
    </row>
    <row r="32" spans="1:19">
      <c r="A32" s="351" t="s">
        <v>625</v>
      </c>
      <c r="B32" s="283">
        <f t="shared" si="3"/>
        <v>114162.35659384634</v>
      </c>
      <c r="C32" s="81"/>
      <c r="D32" s="81">
        <f>(D6*InfoInicial!B41)/2</f>
        <v>8562.176744538463</v>
      </c>
      <c r="E32" s="81">
        <f>C32+C31</f>
        <v>286350</v>
      </c>
      <c r="F32" s="81">
        <f>(B30+B32)/2</f>
        <v>257337.35659384634</v>
      </c>
      <c r="G32" s="81">
        <f>D32+D31</f>
        <v>41464.103489076922</v>
      </c>
      <c r="H32" s="108">
        <f>G32/F32</f>
        <v>0.16112741670273473</v>
      </c>
      <c r="I32" s="82"/>
    </row>
    <row r="33" spans="1:9">
      <c r="A33" s="105" t="s">
        <v>626</v>
      </c>
      <c r="B33" s="322"/>
      <c r="C33" s="322">
        <f>SUM(C24:C31)</f>
        <v>2290800</v>
      </c>
      <c r="D33" s="322">
        <f>SUM(D23:D32)</f>
        <v>1156570.7674453843</v>
      </c>
      <c r="E33" s="322">
        <f>SUM(E24:E32)</f>
        <v>2290800</v>
      </c>
      <c r="F33" s="352"/>
      <c r="G33" s="353">
        <f>SUM(G24:G32)</f>
        <v>1156570.7674453848</v>
      </c>
      <c r="H33" s="352"/>
      <c r="I33" s="354">
        <f>I21</f>
        <v>45816</v>
      </c>
    </row>
    <row r="37" spans="1:9">
      <c r="A37" s="3" t="s">
        <v>42</v>
      </c>
      <c r="B37" s="14">
        <v>0.17</v>
      </c>
      <c r="C37" t="s">
        <v>43</v>
      </c>
      <c r="D37"/>
    </row>
    <row r="38" spans="1:9">
      <c r="A38" s="3" t="s">
        <v>45</v>
      </c>
      <c r="B38" s="496" t="s">
        <v>46</v>
      </c>
      <c r="C38" s="496"/>
      <c r="D38" s="496"/>
    </row>
    <row r="39" spans="1:9">
      <c r="A39" s="3" t="s">
        <v>47</v>
      </c>
      <c r="B39" s="14">
        <v>0.4</v>
      </c>
      <c r="C39"/>
      <c r="D39"/>
    </row>
    <row r="40" spans="1:9">
      <c r="A40" s="3"/>
      <c r="B40"/>
      <c r="C40"/>
      <c r="D40"/>
    </row>
    <row r="41" spans="1:9">
      <c r="A41" s="3" t="s">
        <v>48</v>
      </c>
      <c r="B41" s="12">
        <v>30</v>
      </c>
      <c r="C41"/>
      <c r="D41"/>
    </row>
    <row r="42" spans="1:9">
      <c r="A42" s="3" t="s">
        <v>49</v>
      </c>
      <c r="B42" s="16">
        <v>0.4</v>
      </c>
      <c r="C42"/>
      <c r="D42"/>
    </row>
    <row r="43" spans="1:9">
      <c r="A43" s="3" t="s">
        <v>50</v>
      </c>
      <c r="B43" s="16">
        <v>0.15</v>
      </c>
      <c r="C43" t="s">
        <v>43</v>
      </c>
      <c r="D43"/>
    </row>
    <row r="44" spans="1:9">
      <c r="A44"/>
      <c r="B44"/>
      <c r="C44"/>
      <c r="D44"/>
    </row>
  </sheetData>
  <sheetProtection selectLockedCells="1" selectUnlockedCells="1"/>
  <mergeCells count="5">
    <mergeCell ref="B3:C3"/>
    <mergeCell ref="D3:E3"/>
    <mergeCell ref="F3:G3"/>
    <mergeCell ref="J20:K20"/>
    <mergeCell ref="B38:D38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0"/>
    <pageSetUpPr fitToPage="1"/>
  </sheetPr>
  <dimension ref="A1:G14"/>
  <sheetViews>
    <sheetView zoomScaleNormal="100" workbookViewId="0">
      <selection activeCell="C25" sqref="C25"/>
    </sheetView>
  </sheetViews>
  <sheetFormatPr defaultColWidth="11.28515625" defaultRowHeight="12.75"/>
  <cols>
    <col min="1" max="1" width="34.28515625" style="355" customWidth="1"/>
    <col min="2" max="6" width="16" style="355" customWidth="1"/>
    <col min="7" max="7" width="17.140625" style="355" customWidth="1"/>
    <col min="8" max="8" width="17.28515625" style="355" customWidth="1"/>
    <col min="9" max="16384" width="11.28515625" style="355"/>
  </cols>
  <sheetData>
    <row r="1" spans="1:7">
      <c r="A1" s="1" t="s">
        <v>0</v>
      </c>
      <c r="B1"/>
      <c r="C1"/>
      <c r="D1"/>
      <c r="E1" s="308"/>
      <c r="F1" s="2">
        <f>InfoInicial!E1</f>
        <v>7</v>
      </c>
    </row>
    <row r="2" spans="1:7" ht="15.75">
      <c r="A2" s="356" t="s">
        <v>627</v>
      </c>
      <c r="B2" s="357"/>
      <c r="C2" s="357"/>
      <c r="D2" s="357"/>
      <c r="E2" s="357"/>
      <c r="F2" s="357"/>
      <c r="G2" s="358"/>
    </row>
    <row r="3" spans="1:7">
      <c r="A3" s="359" t="s">
        <v>201</v>
      </c>
      <c r="B3" s="360" t="s">
        <v>58</v>
      </c>
      <c r="C3" s="360" t="s">
        <v>202</v>
      </c>
      <c r="D3" s="360" t="s">
        <v>203</v>
      </c>
      <c r="E3" s="360" t="s">
        <v>204</v>
      </c>
      <c r="F3" s="361" t="s">
        <v>205</v>
      </c>
      <c r="G3" s="362" t="s">
        <v>514</v>
      </c>
    </row>
    <row r="4" spans="1:7">
      <c r="A4" s="355" t="s">
        <v>628</v>
      </c>
      <c r="B4" s="81">
        <f>+'E-Costos'!B89</f>
        <v>14100000</v>
      </c>
      <c r="C4" s="81">
        <f>+'E-Costos'!C89</f>
        <v>22600000</v>
      </c>
      <c r="D4" s="81">
        <f>+'E-Costos'!D89</f>
        <v>22600000</v>
      </c>
      <c r="E4" s="81">
        <f>+'E-Costos'!E89</f>
        <v>22600000</v>
      </c>
      <c r="F4" s="262">
        <f>+'E-Costos'!F89</f>
        <v>22600000</v>
      </c>
      <c r="G4" s="82">
        <f t="shared" ref="G4:G5" si="0">+SUM(B4:F4)</f>
        <v>104500000</v>
      </c>
    </row>
    <row r="5" spans="1:7">
      <c r="A5" s="355" t="s">
        <v>629</v>
      </c>
      <c r="B5" s="81">
        <f>+'E-Costos'!B108</f>
        <v>5704864.7385490639</v>
      </c>
      <c r="C5" s="81">
        <f>+'E-Costos'!C108</f>
        <v>7853780.8636842584</v>
      </c>
      <c r="D5" s="81">
        <f>+'E-Costos'!D108</f>
        <v>7841249.2057956969</v>
      </c>
      <c r="E5" s="81">
        <f>+'E-Costos'!E108</f>
        <v>7799816.5011040485</v>
      </c>
      <c r="F5" s="262">
        <f>+'E-Costos'!F108</f>
        <v>7799413.7285116436</v>
      </c>
      <c r="G5" s="82">
        <f t="shared" si="0"/>
        <v>36999125.037644714</v>
      </c>
    </row>
    <row r="6" spans="1:7">
      <c r="A6" s="355" t="s">
        <v>630</v>
      </c>
      <c r="B6" s="81">
        <f t="shared" ref="B6:G6" si="1">+B4-B5</f>
        <v>8395135.2614509352</v>
      </c>
      <c r="C6" s="81">
        <f t="shared" si="1"/>
        <v>14746219.136315741</v>
      </c>
      <c r="D6" s="81">
        <f t="shared" si="1"/>
        <v>14758750.794204302</v>
      </c>
      <c r="E6" s="81">
        <f t="shared" si="1"/>
        <v>14800183.498895951</v>
      </c>
      <c r="F6" s="81">
        <f t="shared" si="1"/>
        <v>14800586.271488357</v>
      </c>
      <c r="G6" s="81">
        <f t="shared" si="1"/>
        <v>67500874.962355286</v>
      </c>
    </row>
    <row r="7" spans="1:7">
      <c r="A7" s="355" t="s">
        <v>229</v>
      </c>
      <c r="B7" s="107"/>
      <c r="C7" s="107"/>
      <c r="D7" s="107"/>
      <c r="E7" s="107"/>
      <c r="F7" s="263"/>
      <c r="G7" s="115"/>
    </row>
    <row r="8" spans="1:7">
      <c r="A8" s="355" t="s">
        <v>631</v>
      </c>
      <c r="B8" s="81">
        <f>+'E-Costos'!B110</f>
        <v>1664980.5096999474</v>
      </c>
      <c r="C8" s="81">
        <f>+'E-Costos'!C110</f>
        <v>1773778.7559666901</v>
      </c>
      <c r="D8" s="81">
        <f>+'E-Costos'!D110</f>
        <v>1773778.7559666901</v>
      </c>
      <c r="E8" s="81">
        <f>+'E-Costos'!E110</f>
        <v>1773778.7559666901</v>
      </c>
      <c r="F8" s="262">
        <f>+'E-Costos'!F110</f>
        <v>1773778.7559666901</v>
      </c>
      <c r="G8" s="82">
        <f t="shared" ref="G8:G9" si="2">+SUM(B8:F8)</f>
        <v>8760095.5335667077</v>
      </c>
    </row>
    <row r="9" spans="1:7">
      <c r="A9" s="355" t="s">
        <v>632</v>
      </c>
      <c r="B9" s="81">
        <f>+'E-Costos'!B111</f>
        <v>1464411.4549442651</v>
      </c>
      <c r="C9" s="81">
        <f>+'E-Costos'!C111</f>
        <v>1540231.2095714875</v>
      </c>
      <c r="D9" s="81">
        <f>+'E-Costos'!D111</f>
        <v>1540231.2095714875</v>
      </c>
      <c r="E9" s="81">
        <f>+'E-Costos'!E111</f>
        <v>1540231.2095714875</v>
      </c>
      <c r="F9" s="262">
        <f>+'E-Costos'!F111</f>
        <v>1540231.2095714875</v>
      </c>
      <c r="G9" s="82">
        <f t="shared" si="2"/>
        <v>7625336.2932302142</v>
      </c>
    </row>
    <row r="10" spans="1:7">
      <c r="A10" s="355" t="s">
        <v>633</v>
      </c>
      <c r="B10" s="81">
        <f>('F-Cred'!L20/5)+'F-Cred'!G24</f>
        <v>461157.75348907697</v>
      </c>
      <c r="C10" s="81">
        <f>('F-Cred'!L20/5)+'F-Cred'!G26</f>
        <v>388138.50348907697</v>
      </c>
      <c r="D10" s="81">
        <f>('F-Cred'!L20/5)+'F-Cred'!G28</f>
        <v>290779.50348907697</v>
      </c>
      <c r="E10" s="81">
        <f>('F-Cred'!L20/5)+'F-Cred'!G30</f>
        <v>193420.50348907692</v>
      </c>
      <c r="F10" s="262">
        <f>('F-Cred'!L20/5)+'F-Cred'!G32</f>
        <v>96061.503489076917</v>
      </c>
      <c r="G10" s="82">
        <f>SUM(B10:F10)</f>
        <v>1429557.7674453845</v>
      </c>
    </row>
    <row r="11" spans="1:7">
      <c r="A11" s="363" t="s">
        <v>634</v>
      </c>
      <c r="B11" s="81">
        <f t="shared" ref="B11:G11" si="3">+B6-(SUM(B8:B10))</f>
        <v>4804585.5433176458</v>
      </c>
      <c r="C11" s="81">
        <f t="shared" si="3"/>
        <v>11044070.667288486</v>
      </c>
      <c r="D11" s="81">
        <f t="shared" si="3"/>
        <v>11153961.325177047</v>
      </c>
      <c r="E11" s="81">
        <f t="shared" si="3"/>
        <v>11292753.029868696</v>
      </c>
      <c r="F11" s="81">
        <f t="shared" si="3"/>
        <v>11390514.802461103</v>
      </c>
      <c r="G11" s="81">
        <f t="shared" si="3"/>
        <v>49685885.368112981</v>
      </c>
    </row>
    <row r="12" spans="1:7">
      <c r="A12" s="355" t="s">
        <v>635</v>
      </c>
      <c r="B12" s="81">
        <v>0</v>
      </c>
      <c r="C12" s="81">
        <f>+C11*InfoInicial!$B$5</f>
        <v>607423.88670086674</v>
      </c>
      <c r="D12" s="81">
        <f>+D11*InfoInicial!$B$5</f>
        <v>613467.87288473756</v>
      </c>
      <c r="E12" s="81">
        <f>+E11*InfoInicial!$B$5</f>
        <v>621101.41664277832</v>
      </c>
      <c r="F12" s="81">
        <f>+F11*InfoInicial!$B$5</f>
        <v>626478.31413536065</v>
      </c>
      <c r="G12" s="82">
        <f t="shared" ref="G12:G13" si="4">+SUM(B12:F12)</f>
        <v>2468471.4903637432</v>
      </c>
    </row>
    <row r="13" spans="1:7">
      <c r="A13" s="364" t="s">
        <v>636</v>
      </c>
      <c r="B13" s="81">
        <v>0</v>
      </c>
      <c r="C13" s="81">
        <f>+C11*InfoInicial!$B$4</f>
        <v>3865424.73355097</v>
      </c>
      <c r="D13" s="81">
        <f>+D11*InfoInicial!$B$4</f>
        <v>3903886.4638119661</v>
      </c>
      <c r="E13" s="81">
        <f>+E11*InfoInicial!$B$4</f>
        <v>3952463.5604540431</v>
      </c>
      <c r="F13" s="81">
        <f>+F11*InfoInicial!$B$4</f>
        <v>3986680.1808613855</v>
      </c>
      <c r="G13" s="82">
        <f t="shared" si="4"/>
        <v>15708454.938678365</v>
      </c>
    </row>
    <row r="14" spans="1:7">
      <c r="A14" s="365" t="s">
        <v>637</v>
      </c>
      <c r="B14" s="96">
        <f t="shared" ref="B14:G14" si="5">+B11-B12-B13</f>
        <v>4804585.5433176458</v>
      </c>
      <c r="C14" s="96">
        <f t="shared" si="5"/>
        <v>6571222.0470366497</v>
      </c>
      <c r="D14" s="96">
        <f t="shared" si="5"/>
        <v>6636606.9884803444</v>
      </c>
      <c r="E14" s="96">
        <f t="shared" si="5"/>
        <v>6719188.0527718756</v>
      </c>
      <c r="F14" s="96">
        <f t="shared" si="5"/>
        <v>6777356.3074643556</v>
      </c>
      <c r="G14" s="96">
        <f t="shared" si="5"/>
        <v>31508958.939070869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0"/>
    <pageSetUpPr fitToPage="1"/>
  </sheetPr>
  <dimension ref="A1:IP57"/>
  <sheetViews>
    <sheetView zoomScale="90" zoomScaleNormal="90" workbookViewId="0">
      <selection activeCell="D12" sqref="D12"/>
    </sheetView>
  </sheetViews>
  <sheetFormatPr defaultColWidth="11.28515625" defaultRowHeight="12.75"/>
  <cols>
    <col min="1" max="1" width="54.28515625" style="355" customWidth="1"/>
    <col min="2" max="6" width="16" style="355" customWidth="1"/>
    <col min="7" max="250" width="11.28515625" style="355" customWidth="1"/>
  </cols>
  <sheetData>
    <row r="1" spans="1:8">
      <c r="A1" s="1" t="s">
        <v>0</v>
      </c>
      <c r="B1"/>
      <c r="C1"/>
      <c r="D1">
        <f>InfoInicial!E1</f>
        <v>7</v>
      </c>
      <c r="E1" s="2"/>
    </row>
    <row r="2" spans="1:8" ht="15.75">
      <c r="A2" s="356" t="s">
        <v>638</v>
      </c>
      <c r="B2" s="357"/>
      <c r="C2" s="357"/>
      <c r="D2" s="358"/>
    </row>
    <row r="3" spans="1:8">
      <c r="A3" s="359" t="s">
        <v>201</v>
      </c>
      <c r="B3" s="366" t="s">
        <v>57</v>
      </c>
      <c r="C3" s="366" t="s">
        <v>58</v>
      </c>
      <c r="D3" s="362" t="s">
        <v>514</v>
      </c>
    </row>
    <row r="4" spans="1:8">
      <c r="A4" s="363" t="s">
        <v>639</v>
      </c>
      <c r="B4" s="107"/>
      <c r="C4" s="107"/>
      <c r="D4" s="115"/>
    </row>
    <row r="5" spans="1:8">
      <c r="B5" s="81"/>
      <c r="C5" s="81"/>
      <c r="D5" s="82"/>
    </row>
    <row r="6" spans="1:8">
      <c r="A6" s="355" t="s">
        <v>640</v>
      </c>
      <c r="B6" s="81">
        <f>+'E-Inv AF y Am'!B20+'E-Inv AF y Am'!D20</f>
        <v>22588903.718550503</v>
      </c>
      <c r="C6" s="81"/>
      <c r="D6" s="82">
        <f t="shared" ref="D6:D7" si="0">+SUM(B6:C6)</f>
        <v>22588903.718550503</v>
      </c>
    </row>
    <row r="7" spans="1:8">
      <c r="A7" s="355" t="s">
        <v>641</v>
      </c>
      <c r="B7" s="81">
        <f>+'E-Inv AF y Am'!B31+'F-Cred'!L20</f>
        <v>1614237</v>
      </c>
      <c r="C7" s="81">
        <f>+'E-Inv AF y Am'!C31</f>
        <v>160950</v>
      </c>
      <c r="D7" s="82">
        <f t="shared" si="0"/>
        <v>1775187</v>
      </c>
    </row>
    <row r="8" spans="1:8">
      <c r="A8" s="363" t="s">
        <v>642</v>
      </c>
      <c r="B8" s="81">
        <f>+SUM(B6:B7)</f>
        <v>24203140.718550503</v>
      </c>
      <c r="C8" s="81">
        <f>+SUM(C6:C7)</f>
        <v>160950</v>
      </c>
      <c r="D8" s="81">
        <f>+SUM(B8:C8)</f>
        <v>24364090.718550503</v>
      </c>
      <c r="F8" s="473"/>
    </row>
    <row r="9" spans="1:8">
      <c r="A9" s="364" t="s">
        <v>643</v>
      </c>
      <c r="B9" s="194">
        <f>+B8*InfoInicial!$B$3</f>
        <v>5082659.5508956052</v>
      </c>
      <c r="C9" s="81">
        <f>+C8*InfoInicial!$B$3</f>
        <v>33799.5</v>
      </c>
      <c r="D9" s="82">
        <f>+SUM(B9:C9)</f>
        <v>5116459.0508956052</v>
      </c>
      <c r="F9" s="355" t="s">
        <v>776</v>
      </c>
      <c r="G9" s="355">
        <v>30</v>
      </c>
      <c r="H9" s="355" t="s">
        <v>777</v>
      </c>
    </row>
    <row r="10" spans="1:8">
      <c r="A10" s="363" t="s">
        <v>644</v>
      </c>
      <c r="B10" s="81">
        <f>+SUM(B8:B9)</f>
        <v>29285800.269446108</v>
      </c>
      <c r="C10" s="81">
        <f>+SUM(C8:C9)</f>
        <v>194749.5</v>
      </c>
      <c r="D10" s="81">
        <f>+SUM(D8:D9)</f>
        <v>29480549.769446108</v>
      </c>
    </row>
    <row r="11" spans="1:8">
      <c r="A11" s="363" t="s">
        <v>645</v>
      </c>
      <c r="B11" s="107"/>
      <c r="C11" s="107"/>
      <c r="D11" s="115"/>
    </row>
    <row r="12" spans="1:8">
      <c r="A12" s="364" t="s">
        <v>646</v>
      </c>
      <c r="B12" s="81">
        <f>+'E-InvAT'!B6</f>
        <v>225600</v>
      </c>
      <c r="C12" s="81">
        <f>+D12-B12</f>
        <v>56400</v>
      </c>
      <c r="D12" s="82">
        <f>+'E-InvAT'!C6</f>
        <v>282000</v>
      </c>
    </row>
    <row r="13" spans="1:8">
      <c r="A13" s="355" t="s">
        <v>647</v>
      </c>
      <c r="B13" s="81">
        <f>+'E-InvAT'!B7</f>
        <v>0</v>
      </c>
      <c r="C13" s="81">
        <f>+'E-InvAT'!C7</f>
        <v>1158904.109589041</v>
      </c>
      <c r="D13" s="82">
        <f t="shared" ref="D13:D15" si="1">+SUM(B13:C13)</f>
        <v>1158904.109589041</v>
      </c>
    </row>
    <row r="14" spans="1:8">
      <c r="A14" s="355" t="s">
        <v>648</v>
      </c>
      <c r="B14" s="81">
        <f>+'E-InvAT'!B9</f>
        <v>285878.52843830048</v>
      </c>
      <c r="C14" s="81">
        <f>+D14-B14</f>
        <v>1776814.9633035446</v>
      </c>
      <c r="D14" s="82">
        <f>+'E-InvAT'!C9</f>
        <v>2062693.4917418449</v>
      </c>
    </row>
    <row r="15" spans="1:8">
      <c r="A15" s="363" t="s">
        <v>649</v>
      </c>
      <c r="B15" s="474">
        <f>+SUM(B12:B14)</f>
        <v>511478.52843830048</v>
      </c>
      <c r="C15" s="81">
        <f>+SUM(C12:C14)</f>
        <v>2992119.0728925858</v>
      </c>
      <c r="D15" s="82">
        <f t="shared" si="1"/>
        <v>3503597.6013308861</v>
      </c>
    </row>
    <row r="16" spans="1:8">
      <c r="A16" s="355" t="s">
        <v>229</v>
      </c>
      <c r="B16" s="107"/>
      <c r="C16" s="107"/>
      <c r="D16" s="82"/>
    </row>
    <row r="17" spans="1:6">
      <c r="A17" s="355" t="s">
        <v>650</v>
      </c>
      <c r="B17" s="81"/>
      <c r="C17" s="81">
        <f>+'E-InvAT'!C17+'E-InvAT'!C18</f>
        <v>161.27236229020696</v>
      </c>
      <c r="D17" s="82">
        <f t="shared" ref="D17:D21" si="2">+SUM(B17:C17)</f>
        <v>161.27236229020696</v>
      </c>
    </row>
    <row r="18" spans="1:6">
      <c r="A18" s="355" t="s">
        <v>651</v>
      </c>
      <c r="B18" s="81">
        <v>0</v>
      </c>
      <c r="C18" s="81">
        <f>('E-Inv AF y Am'!D56+'F-Cred'!L20/3-C17)*G9/365</f>
        <v>122841.93881625835</v>
      </c>
      <c r="D18" s="82">
        <f t="shared" si="2"/>
        <v>122841.93881625835</v>
      </c>
    </row>
    <row r="19" spans="1:6">
      <c r="A19" s="355" t="s">
        <v>652</v>
      </c>
      <c r="B19" s="81"/>
      <c r="C19" s="81">
        <f>+'F-CRes'!B14/'F-CRes'!B4*'E-InvAT'!C7</f>
        <v>394897.44191651879</v>
      </c>
      <c r="D19" s="82">
        <f t="shared" si="2"/>
        <v>394897.44191651879</v>
      </c>
    </row>
    <row r="20" spans="1:6">
      <c r="A20" s="363" t="s">
        <v>653</v>
      </c>
      <c r="B20" s="81">
        <f>+'E-InvAT'!B15</f>
        <v>511478.52843830048</v>
      </c>
      <c r="C20" s="81">
        <f>+D20-B20</f>
        <v>2992119.0728925853</v>
      </c>
      <c r="D20" s="82">
        <f>+'E-InvAT'!C15</f>
        <v>3503597.6013308857</v>
      </c>
    </row>
    <row r="21" spans="1:6">
      <c r="A21" s="355" t="s">
        <v>577</v>
      </c>
      <c r="B21" s="194">
        <f>'E-InvAT'!B34</f>
        <v>65925.875113719027</v>
      </c>
      <c r="C21" s="81">
        <f>+'E-InvAT'!C34</f>
        <v>374319.3416663814</v>
      </c>
      <c r="D21" s="82">
        <f t="shared" si="2"/>
        <v>440245.21678010043</v>
      </c>
      <c r="E21" s="473"/>
    </row>
    <row r="22" spans="1:6">
      <c r="A22" s="363" t="s">
        <v>654</v>
      </c>
      <c r="B22" s="81">
        <f>B15+B21</f>
        <v>577404.4035520195</v>
      </c>
      <c r="C22" s="81">
        <f>C15+C21</f>
        <v>3366438.4145589671</v>
      </c>
      <c r="D22" s="81">
        <f t="shared" ref="D22:D23" si="3">SUM(B22:C22)</f>
        <v>3943842.8181109866</v>
      </c>
    </row>
    <row r="23" spans="1:6">
      <c r="A23" s="363" t="s">
        <v>655</v>
      </c>
      <c r="B23" s="81">
        <f>B20+B21</f>
        <v>577404.4035520195</v>
      </c>
      <c r="C23" s="81">
        <f>+C22-C17-C18-C19</f>
        <v>2848537.7614638996</v>
      </c>
      <c r="D23" s="81">
        <f t="shared" si="3"/>
        <v>3425942.1650159191</v>
      </c>
    </row>
    <row r="24" spans="1:6">
      <c r="A24" s="363" t="s">
        <v>656</v>
      </c>
      <c r="B24" s="81"/>
      <c r="C24" s="81"/>
      <c r="D24" s="81"/>
    </row>
    <row r="25" spans="1:6">
      <c r="A25" s="355" t="s">
        <v>657</v>
      </c>
      <c r="B25" s="81">
        <f>B10</f>
        <v>29285800.269446108</v>
      </c>
      <c r="C25" s="81">
        <f>C10</f>
        <v>194749.5</v>
      </c>
      <c r="D25" s="81">
        <f t="shared" ref="D25:D27" si="4">SUM(B25:C25)</f>
        <v>29480549.769446108</v>
      </c>
    </row>
    <row r="26" spans="1:6">
      <c r="A26" s="355" t="s">
        <v>658</v>
      </c>
      <c r="B26" s="81">
        <f>B23</f>
        <v>577404.4035520195</v>
      </c>
      <c r="C26" s="81">
        <f>C23</f>
        <v>2848537.7614638996</v>
      </c>
      <c r="D26" s="81">
        <f t="shared" si="4"/>
        <v>3425942.1650159191</v>
      </c>
    </row>
    <row r="27" spans="1:6">
      <c r="A27" s="363" t="s">
        <v>659</v>
      </c>
      <c r="B27" s="81">
        <f>SUM(B25:B26)</f>
        <v>29863204.672998127</v>
      </c>
      <c r="C27" s="81">
        <f>SUM(C25:C26)</f>
        <v>3043287.2614638996</v>
      </c>
      <c r="D27" s="81">
        <f t="shared" si="4"/>
        <v>32906491.934462026</v>
      </c>
      <c r="E27" s="367"/>
    </row>
    <row r="28" spans="1:6">
      <c r="A28" s="363" t="s">
        <v>660</v>
      </c>
      <c r="B28" s="81"/>
      <c r="C28" s="81"/>
      <c r="D28" s="81"/>
      <c r="E28" s="368" t="s">
        <v>406</v>
      </c>
    </row>
    <row r="29" spans="1:6">
      <c r="A29" s="363" t="s">
        <v>661</v>
      </c>
      <c r="B29" s="81">
        <v>0</v>
      </c>
      <c r="C29" s="81">
        <f>+'F-Cred'!D6</f>
        <v>114162.35659384618</v>
      </c>
      <c r="D29" s="81">
        <f t="shared" ref="D29:D32" si="5">SUM(B29:C29)</f>
        <v>114162.35659384618</v>
      </c>
      <c r="E29" s="320">
        <f t="shared" ref="E29:E32" si="6">D29/$D$32</f>
        <v>3.4692958708943148E-3</v>
      </c>
    </row>
    <row r="30" spans="1:6">
      <c r="A30" s="363" t="s">
        <v>662</v>
      </c>
      <c r="B30" s="81">
        <f>+'F-Cred'!D5</f>
        <v>2290800</v>
      </c>
      <c r="C30" s="81">
        <v>0</v>
      </c>
      <c r="D30" s="81">
        <f t="shared" si="5"/>
        <v>2290800</v>
      </c>
      <c r="E30" s="320">
        <f t="shared" si="6"/>
        <v>6.9615442586905191E-2</v>
      </c>
    </row>
    <row r="31" spans="1:6">
      <c r="A31" s="363" t="s">
        <v>663</v>
      </c>
      <c r="B31" s="81">
        <f>B27-B30</f>
        <v>27572404.672998127</v>
      </c>
      <c r="C31" s="81">
        <f>C27-C29</f>
        <v>2929124.9048700533</v>
      </c>
      <c r="D31" s="81">
        <f t="shared" si="5"/>
        <v>30501529.577868178</v>
      </c>
      <c r="E31" s="320">
        <f t="shared" si="6"/>
        <v>0.9269152615422005</v>
      </c>
      <c r="F31" s="473"/>
    </row>
    <row r="32" spans="1:6">
      <c r="A32" s="365" t="s">
        <v>514</v>
      </c>
      <c r="B32" s="81">
        <f>SUM(B29:B31)</f>
        <v>29863204.672998127</v>
      </c>
      <c r="C32" s="81">
        <f>SUM(C29:C31)</f>
        <v>3043287.2614638996</v>
      </c>
      <c r="D32" s="81">
        <f t="shared" si="5"/>
        <v>32906491.934462026</v>
      </c>
      <c r="E32" s="320">
        <f t="shared" si="6"/>
        <v>1</v>
      </c>
      <c r="F32" s="475"/>
    </row>
    <row r="34" spans="1:7" ht="15.75">
      <c r="A34" s="356" t="s">
        <v>664</v>
      </c>
      <c r="B34" s="357"/>
      <c r="C34" s="357"/>
      <c r="D34" s="357"/>
      <c r="E34" s="357"/>
      <c r="F34" s="357"/>
    </row>
    <row r="35" spans="1:7">
      <c r="A35" s="359" t="s">
        <v>201</v>
      </c>
      <c r="B35" s="360" t="s">
        <v>58</v>
      </c>
      <c r="C35" s="360" t="s">
        <v>202</v>
      </c>
      <c r="D35" s="360" t="s">
        <v>203</v>
      </c>
      <c r="E35" s="360" t="s">
        <v>204</v>
      </c>
      <c r="F35" s="360" t="s">
        <v>205</v>
      </c>
    </row>
    <row r="36" spans="1:7">
      <c r="A36" s="369" t="s">
        <v>269</v>
      </c>
      <c r="B36" s="81">
        <f>+'E-Costos'!B130</f>
        <v>4105675.2716872734</v>
      </c>
      <c r="C36" s="81">
        <f>+'E-Costos'!C130</f>
        <v>5516031.4879991701</v>
      </c>
      <c r="D36" s="81">
        <f>+'E-Costos'!D130</f>
        <v>5516031.4879991701</v>
      </c>
      <c r="E36" s="81">
        <f>+'E-Costos'!E130</f>
        <v>5516776.9387311703</v>
      </c>
      <c r="F36" s="81">
        <f>+'E-Costos'!F130</f>
        <v>5516776.9387311703</v>
      </c>
    </row>
    <row r="37" spans="1:7">
      <c r="A37" s="370" t="s">
        <v>268</v>
      </c>
      <c r="B37" s="81">
        <f>+'E-Costos'!B129</f>
        <v>2255527.0154093322</v>
      </c>
      <c r="C37" s="81">
        <f>+'E-Costos'!C129</f>
        <v>2325217.4292013091</v>
      </c>
      <c r="D37" s="81">
        <f>+'E-Costos'!D129</f>
        <v>2325217.4292013091</v>
      </c>
      <c r="E37" s="81">
        <f>+'E-Costos'!E129</f>
        <v>2282636.7792013092</v>
      </c>
      <c r="F37" s="81">
        <f>+'E-Costos'!F129</f>
        <v>2282636.7792013092</v>
      </c>
    </row>
    <row r="38" spans="1:7">
      <c r="A38" s="369" t="s">
        <v>271</v>
      </c>
      <c r="B38" s="81">
        <f>+'E-Costos'!B132</f>
        <v>0</v>
      </c>
      <c r="C38" s="81">
        <f>+'E-Costos'!C132</f>
        <v>0</v>
      </c>
      <c r="D38" s="81">
        <f>+'E-Costos'!D132</f>
        <v>0</v>
      </c>
      <c r="E38" s="81">
        <f>+'E-Costos'!E132</f>
        <v>0</v>
      </c>
      <c r="F38" s="81">
        <f>+'E-Costos'!F132</f>
        <v>0</v>
      </c>
    </row>
    <row r="39" spans="1:7">
      <c r="A39" s="370" t="s">
        <v>270</v>
      </c>
      <c r="B39" s="81">
        <f>+'E-Costos'!B131</f>
        <v>1664980.5096999474</v>
      </c>
      <c r="C39" s="81">
        <f>+'E-Costos'!C131</f>
        <v>1773778.7559666901</v>
      </c>
      <c r="D39" s="81">
        <f>+'E-Costos'!D131</f>
        <v>1773778.7559666901</v>
      </c>
      <c r="E39" s="81">
        <f>+'E-Costos'!E131</f>
        <v>1773778.7559666901</v>
      </c>
      <c r="F39" s="81">
        <f>+'E-Costos'!F131</f>
        <v>1773778.7559666901</v>
      </c>
    </row>
    <row r="40" spans="1:7">
      <c r="A40" s="369" t="s">
        <v>273</v>
      </c>
      <c r="B40" s="81">
        <f>+'E-Costos'!B134</f>
        <v>164814.5555502942</v>
      </c>
      <c r="C40" s="81">
        <f>+'E-Costos'!C134</f>
        <v>167393.69911403477</v>
      </c>
      <c r="D40" s="81">
        <f>+'E-Costos'!D134</f>
        <v>167393.69911403477</v>
      </c>
      <c r="E40" s="81">
        <f>+'E-Costos'!E134</f>
        <v>167393.69911403477</v>
      </c>
      <c r="F40" s="81">
        <f>+'E-Costos'!F134</f>
        <v>167393.69911403477</v>
      </c>
    </row>
    <row r="41" spans="1:7">
      <c r="A41" s="370" t="s">
        <v>272</v>
      </c>
      <c r="B41" s="81">
        <f>+'E-Costos'!B133</f>
        <v>1299596.8993939708</v>
      </c>
      <c r="C41" s="81">
        <f>+'E-Costos'!C133</f>
        <v>1372837.5104574526</v>
      </c>
      <c r="D41" s="81">
        <f>+'E-Costos'!D133</f>
        <v>1372837.5104574526</v>
      </c>
      <c r="E41" s="81">
        <f>+'E-Costos'!E133</f>
        <v>1372837.5104574526</v>
      </c>
      <c r="F41" s="81">
        <f>+'E-Costos'!F133</f>
        <v>1372837.5104574526</v>
      </c>
    </row>
    <row r="42" spans="1:7">
      <c r="A42" s="370" t="s">
        <v>665</v>
      </c>
      <c r="B42" s="81">
        <f>+'F-CRes'!B10</f>
        <v>461157.75348907697</v>
      </c>
      <c r="C42" s="81">
        <f>+'F-CRes'!C10</f>
        <v>388138.50348907697</v>
      </c>
      <c r="D42" s="81">
        <f>+'F-CRes'!D10</f>
        <v>290779.50348907697</v>
      </c>
      <c r="E42" s="81">
        <f>+'F-CRes'!E10</f>
        <v>193420.50348907692</v>
      </c>
      <c r="F42" s="81">
        <f>+'F-CRes'!F10</f>
        <v>96061.503489076917</v>
      </c>
    </row>
    <row r="43" spans="1:7">
      <c r="A43" s="369" t="s">
        <v>274</v>
      </c>
      <c r="B43" s="29">
        <f>+'F-CRes'!B4-('F-2 Estructura'!B36+'F-2 Estructura'!B38+'F-2 Estructura'!B40)</f>
        <v>9829510.1727624312</v>
      </c>
      <c r="C43" s="29">
        <f>+'F-CRes'!C4-('F-2 Estructura'!C36+'F-2 Estructura'!C38+'F-2 Estructura'!C40)</f>
        <v>16916574.812886797</v>
      </c>
      <c r="D43" s="29">
        <f>+'F-CRes'!D4-('F-2 Estructura'!D36+'F-2 Estructura'!D38+'F-2 Estructura'!D40)</f>
        <v>16916574.812886797</v>
      </c>
      <c r="E43" s="29">
        <f>+'F-CRes'!E4-('F-2 Estructura'!E36+'F-2 Estructura'!E38+'F-2 Estructura'!E40)</f>
        <v>16915829.362154797</v>
      </c>
      <c r="F43" s="29">
        <f>+'F-CRes'!F4-('F-2 Estructura'!F36+'F-2 Estructura'!F38+'F-2 Estructura'!F40)</f>
        <v>16915829.362154797</v>
      </c>
      <c r="G43" s="476"/>
    </row>
    <row r="44" spans="1:7">
      <c r="A44" s="371" t="s">
        <v>275</v>
      </c>
      <c r="B44" s="372">
        <f>+(B37+B39+B41+B42)/B43</f>
        <v>0.57798019210917584</v>
      </c>
      <c r="C44" s="372">
        <f>+(C37+C39+C41+C42)/C43</f>
        <v>0.34640417838311383</v>
      </c>
      <c r="D44" s="372">
        <f>+(D37+D39+D41+D42)/D43</f>
        <v>0.34064893531074947</v>
      </c>
      <c r="E44" s="372">
        <f>+(E37+E39+E41+E42)/E43</f>
        <v>0.3323912430621902</v>
      </c>
      <c r="F44" s="372">
        <f>+(F37+F39+F41+F42)/F43</f>
        <v>0.32663574636642562</v>
      </c>
    </row>
    <row r="45" spans="1:7" ht="15.75">
      <c r="A45" s="373" t="s">
        <v>276</v>
      </c>
    </row>
    <row r="48" spans="1:7">
      <c r="A48" s="510" t="s">
        <v>277</v>
      </c>
      <c r="B48" s="510"/>
      <c r="C48" s="510"/>
      <c r="D48" s="510"/>
      <c r="E48" s="510"/>
    </row>
    <row r="49" spans="1:5">
      <c r="A49" s="130" t="s">
        <v>666</v>
      </c>
      <c r="B49" s="130" t="s">
        <v>667</v>
      </c>
      <c r="C49" s="130" t="s">
        <v>668</v>
      </c>
      <c r="D49" s="130" t="s">
        <v>669</v>
      </c>
      <c r="E49" s="130" t="s">
        <v>670</v>
      </c>
    </row>
    <row r="50" spans="1:5">
      <c r="A50" s="130">
        <v>0</v>
      </c>
      <c r="B50" s="374">
        <v>0</v>
      </c>
      <c r="C50" s="374">
        <f>B37+B39+B41+B42</f>
        <v>5681262.1779923281</v>
      </c>
      <c r="D50" s="374">
        <f t="shared" ref="D50:D51" si="7">SUM(B50:C50)</f>
        <v>5681262.1779923281</v>
      </c>
      <c r="E50" s="374">
        <v>0</v>
      </c>
    </row>
    <row r="51" spans="1:5">
      <c r="A51" s="375">
        <f>+'E-Costos'!B87</f>
        <v>14100</v>
      </c>
      <c r="B51" s="374">
        <f>+B36+B38+B40</f>
        <v>4270489.8272375679</v>
      </c>
      <c r="C51" s="374">
        <f>C50</f>
        <v>5681262.1779923281</v>
      </c>
      <c r="D51" s="374">
        <f t="shared" si="7"/>
        <v>9951752.0052298959</v>
      </c>
      <c r="E51" s="374">
        <f>+'E-Costos'!B89</f>
        <v>14100000</v>
      </c>
    </row>
    <row r="52" spans="1:5">
      <c r="A52" s="376"/>
      <c r="B52" s="376"/>
      <c r="C52" s="376"/>
      <c r="D52" s="376"/>
      <c r="E52" s="376"/>
    </row>
    <row r="53" spans="1:5">
      <c r="A53" s="376"/>
      <c r="B53" s="376"/>
      <c r="C53" s="376"/>
      <c r="D53" s="376"/>
      <c r="E53" s="376"/>
    </row>
    <row r="54" spans="1:5">
      <c r="A54" s="510" t="s">
        <v>278</v>
      </c>
      <c r="B54" s="510"/>
      <c r="C54" s="510"/>
      <c r="D54" s="510"/>
      <c r="E54" s="510"/>
    </row>
    <row r="55" spans="1:5">
      <c r="A55" s="130" t="s">
        <v>666</v>
      </c>
      <c r="B55" s="130" t="s">
        <v>667</v>
      </c>
      <c r="C55" s="130" t="s">
        <v>668</v>
      </c>
      <c r="D55" s="130" t="s">
        <v>669</v>
      </c>
      <c r="E55" s="130" t="s">
        <v>670</v>
      </c>
    </row>
    <row r="56" spans="1:5">
      <c r="A56" s="130">
        <v>0</v>
      </c>
      <c r="B56" s="374">
        <v>0</v>
      </c>
      <c r="C56" s="374">
        <f>F37+F39+F41+F42</f>
        <v>5525314.549114529</v>
      </c>
      <c r="D56" s="374">
        <f t="shared" ref="D56:D57" si="8">+B56+C56</f>
        <v>5525314.549114529</v>
      </c>
      <c r="E56" s="374">
        <v>0</v>
      </c>
    </row>
    <row r="57" spans="1:5">
      <c r="A57" s="377">
        <f>+'E-Costos'!F87</f>
        <v>22600</v>
      </c>
      <c r="B57" s="374">
        <f>+F36+F38+F40</f>
        <v>5684170.6378452051</v>
      </c>
      <c r="C57" s="374">
        <f>+C56</f>
        <v>5525314.549114529</v>
      </c>
      <c r="D57" s="374">
        <f t="shared" si="8"/>
        <v>11209485.186959734</v>
      </c>
      <c r="E57" s="374">
        <f>+'E-Costos'!F89</f>
        <v>22600000</v>
      </c>
    </row>
  </sheetData>
  <sheetProtection selectLockedCells="1" selectUnlockedCells="1"/>
  <mergeCells count="2">
    <mergeCell ref="A48:E48"/>
    <mergeCell ref="A54:E54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0"/>
    <pageSetUpPr fitToPage="1"/>
  </sheetPr>
  <dimension ref="A1:G21"/>
  <sheetViews>
    <sheetView zoomScale="85" zoomScaleNormal="85" workbookViewId="0">
      <selection activeCell="C9" sqref="C9"/>
    </sheetView>
  </sheetViews>
  <sheetFormatPr defaultColWidth="11.28515625" defaultRowHeight="12.75"/>
  <cols>
    <col min="1" max="1" width="42.85546875" style="355" customWidth="1"/>
    <col min="2" max="2" width="17.85546875" style="355" customWidth="1"/>
    <col min="3" max="6" width="14.85546875" style="355" customWidth="1"/>
    <col min="7" max="7" width="15.5703125" style="355" customWidth="1"/>
    <col min="8" max="8" width="17.28515625" style="355" customWidth="1"/>
    <col min="9" max="16384" width="11.28515625" style="355"/>
  </cols>
  <sheetData>
    <row r="1" spans="1:7">
      <c r="A1" s="1" t="s">
        <v>0</v>
      </c>
      <c r="B1"/>
      <c r="C1"/>
      <c r="D1"/>
      <c r="E1" s="2">
        <f>InfoInicial!E1</f>
        <v>7</v>
      </c>
    </row>
    <row r="2" spans="1:7" ht="15.75">
      <c r="A2" s="356" t="s">
        <v>533</v>
      </c>
      <c r="B2" s="357"/>
      <c r="C2" s="357"/>
      <c r="D2" s="357"/>
      <c r="E2" s="357"/>
      <c r="F2" s="357"/>
      <c r="G2" s="358"/>
    </row>
    <row r="3" spans="1:7" ht="15.75">
      <c r="A3" s="378"/>
      <c r="B3" s="379" t="s">
        <v>534</v>
      </c>
      <c r="C3" s="379"/>
      <c r="D3" s="379"/>
      <c r="E3" s="379"/>
      <c r="F3" s="379"/>
      <c r="G3" s="380"/>
    </row>
    <row r="4" spans="1:7">
      <c r="A4" s="381" t="s">
        <v>201</v>
      </c>
      <c r="B4" s="382" t="s">
        <v>57</v>
      </c>
      <c r="C4" s="360" t="s">
        <v>58</v>
      </c>
      <c r="D4" s="360" t="s">
        <v>202</v>
      </c>
      <c r="E4" s="360" t="s">
        <v>203</v>
      </c>
      <c r="F4" s="360" t="s">
        <v>204</v>
      </c>
      <c r="G4" s="362" t="s">
        <v>205</v>
      </c>
    </row>
    <row r="5" spans="1:7">
      <c r="A5" s="383" t="s">
        <v>671</v>
      </c>
      <c r="B5" s="271"/>
      <c r="C5" s="191"/>
      <c r="D5" s="191"/>
      <c r="E5" s="191"/>
      <c r="F5" s="191"/>
      <c r="G5" s="192"/>
    </row>
    <row r="6" spans="1:7">
      <c r="A6" s="384" t="s">
        <v>672</v>
      </c>
      <c r="B6" s="273">
        <v>0</v>
      </c>
      <c r="C6" s="81">
        <f>'E-IVA '!C17</f>
        <v>518786.18535165838</v>
      </c>
      <c r="D6" s="81">
        <f>'E-IVA '!D17</f>
        <v>823067.50448126672</v>
      </c>
      <c r="E6" s="81">
        <f>'E-IVA '!E17</f>
        <v>823073.47179917176</v>
      </c>
      <c r="F6" s="81">
        <f>'E-IVA '!F17</f>
        <v>823229.70036429958</v>
      </c>
      <c r="G6" s="81">
        <f>'E-IVA '!G17</f>
        <v>823230.01645289175</v>
      </c>
    </row>
    <row r="7" spans="1:7">
      <c r="A7" s="384" t="s">
        <v>673</v>
      </c>
      <c r="B7" s="273">
        <v>0</v>
      </c>
      <c r="C7" s="81">
        <f>'E-IVA '!C18</f>
        <v>40062.514742732048</v>
      </c>
      <c r="D7" s="81">
        <f>'E-IVA '!D18</f>
        <v>50184.580945915608</v>
      </c>
      <c r="E7" s="81">
        <f>'E-IVA '!E18</f>
        <v>50184.580945915608</v>
      </c>
      <c r="F7" s="81">
        <f>'E-IVA '!F18</f>
        <v>50184.580945915608</v>
      </c>
      <c r="G7" s="81">
        <f>'E-IVA '!G18</f>
        <v>50184.580945915608</v>
      </c>
    </row>
    <row r="8" spans="1:7">
      <c r="A8" s="385" t="s">
        <v>674</v>
      </c>
      <c r="B8" s="273">
        <v>0</v>
      </c>
      <c r="C8" s="81">
        <f>'E-IVA '!C19</f>
        <v>44163.892488591031</v>
      </c>
      <c r="D8" s="81">
        <f>'E-IVA '!D19</f>
        <v>53925.000663536703</v>
      </c>
      <c r="E8" s="81">
        <f>'E-IVA '!E19</f>
        <v>53925.000663536703</v>
      </c>
      <c r="F8" s="81">
        <f>'E-IVA '!F19</f>
        <v>53925.000663536703</v>
      </c>
      <c r="G8" s="81">
        <f>'E-IVA '!G19</f>
        <v>53925.000663536703</v>
      </c>
    </row>
    <row r="9" spans="1:7">
      <c r="A9" s="385" t="s">
        <v>675</v>
      </c>
      <c r="B9" s="273">
        <v>0</v>
      </c>
      <c r="C9" s="81">
        <f>'F-Cred'!G24*InfoInicial!B3</f>
        <v>85377.674232706151</v>
      </c>
      <c r="D9" s="81">
        <f>'F-Cred'!G26*InfoInicial!B3</f>
        <v>70043.631732706155</v>
      </c>
      <c r="E9" s="81">
        <f>'F-Cred'!G28*InfoInicial!B3</f>
        <v>49598.241732706156</v>
      </c>
      <c r="F9" s="81">
        <f>'F-Cred'!G30*InfoInicial!B3</f>
        <v>29152.851732706153</v>
      </c>
      <c r="G9" s="82">
        <f>'F-Cred'!G32*InfoInicial!B3</f>
        <v>8707.4617327061533</v>
      </c>
    </row>
    <row r="10" spans="1:7">
      <c r="A10" s="386" t="s">
        <v>676</v>
      </c>
      <c r="B10" s="273">
        <f t="shared" ref="B10:G10" si="0">SUM(B6:B9)</f>
        <v>0</v>
      </c>
      <c r="C10" s="273">
        <f t="shared" si="0"/>
        <v>688390.26681568765</v>
      </c>
      <c r="D10" s="273">
        <f t="shared" si="0"/>
        <v>997220.71782342531</v>
      </c>
      <c r="E10" s="273">
        <f t="shared" si="0"/>
        <v>976781.29514133034</v>
      </c>
      <c r="F10" s="273">
        <f t="shared" si="0"/>
        <v>956492.13370645815</v>
      </c>
      <c r="G10" s="273">
        <f t="shared" si="0"/>
        <v>936047.0597950503</v>
      </c>
    </row>
    <row r="11" spans="1:7">
      <c r="A11" s="386"/>
      <c r="B11" s="278"/>
      <c r="C11" s="107"/>
      <c r="D11" s="107"/>
      <c r="E11" s="107"/>
      <c r="F11" s="107"/>
      <c r="G11" s="115"/>
    </row>
    <row r="12" spans="1:7">
      <c r="A12" s="384" t="s">
        <v>546</v>
      </c>
      <c r="B12" s="273">
        <f>'E-IVA '!B21</f>
        <v>0</v>
      </c>
      <c r="C12" s="81">
        <f>C10</f>
        <v>688390.26681568765</v>
      </c>
      <c r="D12" s="81">
        <f>D10</f>
        <v>997220.71782342531</v>
      </c>
      <c r="E12" s="81">
        <f>E10</f>
        <v>976781.29514133034</v>
      </c>
      <c r="F12" s="81">
        <f>F10</f>
        <v>956492.13370645815</v>
      </c>
      <c r="G12" s="81">
        <f>G10</f>
        <v>936047.0597950503</v>
      </c>
    </row>
    <row r="13" spans="1:7">
      <c r="A13" s="384" t="s">
        <v>547</v>
      </c>
      <c r="B13" s="273">
        <f>'E-IVA '!B22</f>
        <v>0</v>
      </c>
      <c r="C13" s="81">
        <f>'E-IVA '!C22</f>
        <v>2961000</v>
      </c>
      <c r="D13" s="81">
        <f>'E-IVA '!D22</f>
        <v>4746000</v>
      </c>
      <c r="E13" s="81">
        <f>'E-IVA '!E22</f>
        <v>4746000</v>
      </c>
      <c r="F13" s="81">
        <f>'E-IVA '!F22</f>
        <v>4746000</v>
      </c>
      <c r="G13" s="81">
        <f>'E-IVA '!G22</f>
        <v>4746000</v>
      </c>
    </row>
    <row r="14" spans="1:7">
      <c r="A14" s="386" t="s">
        <v>677</v>
      </c>
      <c r="B14" s="273">
        <f>'E-IVA '!B23</f>
        <v>0</v>
      </c>
      <c r="C14" s="81">
        <f>C13-C12</f>
        <v>2272609.7331843125</v>
      </c>
      <c r="D14" s="81">
        <f>D13-D12</f>
        <v>3748779.2821765747</v>
      </c>
      <c r="E14" s="81">
        <f>E13-E12</f>
        <v>3769218.7048586695</v>
      </c>
      <c r="F14" s="81">
        <f>F13-F12</f>
        <v>3789507.8662935421</v>
      </c>
      <c r="G14" s="81">
        <f>G13-G12</f>
        <v>3809952.9402049496</v>
      </c>
    </row>
    <row r="15" spans="1:7">
      <c r="A15" s="384"/>
      <c r="B15" s="278"/>
      <c r="C15" s="107"/>
      <c r="D15" s="107"/>
      <c r="E15" s="107"/>
      <c r="F15" s="107"/>
      <c r="G15" s="115"/>
    </row>
    <row r="16" spans="1:7">
      <c r="A16" s="387" t="s">
        <v>678</v>
      </c>
      <c r="B16" s="273">
        <v>0</v>
      </c>
      <c r="C16" s="81">
        <f>B18</f>
        <v>5148585.4260093244</v>
      </c>
      <c r="D16" s="81">
        <f>C18</f>
        <v>3284094.5344913937</v>
      </c>
      <c r="E16" s="81">
        <f>D18</f>
        <v>0</v>
      </c>
      <c r="F16" s="81">
        <f>E18</f>
        <v>0</v>
      </c>
      <c r="G16" s="81">
        <f>F18</f>
        <v>0</v>
      </c>
    </row>
    <row r="17" spans="1:7">
      <c r="A17" s="387" t="s">
        <v>679</v>
      </c>
      <c r="B17" s="273">
        <f>'F-2 Estructura'!B9+'F-2 Estructura'!B21</f>
        <v>5148585.4260093244</v>
      </c>
      <c r="C17" s="194">
        <f>'F-2 Estructura'!C9+'F-2 Estructura'!C21</f>
        <v>408118.8416663814</v>
      </c>
      <c r="D17" s="194">
        <f>+'E-IVA '!D26</f>
        <v>283717.90815251617</v>
      </c>
      <c r="E17" s="194">
        <f>+'E-IVA '!E26</f>
        <v>0</v>
      </c>
      <c r="F17" s="194">
        <f>+'E-IVA '!F26</f>
        <v>78.272326859999737</v>
      </c>
      <c r="G17" s="194">
        <v>0</v>
      </c>
    </row>
    <row r="18" spans="1:7">
      <c r="A18" s="386" t="s">
        <v>680</v>
      </c>
      <c r="B18" s="273">
        <f>B17-B16</f>
        <v>5148585.4260093244</v>
      </c>
      <c r="C18" s="388">
        <f>IF(C14&lt;SUM(C16:C17),SUM(C16:C17)-C14,0)</f>
        <v>3284094.5344913937</v>
      </c>
      <c r="D18" s="388">
        <f>IF(D14&lt;SUM(D16:D17),SUM(D16:D17)-D14,0)</f>
        <v>0</v>
      </c>
      <c r="E18" s="388">
        <f>IF(E14&lt;SUM(E16:E17),SUM(E16:E17)-E14,0)</f>
        <v>0</v>
      </c>
      <c r="F18" s="388">
        <f>IF(F14&lt;SUM(F16:F17),SUM(F16:F17)-F14,0)</f>
        <v>0</v>
      </c>
      <c r="G18" s="388">
        <f>IF(G14&lt;SUM(G16:G17),SUM(G16:G17)-G14,0)</f>
        <v>0</v>
      </c>
    </row>
    <row r="19" spans="1:7">
      <c r="A19" s="386" t="s">
        <v>681</v>
      </c>
      <c r="B19" s="273"/>
      <c r="C19" s="81">
        <f>+C16+C17-C18</f>
        <v>2272609.7331843125</v>
      </c>
      <c r="D19" s="81">
        <f>+D16+D17-D18</f>
        <v>3567812.4426439097</v>
      </c>
      <c r="E19" s="81">
        <f>+E16+E17-E18</f>
        <v>0</v>
      </c>
      <c r="F19" s="81">
        <f>+F16+F17-F18</f>
        <v>78.272326859999737</v>
      </c>
      <c r="G19" s="81">
        <f>+G16+G17-G18</f>
        <v>0</v>
      </c>
    </row>
    <row r="20" spans="1:7">
      <c r="A20" s="384"/>
      <c r="B20" s="278"/>
      <c r="C20" s="107"/>
      <c r="D20" s="107"/>
      <c r="E20" s="107"/>
      <c r="F20" s="107"/>
      <c r="G20" s="115"/>
    </row>
    <row r="21" spans="1:7">
      <c r="A21" s="389" t="s">
        <v>553</v>
      </c>
      <c r="B21" s="282">
        <f>B14-B19</f>
        <v>0</v>
      </c>
      <c r="C21" s="282">
        <f>C14-C19</f>
        <v>0</v>
      </c>
      <c r="D21" s="282">
        <f>D14-D19</f>
        <v>180966.83953266498</v>
      </c>
      <c r="E21" s="282">
        <f>E14-E19</f>
        <v>3769218.7048586695</v>
      </c>
      <c r="F21" s="282">
        <f>F14-F19</f>
        <v>3789429.593966682</v>
      </c>
      <c r="G21" s="282">
        <f>+G14-G19</f>
        <v>3809952.9402049496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0"/>
    <pageSetUpPr fitToPage="1"/>
  </sheetPr>
  <dimension ref="A1:N30"/>
  <sheetViews>
    <sheetView zoomScale="85" zoomScaleNormal="85" workbookViewId="0">
      <selection activeCell="C30" sqref="C30"/>
    </sheetView>
  </sheetViews>
  <sheetFormatPr defaultColWidth="11.28515625" defaultRowHeight="12.75"/>
  <cols>
    <col min="1" max="1" width="40.85546875" style="390" customWidth="1"/>
    <col min="2" max="7" width="16" style="390" customWidth="1"/>
    <col min="8" max="8" width="21.7109375" style="390" customWidth="1"/>
    <col min="9" max="9" width="17.28515625" style="390" customWidth="1"/>
    <col min="10" max="16384" width="11.28515625" style="390"/>
  </cols>
  <sheetData>
    <row r="1" spans="1:8">
      <c r="A1" s="1" t="s">
        <v>0</v>
      </c>
      <c r="B1"/>
      <c r="C1"/>
      <c r="D1"/>
      <c r="E1" s="2">
        <f>InfoInicial!E1</f>
        <v>7</v>
      </c>
    </row>
    <row r="3" spans="1:8" ht="15.75">
      <c r="A3" s="391" t="s">
        <v>682</v>
      </c>
      <c r="B3" s="392"/>
      <c r="C3" s="392"/>
      <c r="D3" s="392"/>
      <c r="E3" s="392"/>
      <c r="F3" s="392"/>
      <c r="G3" s="393"/>
      <c r="H3" s="394"/>
    </row>
    <row r="4" spans="1:8">
      <c r="A4" s="395"/>
      <c r="B4" s="396" t="s">
        <v>57</v>
      </c>
      <c r="C4" s="396" t="s">
        <v>58</v>
      </c>
      <c r="D4" s="396" t="s">
        <v>202</v>
      </c>
      <c r="E4" s="396" t="s">
        <v>203</v>
      </c>
      <c r="F4" s="396" t="s">
        <v>204</v>
      </c>
      <c r="G4" s="397" t="s">
        <v>205</v>
      </c>
      <c r="H4" s="398" t="s">
        <v>514</v>
      </c>
    </row>
    <row r="5" spans="1:8">
      <c r="A5" s="363" t="s">
        <v>683</v>
      </c>
      <c r="B5" s="94">
        <f t="shared" ref="B5:H5" si="0">SUM(B6:B11)</f>
        <v>29863204.672998127</v>
      </c>
      <c r="C5" s="94">
        <f t="shared" si="0"/>
        <v>19415896.994648211</v>
      </c>
      <c r="D5" s="94">
        <f t="shared" si="0"/>
        <v>33935495.260677569</v>
      </c>
      <c r="E5" s="94">
        <f t="shared" si="0"/>
        <v>38925369.799333043</v>
      </c>
      <c r="F5" s="94">
        <f t="shared" si="0"/>
        <v>46484093.254767016</v>
      </c>
      <c r="G5" s="94">
        <f t="shared" si="0"/>
        <v>53991292.187806129</v>
      </c>
      <c r="H5" s="94">
        <f t="shared" si="0"/>
        <v>143246992.38261709</v>
      </c>
    </row>
    <row r="6" spans="1:8">
      <c r="A6" s="355" t="s">
        <v>684</v>
      </c>
      <c r="B6" s="94">
        <v>0</v>
      </c>
      <c r="C6" s="94">
        <f>B28</f>
        <v>0</v>
      </c>
      <c r="D6" s="399">
        <f>C27</f>
        <v>7767682.8180336561</v>
      </c>
      <c r="E6" s="399">
        <f>D27</f>
        <v>16325369.799333043</v>
      </c>
      <c r="F6" s="94">
        <f>E27</f>
        <v>23884014.982440155</v>
      </c>
      <c r="G6" s="94">
        <f>F27</f>
        <v>31391292.187806129</v>
      </c>
      <c r="H6" s="400"/>
    </row>
    <row r="7" spans="1:8">
      <c r="A7" s="355" t="s">
        <v>685</v>
      </c>
      <c r="B7" s="401">
        <f>'F-2 Estructura'!B31</f>
        <v>27572404.672998127</v>
      </c>
      <c r="C7" s="401">
        <f>'F-2 Estructura'!C31</f>
        <v>2929124.9048700533</v>
      </c>
      <c r="D7" s="401">
        <v>0</v>
      </c>
      <c r="E7" s="401">
        <v>0</v>
      </c>
      <c r="F7" s="401">
        <v>0</v>
      </c>
      <c r="G7" s="402">
        <v>0</v>
      </c>
      <c r="H7" s="403">
        <f t="shared" ref="H7:H11" si="1">SUM(B7:G7)</f>
        <v>30501529.577868178</v>
      </c>
    </row>
    <row r="8" spans="1:8">
      <c r="A8" s="355" t="s">
        <v>686</v>
      </c>
      <c r="B8" s="94">
        <f>'F-2 Estructura'!B29</f>
        <v>0</v>
      </c>
      <c r="C8" s="94">
        <f>'F-2 Estructura'!C29</f>
        <v>114162.35659384618</v>
      </c>
      <c r="D8" s="94">
        <v>0</v>
      </c>
      <c r="E8" s="94">
        <v>0</v>
      </c>
      <c r="F8" s="94">
        <v>0</v>
      </c>
      <c r="G8" s="404">
        <v>0</v>
      </c>
      <c r="H8" s="403">
        <f t="shared" si="1"/>
        <v>114162.35659384618</v>
      </c>
    </row>
    <row r="9" spans="1:8">
      <c r="A9" s="355" t="s">
        <v>687</v>
      </c>
      <c r="B9" s="401">
        <f>+'F-2 Estructura'!B30</f>
        <v>2290800</v>
      </c>
      <c r="C9" s="401">
        <f>'F-2 Estructura'!C30</f>
        <v>0</v>
      </c>
      <c r="D9" s="401">
        <v>0</v>
      </c>
      <c r="E9" s="401">
        <v>0</v>
      </c>
      <c r="F9" s="401">
        <v>0</v>
      </c>
      <c r="G9" s="402">
        <v>0</v>
      </c>
      <c r="H9" s="403">
        <f t="shared" si="1"/>
        <v>2290800</v>
      </c>
    </row>
    <row r="10" spans="1:8">
      <c r="A10" s="355" t="s">
        <v>688</v>
      </c>
      <c r="B10" s="401">
        <v>0</v>
      </c>
      <c r="C10" s="94">
        <f>'F-CRes'!B4</f>
        <v>14100000</v>
      </c>
      <c r="D10" s="94">
        <f>'F-CRes'!C4</f>
        <v>22600000</v>
      </c>
      <c r="E10" s="94">
        <f>'F-CRes'!D4</f>
        <v>22600000</v>
      </c>
      <c r="F10" s="94">
        <f>'F-CRes'!E4</f>
        <v>22600000</v>
      </c>
      <c r="G10" s="94">
        <f>'F-CRes'!F4</f>
        <v>22600000</v>
      </c>
      <c r="H10" s="403">
        <f t="shared" si="1"/>
        <v>104500000</v>
      </c>
    </row>
    <row r="11" spans="1:8">
      <c r="A11" s="355" t="s">
        <v>689</v>
      </c>
      <c r="B11" s="94">
        <f>+'F-IVA'!B19</f>
        <v>0</v>
      </c>
      <c r="C11" s="94">
        <f>+'F-IVA'!C19</f>
        <v>2272609.7331843125</v>
      </c>
      <c r="D11" s="94">
        <f>+'F-IVA'!D19</f>
        <v>3567812.4426439097</v>
      </c>
      <c r="E11" s="94">
        <f>+'F-IVA'!E19</f>
        <v>0</v>
      </c>
      <c r="F11" s="94">
        <f>+'F-IVA'!F19</f>
        <v>78.272326859999737</v>
      </c>
      <c r="G11" s="94">
        <f>+'F-IVA'!G19</f>
        <v>0</v>
      </c>
      <c r="H11" s="403">
        <f t="shared" si="1"/>
        <v>5840500.4481550818</v>
      </c>
    </row>
    <row r="12" spans="1:8">
      <c r="A12" s="355"/>
      <c r="B12" s="94"/>
      <c r="C12" s="94"/>
      <c r="D12" s="94"/>
      <c r="E12" s="94"/>
      <c r="F12" s="94"/>
      <c r="G12" s="404"/>
      <c r="H12" s="400"/>
    </row>
    <row r="13" spans="1:8">
      <c r="A13" s="363" t="s">
        <v>690</v>
      </c>
      <c r="B13" s="94">
        <f t="shared" ref="B13:G13" si="2">SUM(B14:B22)</f>
        <v>29863204.672998127</v>
      </c>
      <c r="C13" s="94">
        <f t="shared" si="2"/>
        <v>13142952.371241322</v>
      </c>
      <c r="D13" s="94">
        <f t="shared" si="2"/>
        <v>19104863.655971292</v>
      </c>
      <c r="E13" s="94">
        <f t="shared" si="2"/>
        <v>16536093.011519656</v>
      </c>
      <c r="F13" s="94">
        <f t="shared" si="2"/>
        <v>16453962.944920985</v>
      </c>
      <c r="G13" s="94">
        <f t="shared" si="2"/>
        <v>16108993.692535646</v>
      </c>
      <c r="H13" s="400">
        <f t="shared" ref="H13:H22" si="3">SUM(B13:G13)</f>
        <v>111210070.34918702</v>
      </c>
    </row>
    <row r="14" spans="1:8">
      <c r="A14" s="405" t="s">
        <v>691</v>
      </c>
      <c r="B14" s="406">
        <f>'F-2 Estructura'!B8</f>
        <v>24203140.718550503</v>
      </c>
      <c r="C14" s="406">
        <f>'F-2 Estructura'!C8</f>
        <v>160950</v>
      </c>
      <c r="D14" s="406">
        <v>0</v>
      </c>
      <c r="E14" s="406">
        <v>0</v>
      </c>
      <c r="F14" s="406">
        <v>0</v>
      </c>
      <c r="G14" s="407">
        <v>0</v>
      </c>
      <c r="H14" s="408">
        <f t="shared" si="3"/>
        <v>24364090.718550503</v>
      </c>
    </row>
    <row r="15" spans="1:8">
      <c r="A15" s="355" t="s">
        <v>595</v>
      </c>
      <c r="B15" s="94">
        <f>'E-InvAT'!B24</f>
        <v>511478.52843830048</v>
      </c>
      <c r="C15" s="94">
        <f>'E-InvAT'!C24</f>
        <v>2992119.0728925853</v>
      </c>
      <c r="D15" s="94">
        <f>'E-InvAT'!D24</f>
        <v>2219667.794855427</v>
      </c>
      <c r="E15" s="94">
        <f>'E-InvAT'!E24</f>
        <v>0</v>
      </c>
      <c r="F15" s="94">
        <f>'E-InvAT'!F24</f>
        <v>372.72536600008607</v>
      </c>
      <c r="G15" s="94">
        <f>'E-InvAT'!G24</f>
        <v>0</v>
      </c>
      <c r="H15" s="400">
        <f t="shared" si="3"/>
        <v>5723638.1215523127</v>
      </c>
    </row>
    <row r="16" spans="1:8">
      <c r="A16" s="409" t="s">
        <v>692</v>
      </c>
      <c r="B16" s="410">
        <v>0</v>
      </c>
      <c r="C16" s="410">
        <f>'F-CRes'!B5+'F-CRes'!B8+'F-CRes'!B9+'F-CRes'!B10</f>
        <v>9295414.4566823542</v>
      </c>
      <c r="D16" s="410">
        <f>'F-CRes'!C5+'F-CRes'!C8+'F-CRes'!C9+'F-CRes'!C10</f>
        <v>11555929.332711514</v>
      </c>
      <c r="E16" s="410">
        <f>'F-CRes'!D5+'F-CRes'!D8+'F-CRes'!D9+'F-CRes'!D10</f>
        <v>11446038.674822953</v>
      </c>
      <c r="F16" s="410">
        <f>'F-CRes'!E5+'F-CRes'!E8+'F-CRes'!E9+'F-CRes'!E10</f>
        <v>11307246.970131304</v>
      </c>
      <c r="G16" s="410">
        <f>'F-CRes'!F5+'F-CRes'!F8+'F-CRes'!F9+'F-CRes'!F10</f>
        <v>11209485.197538899</v>
      </c>
      <c r="H16" s="411">
        <f t="shared" si="3"/>
        <v>54814114.631887019</v>
      </c>
    </row>
    <row r="17" spans="1:14">
      <c r="A17" s="355" t="s">
        <v>693</v>
      </c>
      <c r="B17" s="94">
        <v>0</v>
      </c>
      <c r="C17" s="94">
        <v>0</v>
      </c>
      <c r="D17" s="94">
        <f>'F-CRes'!C13</f>
        <v>3865424.73355097</v>
      </c>
      <c r="E17" s="94">
        <f>'F-CRes'!D13</f>
        <v>3903886.4638119661</v>
      </c>
      <c r="F17" s="94">
        <f>'F-CRes'!E13</f>
        <v>3952463.5604540431</v>
      </c>
      <c r="G17" s="94">
        <f>'F-CRes'!F13</f>
        <v>3986680.1808613855</v>
      </c>
      <c r="H17" s="400">
        <f t="shared" si="3"/>
        <v>15708454.938678365</v>
      </c>
    </row>
    <row r="18" spans="1:14">
      <c r="A18" s="355" t="s">
        <v>694</v>
      </c>
      <c r="B18" s="401">
        <v>0</v>
      </c>
      <c r="C18" s="401">
        <f>+'F-Cred'!E24</f>
        <v>286350</v>
      </c>
      <c r="D18" s="401">
        <f>'F-Cred'!E26</f>
        <v>572700</v>
      </c>
      <c r="E18" s="401">
        <f>+'F-Cred'!E28</f>
        <v>572700</v>
      </c>
      <c r="F18" s="401">
        <f>+'F-Cred'!E30</f>
        <v>572700</v>
      </c>
      <c r="G18" s="401">
        <f>+'F-Cred'!E32</f>
        <v>286350</v>
      </c>
      <c r="H18" s="400">
        <f t="shared" si="3"/>
        <v>2290800</v>
      </c>
    </row>
    <row r="19" spans="1:14">
      <c r="A19" s="355" t="s">
        <v>695</v>
      </c>
      <c r="B19" s="94">
        <v>0</v>
      </c>
      <c r="C19" s="410">
        <v>0</v>
      </c>
      <c r="D19" s="410">
        <f>'F-CRes'!C12</f>
        <v>607423.88670086674</v>
      </c>
      <c r="E19" s="410">
        <f>'F-CRes'!D12</f>
        <v>613467.87288473756</v>
      </c>
      <c r="F19" s="410">
        <f>'F-CRes'!E12</f>
        <v>621101.41664277832</v>
      </c>
      <c r="G19" s="410">
        <f>'F-CRes'!F12</f>
        <v>626478.31413536065</v>
      </c>
      <c r="H19" s="400">
        <f t="shared" si="3"/>
        <v>2468471.4903637432</v>
      </c>
    </row>
    <row r="20" spans="1:14">
      <c r="A20" s="355" t="s">
        <v>696</v>
      </c>
      <c r="B20" s="401">
        <v>0</v>
      </c>
      <c r="C20" s="401">
        <v>0</v>
      </c>
      <c r="D20" s="401">
        <v>0</v>
      </c>
      <c r="E20" s="401">
        <v>0</v>
      </c>
      <c r="F20" s="401">
        <v>0</v>
      </c>
      <c r="G20" s="401">
        <v>0</v>
      </c>
      <c r="H20" s="400">
        <f t="shared" si="3"/>
        <v>0</v>
      </c>
    </row>
    <row r="21" spans="1:14">
      <c r="A21" s="355" t="s">
        <v>697</v>
      </c>
      <c r="B21" s="94">
        <f>'F-IVA'!B17</f>
        <v>5148585.4260093244</v>
      </c>
      <c r="C21" s="410">
        <f>'F-IVA'!C17</f>
        <v>408118.8416663814</v>
      </c>
      <c r="D21" s="94">
        <f>'F-IVA'!D17</f>
        <v>283717.90815251617</v>
      </c>
      <c r="E21" s="94">
        <f>'F-IVA'!E17</f>
        <v>0</v>
      </c>
      <c r="F21" s="94">
        <f>'F-IVA'!F17</f>
        <v>78.272326859999737</v>
      </c>
      <c r="G21" s="94">
        <f>'F-IVA'!G17</f>
        <v>0</v>
      </c>
      <c r="H21" s="400">
        <f t="shared" si="3"/>
        <v>5840500.4481550818</v>
      </c>
    </row>
    <row r="22" spans="1:14">
      <c r="A22" s="355" t="s">
        <v>698</v>
      </c>
      <c r="B22" s="401">
        <v>0</v>
      </c>
      <c r="C22" s="401">
        <v>0</v>
      </c>
      <c r="D22" s="401">
        <v>0</v>
      </c>
      <c r="E22" s="401">
        <v>0</v>
      </c>
      <c r="F22" s="401">
        <v>0</v>
      </c>
      <c r="G22" s="401">
        <v>0</v>
      </c>
      <c r="H22" s="400">
        <f t="shared" si="3"/>
        <v>0</v>
      </c>
    </row>
    <row r="23" spans="1:14">
      <c r="A23" s="355"/>
      <c r="B23" s="412"/>
      <c r="C23" s="412"/>
      <c r="D23" s="412"/>
      <c r="E23" s="412"/>
      <c r="F23" s="412"/>
      <c r="G23" s="413"/>
      <c r="H23" s="414"/>
    </row>
    <row r="24" spans="1:14">
      <c r="A24" s="363" t="s">
        <v>699</v>
      </c>
      <c r="B24" s="94">
        <f t="shared" ref="B24:G24" si="4">B5-B13</f>
        <v>0</v>
      </c>
      <c r="C24" s="410">
        <f t="shared" si="4"/>
        <v>6272944.6234068889</v>
      </c>
      <c r="D24" s="410">
        <f t="shared" si="4"/>
        <v>14830631.604706276</v>
      </c>
      <c r="E24" s="410">
        <f t="shared" si="4"/>
        <v>22389276.787813388</v>
      </c>
      <c r="F24" s="410">
        <f t="shared" si="4"/>
        <v>30030130.309846029</v>
      </c>
      <c r="G24" s="94">
        <f t="shared" si="4"/>
        <v>37882298.495270483</v>
      </c>
      <c r="H24" s="400">
        <f t="shared" ref="H24:H25" si="5">SUM(B24:G24)</f>
        <v>111405281.82104307</v>
      </c>
    </row>
    <row r="25" spans="1:14">
      <c r="A25" s="415" t="s">
        <v>700</v>
      </c>
      <c r="B25" s="416">
        <v>0</v>
      </c>
      <c r="C25" s="416">
        <f>'E-Inv AF y Am'!D56+'F-Cred'!L20/3</f>
        <v>1494738.1946267667</v>
      </c>
      <c r="D25" s="416">
        <f>'E-Inv AF y Am'!D56+'F-Cred'!L20/3</f>
        <v>1494738.1946267667</v>
      </c>
      <c r="E25" s="416">
        <f>+D25</f>
        <v>1494738.1946267667</v>
      </c>
      <c r="F25" s="416">
        <f>'E-Inv AF y Am'!E56</f>
        <v>1361161.8779601001</v>
      </c>
      <c r="G25" s="416">
        <f>'E-Inv AF y Am'!E56</f>
        <v>1361161.8779601001</v>
      </c>
      <c r="H25" s="408">
        <f t="shared" si="5"/>
        <v>7206538.3398004994</v>
      </c>
    </row>
    <row r="26" spans="1:14">
      <c r="A26" s="363"/>
      <c r="B26" s="412"/>
      <c r="C26" s="412"/>
      <c r="D26" s="412"/>
      <c r="E26" s="412"/>
      <c r="F26" s="412"/>
      <c r="G26" s="413"/>
      <c r="H26" s="414"/>
    </row>
    <row r="27" spans="1:14">
      <c r="A27" s="363" t="s">
        <v>701</v>
      </c>
      <c r="B27" s="94">
        <f t="shared" ref="B27:G27" si="6">B24+B25</f>
        <v>0</v>
      </c>
      <c r="C27" s="410">
        <f t="shared" si="6"/>
        <v>7767682.8180336561</v>
      </c>
      <c r="D27" s="410">
        <f t="shared" si="6"/>
        <v>16325369.799333043</v>
      </c>
      <c r="E27" s="94">
        <f t="shared" si="6"/>
        <v>23884014.982440155</v>
      </c>
      <c r="F27" s="94">
        <f t="shared" si="6"/>
        <v>31391292.187806129</v>
      </c>
      <c r="G27" s="94">
        <f t="shared" si="6"/>
        <v>39243460.373230584</v>
      </c>
      <c r="H27" s="400">
        <f t="shared" ref="H27:H28" si="7">SUM(B27:G27)</f>
        <v>118611820.16084358</v>
      </c>
    </row>
    <row r="28" spans="1:14">
      <c r="A28" s="371" t="s">
        <v>702</v>
      </c>
      <c r="B28" s="417">
        <v>0</v>
      </c>
      <c r="C28" s="418">
        <f>C27-B27</f>
        <v>7767682.8180336561</v>
      </c>
      <c r="D28" s="418">
        <f>D27-C27</f>
        <v>8557686.9812993873</v>
      </c>
      <c r="E28" s="417">
        <f>E27-D27</f>
        <v>7558645.1831071116</v>
      </c>
      <c r="F28" s="417">
        <f>F27-E27</f>
        <v>7507277.2053659745</v>
      </c>
      <c r="G28" s="417">
        <f>G27-F27</f>
        <v>7852168.1854244545</v>
      </c>
      <c r="H28" s="419">
        <f t="shared" si="7"/>
        <v>39243460.373230584</v>
      </c>
      <c r="I28" s="355"/>
      <c r="J28" s="355"/>
      <c r="K28" s="355"/>
      <c r="L28" s="355"/>
      <c r="M28" s="355"/>
      <c r="N28" s="355"/>
    </row>
    <row r="30" spans="1:14">
      <c r="C30" s="478">
        <f>+H28-H8-H7-H25+H15+H14</f>
        <v>31508958.939070873</v>
      </c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0"/>
    <pageSetUpPr fitToPage="1"/>
  </sheetPr>
  <dimension ref="A1:O39"/>
  <sheetViews>
    <sheetView topLeftCell="A11" zoomScale="80" zoomScaleNormal="80" workbookViewId="0">
      <selection activeCell="I16" sqref="I16"/>
    </sheetView>
  </sheetViews>
  <sheetFormatPr defaultColWidth="11.28515625" defaultRowHeight="12.75"/>
  <cols>
    <col min="1" max="1" width="35.5703125" style="355" customWidth="1"/>
    <col min="2" max="7" width="16" style="355" customWidth="1"/>
    <col min="8" max="8" width="17.28515625" style="355" customWidth="1"/>
    <col min="9" max="9" width="11.28515625" style="355" customWidth="1"/>
    <col min="10" max="11" width="15.28515625" style="355" customWidth="1"/>
    <col min="12" max="12" width="14.28515625" style="355" customWidth="1"/>
    <col min="13" max="13" width="14" style="355" customWidth="1"/>
    <col min="14" max="14" width="12.5703125" style="355" customWidth="1"/>
    <col min="15" max="15" width="11.28515625" style="355" customWidth="1"/>
    <col min="16" max="16384" width="11.28515625" style="355"/>
  </cols>
  <sheetData>
    <row r="1" spans="1:11">
      <c r="A1" s="1" t="s">
        <v>0</v>
      </c>
      <c r="B1"/>
      <c r="C1"/>
      <c r="D1"/>
      <c r="E1" s="2">
        <f>InfoInicial!E1</f>
        <v>7</v>
      </c>
    </row>
    <row r="3" spans="1:11" ht="15.75">
      <c r="A3" s="391" t="s">
        <v>703</v>
      </c>
      <c r="B3" s="392"/>
      <c r="C3" s="392"/>
      <c r="D3" s="392"/>
      <c r="E3" s="392"/>
      <c r="F3" s="392"/>
      <c r="G3" s="394"/>
    </row>
    <row r="4" spans="1:11">
      <c r="A4" s="420"/>
      <c r="B4" s="421" t="s">
        <v>57</v>
      </c>
      <c r="C4" s="421" t="s">
        <v>58</v>
      </c>
      <c r="D4" s="421" t="s">
        <v>202</v>
      </c>
      <c r="E4" s="421" t="s">
        <v>203</v>
      </c>
      <c r="F4" s="421" t="s">
        <v>204</v>
      </c>
      <c r="G4" s="422" t="s">
        <v>205</v>
      </c>
    </row>
    <row r="5" spans="1:11">
      <c r="A5" s="423" t="s">
        <v>704</v>
      </c>
      <c r="B5" s="424">
        <f t="shared" ref="B5:G5" si="0">+SUM(B7:B11)</f>
        <v>2784088.2616226128</v>
      </c>
      <c r="C5" s="424">
        <f t="shared" si="0"/>
        <v>14555374.953855935</v>
      </c>
      <c r="D5" s="424">
        <f t="shared" si="0"/>
        <v>22048635.195519354</v>
      </c>
      <c r="E5" s="424">
        <f t="shared" si="0"/>
        <v>29607280.378626466</v>
      </c>
      <c r="F5" s="424">
        <f t="shared" si="0"/>
        <v>37114930.30935844</v>
      </c>
      <c r="G5" s="425">
        <f t="shared" si="0"/>
        <v>44967098.494782895</v>
      </c>
    </row>
    <row r="6" spans="1:11">
      <c r="A6" s="369" t="s">
        <v>705</v>
      </c>
      <c r="B6" s="412"/>
      <c r="C6" s="412"/>
      <c r="D6" s="412"/>
      <c r="E6" s="412"/>
      <c r="F6" s="412"/>
      <c r="G6" s="400"/>
    </row>
    <row r="7" spans="1:11">
      <c r="A7" s="395" t="s">
        <v>706</v>
      </c>
      <c r="B7" s="469">
        <f>+'F-2 Estructura'!B12</f>
        <v>225600</v>
      </c>
      <c r="C7" s="470">
        <f>+'F-2 Estructura'!$D$12</f>
        <v>282000</v>
      </c>
      <c r="D7" s="470">
        <f>+'E-InvAT'!D6</f>
        <v>452000</v>
      </c>
      <c r="E7" s="470">
        <f>+'E-InvAT'!E6</f>
        <v>452000</v>
      </c>
      <c r="F7" s="470">
        <f>+'E-InvAT'!F6</f>
        <v>452000</v>
      </c>
      <c r="G7" s="470">
        <f>+'E-InvAT'!G6</f>
        <v>452000</v>
      </c>
      <c r="H7" s="471"/>
    </row>
    <row r="8" spans="1:11">
      <c r="A8" s="395" t="s">
        <v>707</v>
      </c>
      <c r="B8" s="94">
        <f>+'F- CFyU'!B27</f>
        <v>0</v>
      </c>
      <c r="C8" s="94">
        <f>+'F- CFyU'!C27</f>
        <v>7767682.8180336561</v>
      </c>
      <c r="D8" s="94">
        <f>+'F- CFyU'!D27</f>
        <v>16325369.799333043</v>
      </c>
      <c r="E8" s="94">
        <f>+'F- CFyU'!E27</f>
        <v>23884014.982440155</v>
      </c>
      <c r="F8" s="94">
        <f>+'F- CFyU'!F27</f>
        <v>31391292.187806129</v>
      </c>
      <c r="G8" s="400">
        <f>+'F- CFyU'!G27</f>
        <v>39243460.373230584</v>
      </c>
    </row>
    <row r="9" spans="1:11">
      <c r="A9" s="369" t="s">
        <v>708</v>
      </c>
      <c r="B9" s="401">
        <f>+'E-InvAT'!B7</f>
        <v>0</v>
      </c>
      <c r="C9" s="470">
        <f>+'E-InvAT'!C7</f>
        <v>1158904.109589041</v>
      </c>
      <c r="D9" s="401">
        <f>+'E-InvAT'!D7</f>
        <v>1857534.2465753423</v>
      </c>
      <c r="E9" s="401">
        <f>+'E-InvAT'!E7</f>
        <v>1857534.2465753423</v>
      </c>
      <c r="F9" s="401">
        <f>+'E-InvAT'!F7</f>
        <v>1857534.2465753423</v>
      </c>
      <c r="G9" s="400">
        <f>+'E-InvAT'!G7</f>
        <v>1857534.2465753423</v>
      </c>
      <c r="H9" s="471" t="s">
        <v>774</v>
      </c>
      <c r="I9" s="471"/>
      <c r="J9" s="471"/>
      <c r="K9" s="471"/>
    </row>
    <row r="10" spans="1:11">
      <c r="A10" s="369" t="s">
        <v>709</v>
      </c>
      <c r="B10" s="401">
        <f>+'E-InvAT'!B9</f>
        <v>285878.52843830048</v>
      </c>
      <c r="C10" s="470">
        <f>+'E-InvAT'!C9</f>
        <v>2062693.4917418449</v>
      </c>
      <c r="D10" s="401">
        <f>+'E-InvAT'!D9</f>
        <v>3413731.1496109697</v>
      </c>
      <c r="E10" s="401">
        <f>+'E-InvAT'!E9</f>
        <v>3413731.1496109697</v>
      </c>
      <c r="F10" s="401">
        <f>+'E-InvAT'!F9</f>
        <v>3414103.8749769698</v>
      </c>
      <c r="G10" s="400">
        <f>+'E-InvAT'!G9</f>
        <v>3414103.8749769698</v>
      </c>
      <c r="H10" s="471" t="s">
        <v>774</v>
      </c>
      <c r="I10" s="471"/>
      <c r="J10" s="471"/>
      <c r="K10" s="471"/>
    </row>
    <row r="11" spans="1:11">
      <c r="A11" s="369" t="s">
        <v>710</v>
      </c>
      <c r="B11" s="412">
        <f>+'F-IVA'!C19</f>
        <v>2272609.7331843125</v>
      </c>
      <c r="C11" s="480">
        <f>+'F-IVA'!D19-'F-IVA'!D17</f>
        <v>3284094.5344913937</v>
      </c>
      <c r="D11" s="412">
        <f>+'F- CFyU'!E11</f>
        <v>0</v>
      </c>
      <c r="E11" s="412">
        <f>+'F-IVA'!F19-'F-IVA'!F17</f>
        <v>0</v>
      </c>
      <c r="F11" s="412">
        <f>+'F-IVA'!G19-'F-IVA'!G17</f>
        <v>0</v>
      </c>
      <c r="G11" s="412">
        <f>+'F-IVA'!H19-'F-IVA'!H17</f>
        <v>0</v>
      </c>
      <c r="H11" s="471" t="s">
        <v>774</v>
      </c>
      <c r="I11" s="471"/>
      <c r="J11" s="471"/>
      <c r="K11" s="471"/>
    </row>
    <row r="12" spans="1:11">
      <c r="A12" s="426" t="s">
        <v>711</v>
      </c>
      <c r="B12" s="427">
        <f t="shared" ref="B12:G12" si="1">+B17+B22+B23</f>
        <v>27079116.411375515</v>
      </c>
      <c r="C12" s="427">
        <f t="shared" si="1"/>
        <v>22869352.523923736</v>
      </c>
      <c r="D12" s="427">
        <f t="shared" si="1"/>
        <v>21374614.329296973</v>
      </c>
      <c r="E12" s="427">
        <f t="shared" si="1"/>
        <v>19879876.134670205</v>
      </c>
      <c r="F12" s="427">
        <f t="shared" si="1"/>
        <v>18518714.256710105</v>
      </c>
      <c r="G12" s="427">
        <f t="shared" si="1"/>
        <v>17157552.378750004</v>
      </c>
    </row>
    <row r="13" spans="1:11">
      <c r="A13" s="369" t="s">
        <v>712</v>
      </c>
      <c r="B13" s="321"/>
      <c r="C13" s="321"/>
      <c r="D13" s="321"/>
      <c r="E13" s="321"/>
      <c r="F13" s="321"/>
      <c r="G13" s="400"/>
    </row>
    <row r="14" spans="1:11">
      <c r="A14" s="395" t="s">
        <v>713</v>
      </c>
      <c r="B14" s="412">
        <f>+'E-Inv AF y Am'!B31+'F-Cred'!L20</f>
        <v>1614237</v>
      </c>
      <c r="C14" s="412">
        <f>+B17</f>
        <v>1614237</v>
      </c>
      <c r="D14" s="412">
        <f>+C17</f>
        <v>1383751.3333333333</v>
      </c>
      <c r="E14" s="412">
        <f>+D17</f>
        <v>992315.66666666651</v>
      </c>
      <c r="F14" s="412">
        <f>+E17</f>
        <v>600879.99999999977</v>
      </c>
      <c r="G14" s="400">
        <f>+F17</f>
        <v>300439.99999999977</v>
      </c>
      <c r="I14" s="479"/>
    </row>
    <row r="15" spans="1:11">
      <c r="A15" s="395" t="s">
        <v>714</v>
      </c>
      <c r="B15" s="401">
        <v>0</v>
      </c>
      <c r="C15" s="401">
        <f>+'F-2 Estructura'!C7</f>
        <v>160950</v>
      </c>
      <c r="D15" s="401">
        <v>0</v>
      </c>
      <c r="E15" s="401">
        <v>0</v>
      </c>
      <c r="F15" s="401">
        <v>0</v>
      </c>
      <c r="G15" s="403">
        <v>0</v>
      </c>
    </row>
    <row r="16" spans="1:11">
      <c r="A16" s="395" t="s">
        <v>715</v>
      </c>
      <c r="B16" s="94">
        <v>0</v>
      </c>
      <c r="C16" s="477">
        <f>'E-Inv AF y Am'!$D$53+'F-Cred'!$L$20/3</f>
        <v>391435.66666666669</v>
      </c>
      <c r="D16" s="477">
        <f>'E-Inv AF y Am'!$D$53+'F-Cred'!$L$20/3</f>
        <v>391435.66666666669</v>
      </c>
      <c r="E16" s="477">
        <f>'E-Inv AF y Am'!$D$53+'F-Cred'!$L$20/3</f>
        <v>391435.66666666669</v>
      </c>
      <c r="F16" s="94">
        <f>'E-Inv AF y Am'!E53+'F-Cred'!C41</f>
        <v>300440</v>
      </c>
      <c r="G16" s="400">
        <f>'E-Inv AF y Am'!E53+'F-Cred'!C42</f>
        <v>300440</v>
      </c>
      <c r="H16" s="471" t="s">
        <v>775</v>
      </c>
    </row>
    <row r="17" spans="1:15">
      <c r="A17" s="395" t="s">
        <v>716</v>
      </c>
      <c r="B17" s="94">
        <f t="shared" ref="B17:G17" si="2">+B14+B15-B16</f>
        <v>1614237</v>
      </c>
      <c r="C17" s="94">
        <f t="shared" si="2"/>
        <v>1383751.3333333333</v>
      </c>
      <c r="D17" s="94">
        <f t="shared" si="2"/>
        <v>992315.66666666651</v>
      </c>
      <c r="E17" s="94">
        <f t="shared" si="2"/>
        <v>600879.99999999977</v>
      </c>
      <c r="F17" s="94">
        <f t="shared" si="2"/>
        <v>300439.99999999977</v>
      </c>
      <c r="G17" s="400">
        <f t="shared" si="2"/>
        <v>0</v>
      </c>
    </row>
    <row r="18" spans="1:15">
      <c r="A18" s="369" t="s">
        <v>91</v>
      </c>
      <c r="B18" s="401">
        <f t="shared" ref="B18:G18" si="3">+B22</f>
        <v>22588903.718550503</v>
      </c>
      <c r="C18" s="401">
        <f t="shared" si="3"/>
        <v>21485601.190590404</v>
      </c>
      <c r="D18" s="401">
        <f t="shared" si="3"/>
        <v>20382298.662630305</v>
      </c>
      <c r="E18" s="401">
        <f t="shared" si="3"/>
        <v>19278996.134670205</v>
      </c>
      <c r="F18" s="401">
        <f t="shared" si="3"/>
        <v>18218274.256710105</v>
      </c>
      <c r="G18" s="403">
        <f t="shared" si="3"/>
        <v>17157552.378750004</v>
      </c>
    </row>
    <row r="19" spans="1:15">
      <c r="A19" s="395" t="s">
        <v>713</v>
      </c>
      <c r="B19" s="94">
        <v>0</v>
      </c>
      <c r="C19" s="94">
        <f>+B22</f>
        <v>22588903.718550503</v>
      </c>
      <c r="D19" s="94">
        <f>+C22</f>
        <v>21485601.190590404</v>
      </c>
      <c r="E19" s="94">
        <f>+D22</f>
        <v>20382298.662630305</v>
      </c>
      <c r="F19" s="94">
        <f>+E22</f>
        <v>19278996.134670205</v>
      </c>
      <c r="G19" s="400">
        <f>+F22</f>
        <v>18218274.256710105</v>
      </c>
    </row>
    <row r="20" spans="1:15">
      <c r="A20" s="395" t="s">
        <v>717</v>
      </c>
      <c r="B20" s="94">
        <f>+'F-2 Estructura'!B6</f>
        <v>22588903.718550503</v>
      </c>
      <c r="C20" s="94">
        <f>+'F-2 Estructura'!C6</f>
        <v>0</v>
      </c>
      <c r="D20" s="94">
        <f t="shared" ref="D20:D21" si="4">+C20</f>
        <v>0</v>
      </c>
      <c r="E20" s="94">
        <f t="shared" ref="E20:E21" si="5">+C20</f>
        <v>0</v>
      </c>
      <c r="F20" s="94">
        <f>+C20</f>
        <v>0</v>
      </c>
      <c r="G20" s="400">
        <f>+C20</f>
        <v>0</v>
      </c>
    </row>
    <row r="21" spans="1:15">
      <c r="A21" s="395" t="s">
        <v>718</v>
      </c>
      <c r="B21" s="94">
        <v>0</v>
      </c>
      <c r="C21" s="94">
        <f>+'E-Inv AF y Am'!D51</f>
        <v>1103302.5279601</v>
      </c>
      <c r="D21" s="94">
        <f t="shared" si="4"/>
        <v>1103302.5279601</v>
      </c>
      <c r="E21" s="94">
        <f t="shared" si="5"/>
        <v>1103302.5279601</v>
      </c>
      <c r="F21" s="94">
        <f>+'E-Inv AF y Am'!E51</f>
        <v>1060721.8779601001</v>
      </c>
      <c r="G21" s="400">
        <f>+F21</f>
        <v>1060721.8779601001</v>
      </c>
    </row>
    <row r="22" spans="1:15">
      <c r="A22" s="395" t="s">
        <v>716</v>
      </c>
      <c r="B22" s="401">
        <f t="shared" ref="B22:G22" si="6">+B19+B20-B21</f>
        <v>22588903.718550503</v>
      </c>
      <c r="C22" s="401">
        <f t="shared" si="6"/>
        <v>21485601.190590404</v>
      </c>
      <c r="D22" s="401">
        <f t="shared" si="6"/>
        <v>20382298.662630305</v>
      </c>
      <c r="E22" s="401">
        <f t="shared" si="6"/>
        <v>19278996.134670205</v>
      </c>
      <c r="F22" s="401">
        <f t="shared" si="6"/>
        <v>18218274.256710105</v>
      </c>
      <c r="G22" s="403">
        <f t="shared" si="6"/>
        <v>17157552.378750004</v>
      </c>
      <c r="J22" s="428"/>
      <c r="K22" s="428"/>
      <c r="L22" s="428"/>
      <c r="M22" s="428"/>
      <c r="N22" s="428"/>
      <c r="O22" s="321"/>
    </row>
    <row r="23" spans="1:15">
      <c r="A23" s="429" t="s">
        <v>719</v>
      </c>
      <c r="B23" s="401">
        <f>IF(('F-IVA'!C16-'F-IVA'!C19)&gt;0,'F-IVA'!C16-'F-IVA'!C19,0)</f>
        <v>2875975.6928250119</v>
      </c>
      <c r="C23" s="401">
        <f>IF(('F-IVA'!D16-'F-IVA'!D19)&gt;0,'F-IVA'!D16-'F-IVA'!D19,0)</f>
        <v>0</v>
      </c>
      <c r="D23" s="401">
        <f>IF(('F-IVA'!E16-'F-IVA'!E19)&gt;0,'F-IVA'!E16-'F-IVA'!E19,0)</f>
        <v>0</v>
      </c>
      <c r="E23" s="401">
        <f>IF(('F-IVA'!F16-'F-IVA'!F19)&gt;0,'F-IVA'!F16-'F-IVA'!F19,0)</f>
        <v>0</v>
      </c>
      <c r="F23" s="401">
        <f>IF(('F-IVA'!G16-'F-IVA'!G19)&gt;0,'F-IVA'!G16-'F-IVA'!G19,0)</f>
        <v>0</v>
      </c>
      <c r="G23" s="401">
        <f>IF(('F-IVA'!H16-'F-IVA'!H19)&gt;0,'F-IVA'!H16-'F-IVA'!H19,0)</f>
        <v>0</v>
      </c>
      <c r="J23" s="321"/>
      <c r="K23" s="321"/>
      <c r="L23" s="321"/>
      <c r="M23" s="321"/>
      <c r="N23" s="321"/>
      <c r="O23" s="321"/>
    </row>
    <row r="24" spans="1:15">
      <c r="A24" s="430" t="s">
        <v>720</v>
      </c>
      <c r="B24" s="431">
        <f t="shared" ref="B24:G24" si="7">+B12+B5</f>
        <v>29863204.672998127</v>
      </c>
      <c r="C24" s="431">
        <f t="shared" si="7"/>
        <v>37424727.477779672</v>
      </c>
      <c r="D24" s="431">
        <f t="shared" si="7"/>
        <v>43423249.524816327</v>
      </c>
      <c r="E24" s="431">
        <f t="shared" si="7"/>
        <v>49487156.513296671</v>
      </c>
      <c r="F24" s="431">
        <f t="shared" si="7"/>
        <v>55633644.566068545</v>
      </c>
      <c r="G24" s="432">
        <f t="shared" si="7"/>
        <v>62124650.873532899</v>
      </c>
      <c r="J24" s="321"/>
      <c r="K24" s="321"/>
      <c r="L24" s="321"/>
      <c r="M24" s="321"/>
      <c r="N24" s="321"/>
      <c r="O24" s="321"/>
    </row>
    <row r="25" spans="1:15">
      <c r="A25" s="369" t="s">
        <v>721</v>
      </c>
      <c r="B25" s="401">
        <f t="shared" ref="B25:G25" si="8">+B26+B27</f>
        <v>286350</v>
      </c>
      <c r="C25" s="401">
        <f t="shared" si="8"/>
        <v>686862.35659384623</v>
      </c>
      <c r="D25" s="401">
        <f t="shared" si="8"/>
        <v>686862.35659384623</v>
      </c>
      <c r="E25" s="401">
        <f t="shared" si="8"/>
        <v>686862.35659384623</v>
      </c>
      <c r="F25" s="401">
        <f t="shared" si="8"/>
        <v>400512.35659384617</v>
      </c>
      <c r="G25" s="403">
        <f t="shared" si="8"/>
        <v>114162.35659384618</v>
      </c>
      <c r="J25" s="94"/>
    </row>
    <row r="26" spans="1:15">
      <c r="A26" s="369" t="s">
        <v>722</v>
      </c>
      <c r="B26" s="401">
        <v>0</v>
      </c>
      <c r="C26" s="401">
        <f>'F-Cred'!D6</f>
        <v>114162.35659384618</v>
      </c>
      <c r="D26" s="401">
        <f>+C26</f>
        <v>114162.35659384618</v>
      </c>
      <c r="E26" s="401">
        <f>+D26</f>
        <v>114162.35659384618</v>
      </c>
      <c r="F26" s="401">
        <f>+E26</f>
        <v>114162.35659384618</v>
      </c>
      <c r="G26" s="403">
        <f>+F26</f>
        <v>114162.35659384618</v>
      </c>
    </row>
    <row r="27" spans="1:15">
      <c r="A27" s="369" t="s">
        <v>723</v>
      </c>
      <c r="B27" s="94">
        <f>'F-Cred'!E24</f>
        <v>286350</v>
      </c>
      <c r="C27" s="94">
        <f>+'F-Cred'!E26</f>
        <v>572700</v>
      </c>
      <c r="D27" s="94">
        <f>+'F-Cred'!E28</f>
        <v>572700</v>
      </c>
      <c r="E27" s="94">
        <f>+'F-Cred'!E30</f>
        <v>572700</v>
      </c>
      <c r="F27" s="94">
        <f>+'F-Cred'!E32</f>
        <v>286350</v>
      </c>
      <c r="G27" s="400">
        <v>0</v>
      </c>
    </row>
    <row r="28" spans="1:15">
      <c r="A28" s="369" t="s">
        <v>724</v>
      </c>
      <c r="B28" s="94">
        <f t="shared" ref="B28:G28" si="9">+B29</f>
        <v>2004450.0000000002</v>
      </c>
      <c r="C28" s="94">
        <f t="shared" si="9"/>
        <v>1431750.0000000002</v>
      </c>
      <c r="D28" s="94">
        <f t="shared" si="9"/>
        <v>859050.00000000012</v>
      </c>
      <c r="E28" s="94">
        <f t="shared" si="9"/>
        <v>286350.00000000017</v>
      </c>
      <c r="F28" s="94">
        <f t="shared" si="9"/>
        <v>0</v>
      </c>
      <c r="G28" s="400">
        <f t="shared" si="9"/>
        <v>0</v>
      </c>
    </row>
    <row r="29" spans="1:15">
      <c r="A29" s="369" t="s">
        <v>723</v>
      </c>
      <c r="B29" s="401">
        <f>'F-Cred'!B24-'F-Cred'!D6</f>
        <v>2004450.0000000002</v>
      </c>
      <c r="C29" s="401">
        <f>'F-Cred'!B26-'F-Cred'!D6</f>
        <v>1431750.0000000002</v>
      </c>
      <c r="D29" s="401">
        <f>'F-Cred'!B28-'F-Cred'!D6</f>
        <v>859050.00000000012</v>
      </c>
      <c r="E29" s="401">
        <f>'F-Cred'!B30-'F-Cred'!D6</f>
        <v>286350.00000000017</v>
      </c>
      <c r="F29" s="401">
        <v>0</v>
      </c>
      <c r="G29" s="403">
        <v>0</v>
      </c>
    </row>
    <row r="30" spans="1:15">
      <c r="A30" s="426" t="s">
        <v>725</v>
      </c>
      <c r="B30" s="427">
        <f t="shared" ref="B30:G30" si="10">+B25+B28</f>
        <v>2290800</v>
      </c>
      <c r="C30" s="427">
        <f t="shared" si="10"/>
        <v>2118612.3565938463</v>
      </c>
      <c r="D30" s="427">
        <f t="shared" si="10"/>
        <v>1545912.3565938463</v>
      </c>
      <c r="E30" s="427">
        <f t="shared" si="10"/>
        <v>973212.35659384634</v>
      </c>
      <c r="F30" s="427">
        <f t="shared" si="10"/>
        <v>400512.35659384617</v>
      </c>
      <c r="G30" s="433">
        <f t="shared" si="10"/>
        <v>114162.35659384618</v>
      </c>
    </row>
    <row r="31" spans="1:15">
      <c r="A31" s="426" t="s">
        <v>726</v>
      </c>
      <c r="B31" s="427">
        <f t="shared" ref="B31:G31" si="11">+B32+B33+B34</f>
        <v>27572404.672998127</v>
      </c>
      <c r="C31" s="427">
        <f t="shared" si="11"/>
        <v>35306115.121185824</v>
      </c>
      <c r="D31" s="427">
        <f t="shared" si="11"/>
        <v>41877337.168222472</v>
      </c>
      <c r="E31" s="427">
        <f t="shared" si="11"/>
        <v>48513944.156702816</v>
      </c>
      <c r="F31" s="427">
        <f t="shared" si="11"/>
        <v>55233132.20947469</v>
      </c>
      <c r="G31" s="433">
        <f t="shared" si="11"/>
        <v>62010488.516939044</v>
      </c>
    </row>
    <row r="32" spans="1:15">
      <c r="A32" s="369" t="s">
        <v>727</v>
      </c>
      <c r="B32" s="94">
        <f>+'F-2 Estructura'!B31</f>
        <v>27572404.672998127</v>
      </c>
      <c r="C32" s="94">
        <f>+B32+'F- CFyU'!C7</f>
        <v>30501529.577868178</v>
      </c>
      <c r="D32" s="94">
        <f>+C32+'F- CFyU'!D7</f>
        <v>30501529.577868178</v>
      </c>
      <c r="E32" s="94">
        <f>+D32+'F- CFyU'!E7</f>
        <v>30501529.577868178</v>
      </c>
      <c r="F32" s="94">
        <f>+E32+'F- CFyU'!F7</f>
        <v>30501529.577868178</v>
      </c>
      <c r="G32" s="400">
        <f>+F32+'F- CFyU'!G7</f>
        <v>30501529.577868178</v>
      </c>
    </row>
    <row r="33" spans="1:7">
      <c r="A33" s="369" t="s">
        <v>728</v>
      </c>
      <c r="B33" s="401">
        <f>+'F- CFyU'!B28</f>
        <v>0</v>
      </c>
      <c r="C33" s="401">
        <f>+'F-CRes'!B14</f>
        <v>4804585.5433176458</v>
      </c>
      <c r="D33" s="401">
        <f>+'F-CRes'!C14</f>
        <v>6571222.0470366497</v>
      </c>
      <c r="E33" s="401">
        <f>+'F-CRes'!D14</f>
        <v>6636606.9884803444</v>
      </c>
      <c r="F33" s="401">
        <f>+'F-CRes'!E14</f>
        <v>6719188.0527718756</v>
      </c>
      <c r="G33" s="403">
        <f>+'F-CRes'!F14</f>
        <v>6777356.3074643556</v>
      </c>
    </row>
    <row r="34" spans="1:7">
      <c r="A34" s="369" t="s">
        <v>729</v>
      </c>
      <c r="B34" s="94">
        <v>0</v>
      </c>
      <c r="C34" s="94">
        <f>+B33+B34</f>
        <v>0</v>
      </c>
      <c r="D34" s="94">
        <f>+C33+C34</f>
        <v>4804585.5433176458</v>
      </c>
      <c r="E34" s="94">
        <f>+D33+D34</f>
        <v>11375807.590354295</v>
      </c>
      <c r="F34" s="94">
        <f>+E33+E34</f>
        <v>18012414.578834638</v>
      </c>
      <c r="G34" s="400">
        <f>+F33+F34</f>
        <v>24731602.631606512</v>
      </c>
    </row>
    <row r="35" spans="1:7">
      <c r="A35" s="434" t="s">
        <v>730</v>
      </c>
      <c r="B35" s="435">
        <f t="shared" ref="B35:G35" si="12">+B31+B30</f>
        <v>29863204.672998127</v>
      </c>
      <c r="C35" s="435">
        <f t="shared" si="12"/>
        <v>37424727.477779672</v>
      </c>
      <c r="D35" s="435">
        <f t="shared" si="12"/>
        <v>43423249.524816319</v>
      </c>
      <c r="E35" s="435">
        <f t="shared" si="12"/>
        <v>49487156.513296664</v>
      </c>
      <c r="F35" s="435">
        <f t="shared" si="12"/>
        <v>55633644.566068538</v>
      </c>
      <c r="G35" s="436">
        <f t="shared" si="12"/>
        <v>62124650.873532891</v>
      </c>
    </row>
    <row r="36" spans="1:7">
      <c r="A36" s="437"/>
    </row>
    <row r="37" spans="1:7">
      <c r="B37" s="438">
        <f t="shared" ref="B37:G37" si="13">+B24-B35</f>
        <v>0</v>
      </c>
      <c r="C37" s="438">
        <f t="shared" si="13"/>
        <v>0</v>
      </c>
      <c r="D37" s="438">
        <f t="shared" si="13"/>
        <v>0</v>
      </c>
      <c r="E37" s="438">
        <f t="shared" si="13"/>
        <v>0</v>
      </c>
      <c r="F37" s="438">
        <f t="shared" si="13"/>
        <v>0</v>
      </c>
      <c r="G37" s="438">
        <f t="shared" si="13"/>
        <v>0</v>
      </c>
    </row>
    <row r="39" spans="1:7">
      <c r="A39" s="439" t="s">
        <v>731</v>
      </c>
      <c r="B39" s="306" t="str">
        <f t="shared" ref="B39:G39" si="14">IF(B24=B35,"OK","MAL")</f>
        <v>OK</v>
      </c>
      <c r="C39" s="306" t="str">
        <f t="shared" si="14"/>
        <v>OK</v>
      </c>
      <c r="D39" s="306" t="str">
        <f t="shared" si="14"/>
        <v>OK</v>
      </c>
      <c r="E39" s="306" t="str">
        <f t="shared" si="14"/>
        <v>OK</v>
      </c>
      <c r="F39" s="306" t="str">
        <f t="shared" si="14"/>
        <v>OK</v>
      </c>
      <c r="G39" s="306" t="str">
        <f t="shared" si="14"/>
        <v>OK</v>
      </c>
    </row>
  </sheetData>
  <sheetProtection selectLockedCells="1" selectUnlockedCells="1"/>
  <conditionalFormatting sqref="B39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9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9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9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9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9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0"/>
    <pageSetUpPr fitToPage="1"/>
  </sheetPr>
  <dimension ref="A1:O36"/>
  <sheetViews>
    <sheetView topLeftCell="A16" zoomScale="90" zoomScaleNormal="90" workbookViewId="0">
      <selection activeCell="L31" sqref="L31"/>
    </sheetView>
  </sheetViews>
  <sheetFormatPr defaultColWidth="11.28515625" defaultRowHeight="12.75"/>
  <cols>
    <col min="1" max="1" width="7.85546875" style="355" customWidth="1"/>
    <col min="2" max="2" width="16.7109375" style="355" customWidth="1"/>
    <col min="3" max="3" width="20.85546875" style="355" customWidth="1"/>
    <col min="4" max="4" width="16" style="355" bestFit="1" customWidth="1"/>
    <col min="5" max="5" width="22.42578125" style="355" bestFit="1" customWidth="1"/>
    <col min="6" max="6" width="16" style="355" bestFit="1" customWidth="1"/>
    <col min="7" max="7" width="16.7109375" style="355" bestFit="1" customWidth="1"/>
    <col min="8" max="8" width="16.5703125" style="355" customWidth="1"/>
    <col min="9" max="9" width="14.7109375" style="355" customWidth="1"/>
    <col min="10" max="10" width="17.42578125" style="355" customWidth="1"/>
    <col min="11" max="11" width="14.7109375" style="355" customWidth="1"/>
    <col min="12" max="12" width="16.5703125" style="355" customWidth="1"/>
    <col min="13" max="13" width="18.42578125" style="355" customWidth="1"/>
    <col min="14" max="14" width="17.42578125" style="355" customWidth="1"/>
    <col min="15" max="15" width="17.28515625" style="355" customWidth="1"/>
    <col min="16" max="16384" width="11.28515625" style="355"/>
  </cols>
  <sheetData>
    <row r="1" spans="1:14">
      <c r="A1" s="1" t="s">
        <v>0</v>
      </c>
      <c r="B1"/>
      <c r="C1"/>
      <c r="D1"/>
      <c r="G1" s="2">
        <f>InfoInicial!E1</f>
        <v>7</v>
      </c>
    </row>
    <row r="3" spans="1:14" ht="15.75">
      <c r="A3" s="356" t="s">
        <v>732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8"/>
    </row>
    <row r="4" spans="1:14" ht="25.5">
      <c r="A4" s="381" t="s">
        <v>448</v>
      </c>
      <c r="B4" s="382" t="s">
        <v>691</v>
      </c>
      <c r="C4" s="382" t="s">
        <v>733</v>
      </c>
      <c r="D4" s="382" t="s">
        <v>562</v>
      </c>
      <c r="E4" s="382" t="s">
        <v>5</v>
      </c>
      <c r="F4" s="382" t="s">
        <v>563</v>
      </c>
      <c r="G4" s="382" t="s">
        <v>564</v>
      </c>
      <c r="H4" s="382" t="s">
        <v>734</v>
      </c>
      <c r="I4" s="382" t="s">
        <v>735</v>
      </c>
      <c r="J4" s="382" t="s">
        <v>210</v>
      </c>
      <c r="K4" s="382" t="s">
        <v>566</v>
      </c>
      <c r="L4" s="382" t="s">
        <v>567</v>
      </c>
      <c r="M4" s="440" t="s">
        <v>568</v>
      </c>
      <c r="N4" s="441" t="s">
        <v>569</v>
      </c>
    </row>
    <row r="5" spans="1:14">
      <c r="A5" s="442">
        <v>0</v>
      </c>
      <c r="B5" s="294">
        <f>'F- CFyU'!B14</f>
        <v>24203140.718550503</v>
      </c>
      <c r="C5" s="79">
        <f>'F- CFyU'!B15</f>
        <v>511478.52843830048</v>
      </c>
      <c r="D5" s="79">
        <f>+'F- CFyU'!B21</f>
        <v>5148585.4260093244</v>
      </c>
      <c r="E5" s="79">
        <f>+'F- CFyU'!B19</f>
        <v>0</v>
      </c>
      <c r="F5" s="79">
        <f>+'F- CFyU'!B17</f>
        <v>0</v>
      </c>
      <c r="G5" s="79">
        <f t="shared" ref="G5:G11" si="0">+SUM(B5:F5)</f>
        <v>29863204.672998127</v>
      </c>
      <c r="H5" s="79">
        <v>0</v>
      </c>
      <c r="I5" s="79">
        <f>+'F-Cred'!L20</f>
        <v>272987</v>
      </c>
      <c r="J5" s="79">
        <f>'F- CFyU'!B25</f>
        <v>0</v>
      </c>
      <c r="K5" s="79">
        <f>'F- CFyU'!B11</f>
        <v>0</v>
      </c>
      <c r="L5" s="79">
        <f t="shared" ref="L5:L11" si="1">+SUM(H5:K5)</f>
        <v>272987</v>
      </c>
      <c r="M5" s="295">
        <f t="shared" ref="M5:M11" si="2">+L5-G5</f>
        <v>-29590217.672998127</v>
      </c>
      <c r="N5" s="80">
        <f>+M5</f>
        <v>-29590217.672998127</v>
      </c>
    </row>
    <row r="6" spans="1:14">
      <c r="A6" s="443">
        <v>1</v>
      </c>
      <c r="B6" s="273">
        <f>'F- CFyU'!C14</f>
        <v>160950</v>
      </c>
      <c r="C6" s="79">
        <f>'F- CFyU'!C15</f>
        <v>2992119.0728925853</v>
      </c>
      <c r="D6" s="79">
        <f>+'F- CFyU'!C21</f>
        <v>408118.8416663814</v>
      </c>
      <c r="E6" s="81">
        <f>+'F- CFyU'!C19</f>
        <v>0</v>
      </c>
      <c r="F6" s="79">
        <f>+'F- CFyU'!C17</f>
        <v>0</v>
      </c>
      <c r="G6" s="79">
        <f t="shared" si="0"/>
        <v>3561187.9145589666</v>
      </c>
      <c r="H6" s="81">
        <f>+'F-CRes'!B11</f>
        <v>4804585.5433176458</v>
      </c>
      <c r="I6" s="81">
        <f>+'F-Cred'!G24</f>
        <v>406560.35348907695</v>
      </c>
      <c r="J6" s="79">
        <f>'F- CFyU'!C25</f>
        <v>1494738.1946267667</v>
      </c>
      <c r="K6" s="79">
        <f>'F- CFyU'!C11</f>
        <v>2272609.7331843125</v>
      </c>
      <c r="L6" s="79">
        <f t="shared" si="1"/>
        <v>8978493.8246178031</v>
      </c>
      <c r="M6" s="295">
        <f t="shared" si="2"/>
        <v>5417305.9100588365</v>
      </c>
      <c r="N6" s="82">
        <f t="shared" ref="N6:N10" si="3">+M6+N5</f>
        <v>-24172911.762939289</v>
      </c>
    </row>
    <row r="7" spans="1:14">
      <c r="A7" s="443">
        <v>2</v>
      </c>
      <c r="B7" s="273">
        <f>'F- CFyU'!D14</f>
        <v>0</v>
      </c>
      <c r="C7" s="79">
        <f>'F- CFyU'!D15</f>
        <v>2219667.794855427</v>
      </c>
      <c r="D7" s="79">
        <f>+'F- CFyU'!D21</f>
        <v>283717.90815251617</v>
      </c>
      <c r="E7" s="81">
        <f>+'F- CFyU'!D19</f>
        <v>607423.88670086674</v>
      </c>
      <c r="F7" s="79">
        <f>+'F- CFyU'!D17</f>
        <v>3865424.73355097</v>
      </c>
      <c r="G7" s="79">
        <f t="shared" si="0"/>
        <v>6976234.3232597802</v>
      </c>
      <c r="H7" s="81">
        <f>+'F-CRes'!C11</f>
        <v>11044070.667288486</v>
      </c>
      <c r="I7" s="81">
        <f>+'F-Cred'!G26</f>
        <v>333541.10348907695</v>
      </c>
      <c r="J7" s="79">
        <f>'F- CFyU'!D25</f>
        <v>1494738.1946267667</v>
      </c>
      <c r="K7" s="79">
        <f>'F- CFyU'!D11</f>
        <v>3567812.4426439097</v>
      </c>
      <c r="L7" s="79">
        <f t="shared" si="1"/>
        <v>16440162.408048239</v>
      </c>
      <c r="M7" s="295">
        <f t="shared" si="2"/>
        <v>9463928.0847884584</v>
      </c>
      <c r="N7" s="82">
        <f t="shared" si="3"/>
        <v>-14708983.678150831</v>
      </c>
    </row>
    <row r="8" spans="1:14">
      <c r="A8" s="443">
        <v>3</v>
      </c>
      <c r="B8" s="273">
        <f>'F- CFyU'!E14</f>
        <v>0</v>
      </c>
      <c r="C8" s="79">
        <f>'F- CFyU'!E15</f>
        <v>0</v>
      </c>
      <c r="D8" s="79">
        <f>+'F- CFyU'!E21</f>
        <v>0</v>
      </c>
      <c r="E8" s="81">
        <f>+'F- CFyU'!E19</f>
        <v>613467.87288473756</v>
      </c>
      <c r="F8" s="79">
        <f>+'F- CFyU'!E17</f>
        <v>3903886.4638119661</v>
      </c>
      <c r="G8" s="79">
        <f t="shared" si="0"/>
        <v>4517354.3366967039</v>
      </c>
      <c r="H8" s="81">
        <f>+'F-CRes'!D11</f>
        <v>11153961.325177047</v>
      </c>
      <c r="I8" s="81">
        <f>+'F-Cred'!G28</f>
        <v>236182.10348907695</v>
      </c>
      <c r="J8" s="79">
        <f>'F- CFyU'!E25</f>
        <v>1494738.1946267667</v>
      </c>
      <c r="K8" s="79">
        <f>'F- CFyU'!E11</f>
        <v>0</v>
      </c>
      <c r="L8" s="79">
        <f t="shared" si="1"/>
        <v>12884881.623292891</v>
      </c>
      <c r="M8" s="295">
        <f t="shared" si="2"/>
        <v>8367527.2865961874</v>
      </c>
      <c r="N8" s="82">
        <f t="shared" si="3"/>
        <v>-6341456.3915546434</v>
      </c>
    </row>
    <row r="9" spans="1:14">
      <c r="A9" s="443">
        <v>4</v>
      </c>
      <c r="B9" s="273">
        <f>'F- CFyU'!F14</f>
        <v>0</v>
      </c>
      <c r="C9" s="79">
        <f>'F- CFyU'!F15</f>
        <v>372.72536600008607</v>
      </c>
      <c r="D9" s="79">
        <f>+'F- CFyU'!F21</f>
        <v>78.272326859999737</v>
      </c>
      <c r="E9" s="81">
        <f>+'F- CFyU'!F19</f>
        <v>621101.41664277832</v>
      </c>
      <c r="F9" s="79">
        <f>+'F- CFyU'!F17</f>
        <v>3952463.5604540431</v>
      </c>
      <c r="G9" s="79">
        <f t="shared" si="0"/>
        <v>4574015.9747896818</v>
      </c>
      <c r="H9" s="81">
        <f>+'F-CRes'!E11</f>
        <v>11292753.029868696</v>
      </c>
      <c r="I9" s="81">
        <f>+'F-Cred'!G30</f>
        <v>138823.10348907692</v>
      </c>
      <c r="J9" s="79">
        <f>'F- CFyU'!F25</f>
        <v>1361161.8779601001</v>
      </c>
      <c r="K9" s="79">
        <f>'F- CFyU'!F11</f>
        <v>78.272326859999737</v>
      </c>
      <c r="L9" s="79">
        <f t="shared" si="1"/>
        <v>12792816.283644734</v>
      </c>
      <c r="M9" s="295">
        <f t="shared" si="2"/>
        <v>8218800.3088550521</v>
      </c>
      <c r="N9" s="82">
        <f t="shared" si="3"/>
        <v>1877343.9173004087</v>
      </c>
    </row>
    <row r="10" spans="1:14">
      <c r="A10" s="443">
        <v>5</v>
      </c>
      <c r="B10" s="273">
        <f>-'E-Inv AF y Am'!G56</f>
        <v>-17157552.37875</v>
      </c>
      <c r="C10" s="79">
        <f>-'E-InvAT'!G15</f>
        <v>-5723638.1215523127</v>
      </c>
      <c r="D10" s="79">
        <f>+'F- CFyU'!G21</f>
        <v>0</v>
      </c>
      <c r="E10" s="81">
        <f>+'F- CFyU'!G19</f>
        <v>626478.31413536065</v>
      </c>
      <c r="F10" s="79">
        <f>+'F- CFyU'!G17</f>
        <v>3986680.1808613855</v>
      </c>
      <c r="G10" s="79">
        <f t="shared" si="0"/>
        <v>-18268032.005305566</v>
      </c>
      <c r="H10" s="81">
        <f>+'F-CRes'!F11</f>
        <v>11390514.802461103</v>
      </c>
      <c r="I10" s="81">
        <f>+'F-Cred'!G32</f>
        <v>41464.103489076922</v>
      </c>
      <c r="J10" s="79">
        <f>'F- CFyU'!G25</f>
        <v>1361161.8779601001</v>
      </c>
      <c r="K10" s="79">
        <f>'F- CFyU'!G11</f>
        <v>0</v>
      </c>
      <c r="L10" s="79">
        <f t="shared" si="1"/>
        <v>12793140.78391028</v>
      </c>
      <c r="M10" s="295">
        <f t="shared" si="2"/>
        <v>31061172.789215848</v>
      </c>
      <c r="N10" s="82">
        <f t="shared" si="3"/>
        <v>32938516.706516258</v>
      </c>
    </row>
    <row r="11" spans="1:14">
      <c r="A11" s="443"/>
      <c r="B11" s="278"/>
      <c r="C11" s="107"/>
      <c r="D11" s="107"/>
      <c r="E11" s="107"/>
      <c r="F11" s="107"/>
      <c r="G11" s="79">
        <f t="shared" si="0"/>
        <v>0</v>
      </c>
      <c r="H11" s="107"/>
      <c r="I11" s="107"/>
      <c r="J11" s="107"/>
      <c r="K11" s="107"/>
      <c r="L11" s="79">
        <f t="shared" si="1"/>
        <v>0</v>
      </c>
      <c r="M11" s="295">
        <f t="shared" si="2"/>
        <v>0</v>
      </c>
      <c r="N11" s="115"/>
    </row>
    <row r="12" spans="1:14">
      <c r="A12" s="444" t="s">
        <v>570</v>
      </c>
      <c r="B12" s="282">
        <f t="shared" ref="B12:M12" si="4">SUM(B5:B10)</f>
        <v>7206538.3398005031</v>
      </c>
      <c r="C12" s="282">
        <f t="shared" si="4"/>
        <v>0</v>
      </c>
      <c r="D12" s="282">
        <f t="shared" si="4"/>
        <v>5840500.4481550818</v>
      </c>
      <c r="E12" s="282">
        <f t="shared" si="4"/>
        <v>2468471.4903637432</v>
      </c>
      <c r="F12" s="282">
        <f t="shared" si="4"/>
        <v>15708454.938678365</v>
      </c>
      <c r="G12" s="282">
        <f t="shared" si="4"/>
        <v>31223965.21699769</v>
      </c>
      <c r="H12" s="282">
        <f t="shared" si="4"/>
        <v>49685885.368112981</v>
      </c>
      <c r="I12" s="282">
        <f t="shared" si="4"/>
        <v>1429557.7674453848</v>
      </c>
      <c r="J12" s="282">
        <f t="shared" si="4"/>
        <v>7206538.3398004994</v>
      </c>
      <c r="K12" s="282">
        <f t="shared" si="4"/>
        <v>5840500.4481550818</v>
      </c>
      <c r="L12" s="282">
        <f t="shared" si="4"/>
        <v>64162481.923513949</v>
      </c>
      <c r="M12" s="282">
        <f t="shared" si="4"/>
        <v>32938516.706516258</v>
      </c>
      <c r="N12" s="264"/>
    </row>
    <row r="13" spans="1:14">
      <c r="I13" s="445"/>
    </row>
    <row r="14" spans="1:14">
      <c r="C14" s="446" t="s">
        <v>571</v>
      </c>
      <c r="D14" s="300">
        <f>+M12</f>
        <v>32938516.706516258</v>
      </c>
    </row>
    <row r="15" spans="1:14">
      <c r="A15" s="363"/>
      <c r="C15" s="446" t="s">
        <v>572</v>
      </c>
      <c r="D15" s="302"/>
      <c r="E15" s="355" t="s">
        <v>573</v>
      </c>
      <c r="J15"/>
      <c r="K15"/>
    </row>
    <row r="16" spans="1:14">
      <c r="C16" s="446" t="s">
        <v>736</v>
      </c>
      <c r="D16" s="303">
        <f>+IRR(M5:M10)</f>
        <v>0.23234856093704215</v>
      </c>
      <c r="H16" s="355">
        <f>H12-E12-F12</f>
        <v>31508958.939070869</v>
      </c>
      <c r="J16" s="447"/>
      <c r="K16" s="447"/>
    </row>
    <row r="17" spans="1:15">
      <c r="C17" s="446"/>
      <c r="D17" s="303"/>
      <c r="J17" s="448"/>
      <c r="K17" s="449"/>
    </row>
    <row r="18" spans="1:15">
      <c r="A18" s="450"/>
      <c r="B18" s="451"/>
      <c r="C18" s="451"/>
      <c r="D18" s="451"/>
      <c r="E18" s="452"/>
      <c r="F18" s="453"/>
      <c r="G18" s="453"/>
      <c r="H18" s="453"/>
      <c r="I18" s="453"/>
      <c r="J18" s="448"/>
      <c r="K18" s="454"/>
      <c r="L18" s="453"/>
      <c r="M18" s="453"/>
      <c r="N18" s="453"/>
      <c r="O18" s="451"/>
    </row>
    <row r="19" spans="1:15" ht="15.75">
      <c r="A19" s="455"/>
      <c r="B19" s="453"/>
      <c r="C19" s="456"/>
      <c r="D19" s="453"/>
      <c r="E19" s="457"/>
      <c r="F19" s="453"/>
      <c r="G19" s="453"/>
      <c r="H19" s="453"/>
      <c r="I19" s="453"/>
      <c r="J19" s="448"/>
      <c r="K19" s="449"/>
      <c r="L19" s="453"/>
      <c r="M19" s="453"/>
      <c r="N19" s="453"/>
    </row>
    <row r="20" spans="1:15">
      <c r="J20" s="448"/>
      <c r="K20" s="449"/>
    </row>
    <row r="21" spans="1:15">
      <c r="A21" s="458"/>
      <c r="J21" s="162"/>
      <c r="K21" s="449"/>
    </row>
    <row r="22" spans="1:15" ht="15.75">
      <c r="A22" s="356" t="s">
        <v>737</v>
      </c>
      <c r="B22" s="357"/>
      <c r="C22" s="357"/>
      <c r="D22" s="357"/>
      <c r="E22" s="357"/>
      <c r="F22" s="357"/>
      <c r="G22" s="357"/>
      <c r="H22" s="358"/>
      <c r="J22"/>
      <c r="K22"/>
    </row>
    <row r="23" spans="1:15" ht="33.6" customHeight="1">
      <c r="A23" s="381" t="s">
        <v>448</v>
      </c>
      <c r="B23" s="382" t="s">
        <v>738</v>
      </c>
      <c r="C23" s="382" t="s">
        <v>564</v>
      </c>
      <c r="D23" s="382" t="s">
        <v>696</v>
      </c>
      <c r="E23" s="382" t="s">
        <v>739</v>
      </c>
      <c r="F23" s="382" t="s">
        <v>567</v>
      </c>
      <c r="G23" s="440" t="s">
        <v>568</v>
      </c>
      <c r="H23" s="441" t="s">
        <v>569</v>
      </c>
      <c r="K23" s="525" t="s">
        <v>575</v>
      </c>
      <c r="L23" s="525"/>
    </row>
    <row r="24" spans="1:15">
      <c r="A24" s="442">
        <v>0</v>
      </c>
      <c r="B24" s="294">
        <f>'F- CFyU'!B7</f>
        <v>27572404.672998127</v>
      </c>
      <c r="C24" s="79">
        <f t="shared" ref="C24:C29" si="5">+B24</f>
        <v>27572404.672998127</v>
      </c>
      <c r="D24" s="79">
        <v>0</v>
      </c>
      <c r="E24" s="294">
        <f>'F- CFyU'!B28</f>
        <v>0</v>
      </c>
      <c r="F24" s="79">
        <f t="shared" ref="F24:F29" si="6">+D24+E24</f>
        <v>0</v>
      </c>
      <c r="G24" s="295">
        <f t="shared" ref="G24:G29" si="7">+F24-C24</f>
        <v>-27572404.672998127</v>
      </c>
      <c r="H24" s="80">
        <f>+G24</f>
        <v>-27572404.672998127</v>
      </c>
      <c r="K24" s="529" t="s">
        <v>576</v>
      </c>
      <c r="L24" s="529"/>
    </row>
    <row r="25" spans="1:15">
      <c r="A25" s="443">
        <v>1</v>
      </c>
      <c r="B25" s="294">
        <f>'F- CFyU'!C7</f>
        <v>2929124.9048700533</v>
      </c>
      <c r="C25" s="79">
        <f t="shared" si="5"/>
        <v>2929124.9048700533</v>
      </c>
      <c r="D25" s="81">
        <v>0</v>
      </c>
      <c r="E25" s="294">
        <f>'F- CFyU'!C28</f>
        <v>7767682.8180336561</v>
      </c>
      <c r="F25" s="79">
        <f t="shared" si="6"/>
        <v>7767682.8180336561</v>
      </c>
      <c r="G25" s="295">
        <f t="shared" si="7"/>
        <v>4838557.9131636024</v>
      </c>
      <c r="H25" s="82">
        <f t="shared" ref="H25:H29" si="8">+G25+H24</f>
        <v>-22733846.759834524</v>
      </c>
      <c r="K25" s="305" t="s">
        <v>210</v>
      </c>
      <c r="L25" s="306" t="str">
        <f>IF(B12=J12,"OK","MAL")</f>
        <v>OK</v>
      </c>
    </row>
    <row r="26" spans="1:15">
      <c r="A26" s="443">
        <v>2</v>
      </c>
      <c r="B26" s="294">
        <f>'F- CFyU'!D7</f>
        <v>0</v>
      </c>
      <c r="C26" s="79">
        <f t="shared" si="5"/>
        <v>0</v>
      </c>
      <c r="D26" s="81">
        <v>0</v>
      </c>
      <c r="E26" s="294">
        <f>'F- CFyU'!D28</f>
        <v>8557686.9812993873</v>
      </c>
      <c r="F26" s="79">
        <f t="shared" si="6"/>
        <v>8557686.9812993873</v>
      </c>
      <c r="G26" s="295">
        <f t="shared" si="7"/>
        <v>8557686.9812993873</v>
      </c>
      <c r="H26" s="82">
        <f t="shared" si="8"/>
        <v>-14176159.778535137</v>
      </c>
      <c r="J26"/>
      <c r="K26" s="305" t="s">
        <v>577</v>
      </c>
      <c r="L26" s="306" t="str">
        <f>IF(D12=K12,"OK","MAL")</f>
        <v>OK</v>
      </c>
    </row>
    <row r="27" spans="1:15">
      <c r="A27" s="443">
        <v>3</v>
      </c>
      <c r="B27" s="294">
        <f>'F- CFyU'!F7</f>
        <v>0</v>
      </c>
      <c r="C27" s="79">
        <f t="shared" si="5"/>
        <v>0</v>
      </c>
      <c r="D27" s="81">
        <v>0</v>
      </c>
      <c r="E27" s="294">
        <f>'F- CFyU'!E28</f>
        <v>7558645.1831071116</v>
      </c>
      <c r="F27" s="79">
        <f t="shared" si="6"/>
        <v>7558645.1831071116</v>
      </c>
      <c r="G27" s="295">
        <f t="shared" si="7"/>
        <v>7558645.1831071116</v>
      </c>
      <c r="H27" s="82">
        <f t="shared" si="8"/>
        <v>-6617514.5954280253</v>
      </c>
      <c r="J27"/>
      <c r="K27" s="305" t="s">
        <v>578</v>
      </c>
      <c r="L27" s="306" t="str">
        <f>IF(C12=0,"OK","MAL")</f>
        <v>OK</v>
      </c>
    </row>
    <row r="28" spans="1:15">
      <c r="A28" s="443">
        <v>4</v>
      </c>
      <c r="B28" s="294">
        <f>'F- CFyU'!E7</f>
        <v>0</v>
      </c>
      <c r="C28" s="79">
        <f t="shared" si="5"/>
        <v>0</v>
      </c>
      <c r="D28" s="81">
        <v>0</v>
      </c>
      <c r="E28" s="294">
        <f>'F- CFyU'!F28</f>
        <v>7507277.2053659745</v>
      </c>
      <c r="F28" s="79">
        <f t="shared" si="6"/>
        <v>7507277.2053659745</v>
      </c>
      <c r="G28" s="295">
        <f t="shared" si="7"/>
        <v>7507277.2053659745</v>
      </c>
      <c r="H28" s="82">
        <f t="shared" si="8"/>
        <v>889762.60993794911</v>
      </c>
      <c r="J28"/>
      <c r="K28" s="305" t="s">
        <v>579</v>
      </c>
      <c r="L28" s="306" t="str">
        <f>IF((H12-F12-E12+I12)=M12,IF(M12=N10,"OK","MAL"),"MAL")</f>
        <v>OK</v>
      </c>
    </row>
    <row r="29" spans="1:15">
      <c r="A29" s="443">
        <v>5</v>
      </c>
      <c r="B29" s="294">
        <f>+B10+C10+'F-Cred'!D6</f>
        <v>-22767028.143708467</v>
      </c>
      <c r="C29" s="79">
        <f t="shared" si="5"/>
        <v>-22767028.143708467</v>
      </c>
      <c r="D29" s="81">
        <v>0</v>
      </c>
      <c r="E29" s="294">
        <f>'F- CFyU'!G28</f>
        <v>7852168.1854244545</v>
      </c>
      <c r="F29" s="79">
        <f t="shared" si="6"/>
        <v>7852168.1854244545</v>
      </c>
      <c r="G29" s="295">
        <f t="shared" si="7"/>
        <v>30619196.329132922</v>
      </c>
      <c r="H29" s="82">
        <f t="shared" si="8"/>
        <v>31508958.939070873</v>
      </c>
      <c r="J29"/>
      <c r="K29" s="529" t="s">
        <v>740</v>
      </c>
      <c r="L29" s="529"/>
    </row>
    <row r="30" spans="1:15">
      <c r="A30" s="443"/>
      <c r="B30" s="278"/>
      <c r="C30" s="107"/>
      <c r="D30" s="107"/>
      <c r="E30" s="107"/>
      <c r="F30" s="107"/>
      <c r="G30" s="263"/>
      <c r="H30" s="115"/>
      <c r="J30"/>
      <c r="K30" s="305" t="s">
        <v>741</v>
      </c>
      <c r="L30" s="306" t="str">
        <f>IF((H12-E12-F12)=G31,"OK","MAL")</f>
        <v>OK</v>
      </c>
    </row>
    <row r="31" spans="1:15">
      <c r="A31" s="444" t="s">
        <v>570</v>
      </c>
      <c r="B31" s="282">
        <f t="shared" ref="B31:G31" si="9">+SUM(B24:B29)</f>
        <v>7734501.434159711</v>
      </c>
      <c r="C31" s="282">
        <f t="shared" si="9"/>
        <v>7734501.434159711</v>
      </c>
      <c r="D31" s="282">
        <f t="shared" si="9"/>
        <v>0</v>
      </c>
      <c r="E31" s="282">
        <f t="shared" si="9"/>
        <v>39243460.373230584</v>
      </c>
      <c r="F31" s="282">
        <f t="shared" si="9"/>
        <v>39243460.373230584</v>
      </c>
      <c r="G31" s="282">
        <f t="shared" si="9"/>
        <v>31508958.939070873</v>
      </c>
      <c r="H31" s="264"/>
      <c r="K31" s="305" t="s">
        <v>742</v>
      </c>
      <c r="L31" s="306" t="str">
        <f>IF(('F- CFyU'!H28-'F- CFyU'!H7-'F- CFyU'!H8+'F- CFyU'!H14-'F- CFyU'!H25+'F- CFyU'!H15)='F- Form'!G31,"OK","MAL")</f>
        <v>OK</v>
      </c>
    </row>
    <row r="32" spans="1:15">
      <c r="G32" s="445"/>
      <c r="K32" s="305" t="s">
        <v>743</v>
      </c>
      <c r="L32" s="306" t="str">
        <f>IF('F-CRes'!G14=G31,"OK","MAL")</f>
        <v>OK</v>
      </c>
    </row>
    <row r="33" spans="3:12">
      <c r="K33" s="305" t="s">
        <v>744</v>
      </c>
      <c r="L33" s="306" t="str">
        <f>IF(('F-Balance'!G33+'F-Balance'!G34)='F- Form'!G31,"OK","MAL")</f>
        <v>OK</v>
      </c>
    </row>
    <row r="34" spans="3:12">
      <c r="C34" s="446" t="s">
        <v>571</v>
      </c>
      <c r="D34" s="300">
        <f>+G31</f>
        <v>31508958.939070873</v>
      </c>
      <c r="E34" s="355" t="s">
        <v>745</v>
      </c>
      <c r="K34" s="305" t="s">
        <v>746</v>
      </c>
      <c r="L34" s="306" t="str">
        <f>IF(('F- CFyU'!H10-'F- CFyU'!H16-'F- CFyU'!H19-'F- CFyU'!H17)=G31,"OK","MAL")</f>
        <v>OK</v>
      </c>
    </row>
    <row r="35" spans="3:12">
      <c r="C35" s="446" t="s">
        <v>572</v>
      </c>
      <c r="D35" s="302"/>
      <c r="E35" s="355" t="s">
        <v>747</v>
      </c>
      <c r="K35" s="529" t="s">
        <v>748</v>
      </c>
      <c r="L35" s="529"/>
    </row>
    <row r="36" spans="3:12">
      <c r="C36" s="446" t="s">
        <v>749</v>
      </c>
      <c r="D36" s="303">
        <f>+IRR(G24:G29)</f>
        <v>0.23307252808420587</v>
      </c>
      <c r="K36" s="305" t="s">
        <v>750</v>
      </c>
      <c r="L36" s="306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0"/>
  <sheetViews>
    <sheetView zoomScaleNormal="100" workbookViewId="0">
      <selection activeCell="E14" sqref="E14"/>
    </sheetView>
  </sheetViews>
  <sheetFormatPr defaultColWidth="9.140625" defaultRowHeight="12.75"/>
  <sheetData>
    <row r="1" spans="1:20" ht="18">
      <c r="A1" s="530" t="s">
        <v>751</v>
      </c>
      <c r="B1" s="530"/>
      <c r="C1" s="530"/>
      <c r="D1" s="530"/>
      <c r="E1" s="530"/>
      <c r="F1" s="459" t="s">
        <v>752</v>
      </c>
      <c r="G1" s="58"/>
      <c r="H1" s="58"/>
    </row>
    <row r="2" spans="1:20" ht="12.75" customHeight="1">
      <c r="A2" s="531" t="s">
        <v>753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</row>
    <row r="3" spans="1:20">
      <c r="A3" s="531"/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</row>
    <row r="4" spans="1:20">
      <c r="A4" s="531"/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</row>
    <row r="5" spans="1:20">
      <c r="A5" s="531"/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</row>
    <row r="6" spans="1:20">
      <c r="A6" s="531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</row>
    <row r="7" spans="1:20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>
      <c r="A8" t="s">
        <v>754</v>
      </c>
    </row>
    <row r="9" spans="1:20">
      <c r="A9" t="s">
        <v>755</v>
      </c>
      <c r="H9" s="460">
        <v>350000</v>
      </c>
      <c r="I9" t="s">
        <v>756</v>
      </c>
      <c r="J9" s="184">
        <v>0.63229999999999997</v>
      </c>
      <c r="K9" t="s">
        <v>757</v>
      </c>
      <c r="M9" s="178">
        <v>6</v>
      </c>
      <c r="N9" t="s">
        <v>758</v>
      </c>
      <c r="P9" s="183">
        <v>0.25209999999999999</v>
      </c>
    </row>
    <row r="10" spans="1:20">
      <c r="A10" t="s">
        <v>759</v>
      </c>
      <c r="C10" s="184">
        <f>J9/2</f>
        <v>0.31614999999999999</v>
      </c>
    </row>
    <row r="11" spans="1:20">
      <c r="A11" t="s">
        <v>760</v>
      </c>
      <c r="C11">
        <f>H9*POWER((1+C10),M9)*C10/(POWER((1+C10),M9)-1)</f>
        <v>137011.18152764734</v>
      </c>
    </row>
    <row r="12" spans="1:20">
      <c r="A12" t="s">
        <v>761</v>
      </c>
      <c r="C12" s="461">
        <f>P9/2</f>
        <v>0.12605</v>
      </c>
    </row>
    <row r="21" spans="1:5" ht="18">
      <c r="A21" s="462" t="s">
        <v>762</v>
      </c>
      <c r="E21" s="459" t="s">
        <v>763</v>
      </c>
    </row>
    <row r="22" spans="1:5" ht="15">
      <c r="A22" s="463" t="s">
        <v>764</v>
      </c>
    </row>
    <row r="23" spans="1:5">
      <c r="A23" t="s">
        <v>765</v>
      </c>
    </row>
    <row r="24" spans="1:5">
      <c r="A24" t="s">
        <v>766</v>
      </c>
    </row>
    <row r="25" spans="1:5">
      <c r="A25" t="s">
        <v>767</v>
      </c>
    </row>
    <row r="26" spans="1:5">
      <c r="A26" t="s">
        <v>768</v>
      </c>
    </row>
    <row r="27" spans="1:5">
      <c r="A27" t="s">
        <v>769</v>
      </c>
    </row>
    <row r="28" spans="1:5">
      <c r="A28" t="s">
        <v>770</v>
      </c>
    </row>
    <row r="29" spans="1:5">
      <c r="A29" t="s">
        <v>771</v>
      </c>
    </row>
    <row r="30" spans="1:5">
      <c r="A30" t="s">
        <v>772</v>
      </c>
    </row>
  </sheetData>
  <sheetProtection selectLockedCells="1" selectUnlockedCells="1"/>
  <mergeCells count="2">
    <mergeCell ref="A1:E1"/>
    <mergeCell ref="A2:T6"/>
  </mergeCells>
  <hyperlinks>
    <hyperlink ref="F1" r:id="rId1" xr:uid="{00000000-0004-0000-1300-000000000000}"/>
    <hyperlink ref="E21" r:id="rId2" xr:uid="{00000000-0004-0000-1300-000001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I56"/>
  <sheetViews>
    <sheetView zoomScale="85" zoomScaleNormal="85" zoomScaleSheetLayoutView="70" workbookViewId="0">
      <selection activeCell="B8" sqref="B8"/>
    </sheetView>
  </sheetViews>
  <sheetFormatPr defaultColWidth="11.28515625" defaultRowHeight="12.75"/>
  <cols>
    <col min="1" max="1" width="45.28515625" style="17" customWidth="1"/>
    <col min="2" max="2" width="17.140625" style="17" customWidth="1"/>
    <col min="3" max="6" width="14.7109375" style="17" customWidth="1"/>
    <col min="7" max="7" width="16" style="17" customWidth="1"/>
    <col min="8" max="16384" width="11.28515625" style="17"/>
  </cols>
  <sheetData>
    <row r="1" spans="1:5">
      <c r="A1" s="1" t="s">
        <v>53</v>
      </c>
      <c r="B1"/>
      <c r="C1"/>
      <c r="D1"/>
      <c r="E1" s="2">
        <f>InfoInicial!E1</f>
        <v>7</v>
      </c>
    </row>
    <row r="3" spans="1:5" ht="15.75">
      <c r="A3" s="18" t="s">
        <v>54</v>
      </c>
      <c r="B3" s="502" t="s">
        <v>55</v>
      </c>
      <c r="C3" s="502"/>
      <c r="D3" s="503" t="s">
        <v>56</v>
      </c>
      <c r="E3" s="503"/>
    </row>
    <row r="4" spans="1:5" ht="15.75">
      <c r="A4" s="21"/>
      <c r="B4" s="22" t="s">
        <v>57</v>
      </c>
      <c r="C4" s="22" t="s">
        <v>58</v>
      </c>
      <c r="D4" s="22" t="s">
        <v>57</v>
      </c>
      <c r="E4" s="23" t="s">
        <v>58</v>
      </c>
    </row>
    <row r="5" spans="1:5">
      <c r="A5" s="24"/>
      <c r="B5" s="25"/>
      <c r="C5" s="25"/>
      <c r="D5" s="25"/>
      <c r="E5" s="25"/>
    </row>
    <row r="6" spans="1:5">
      <c r="A6" s="26" t="s">
        <v>59</v>
      </c>
      <c r="B6" s="27"/>
      <c r="C6" s="27"/>
      <c r="D6" s="27"/>
      <c r="E6" s="27"/>
    </row>
    <row r="7" spans="1:5">
      <c r="A7" s="28" t="s">
        <v>60</v>
      </c>
      <c r="B7" s="29">
        <f>'E-Inv AF y Am(Cálculos y links)'!C15*InfoInicial!B32*InfoInicial!B27</f>
        <v>9937380</v>
      </c>
      <c r="C7" s="29"/>
      <c r="D7" s="29"/>
      <c r="E7" s="29"/>
    </row>
    <row r="8" spans="1:5">
      <c r="A8" s="28" t="s">
        <v>61</v>
      </c>
      <c r="B8" s="29">
        <f>'E-Inv AF y Am(Cálculos y links)'!C16*InfoInicial!B27</f>
        <v>5727000</v>
      </c>
      <c r="C8" s="29"/>
      <c r="D8" s="29"/>
      <c r="E8" s="29"/>
    </row>
    <row r="9" spans="1:5">
      <c r="A9" s="28" t="s">
        <v>62</v>
      </c>
      <c r="B9" s="29">
        <f>B8*'E-Inv AF y Am(Cálculos y links)'!C17</f>
        <v>4581600</v>
      </c>
      <c r="C9" s="29"/>
      <c r="D9" s="29"/>
      <c r="E9" s="29"/>
    </row>
    <row r="10" spans="1:5">
      <c r="A10" s="28" t="s">
        <v>63</v>
      </c>
      <c r="B10" s="29"/>
      <c r="C10" s="29"/>
      <c r="D10" s="29"/>
      <c r="E10" s="29"/>
    </row>
    <row r="11" spans="1:5">
      <c r="A11" s="28" t="s">
        <v>64</v>
      </c>
      <c r="B11" s="29"/>
      <c r="C11" s="29"/>
      <c r="D11" s="29">
        <f>'E-Inv AF y Am(Cálculos y links)'!C21*1.05</f>
        <v>127741.95000000001</v>
      </c>
      <c r="E11" s="29"/>
    </row>
    <row r="12" spans="1:5">
      <c r="A12" s="28" t="s">
        <v>65</v>
      </c>
      <c r="B12" s="29">
        <f>'E-Inv AF y Am(Cálculos y links)'!C18+'E-Inv AF y Am(Cálculos y links)'!C19+'E-Inv AF y Am(Cálculos y links)'!C20+'E-Inv AF y Am(Cálculos y links)'!C22+'E-Inv AF y Am(Cálculos y links)'!C23+'E-Inv AF y Am(Cálculos y links)'!C24+'E-Inv AF y Am(Cálculos y links)'!C25</f>
        <v>274885.75</v>
      </c>
      <c r="C12" s="29"/>
      <c r="D12" s="29"/>
      <c r="E12" s="29"/>
    </row>
    <row r="13" spans="1:5">
      <c r="A13" s="30" t="s">
        <v>66</v>
      </c>
      <c r="B13" s="29">
        <f>D11*'E-Inv AF y Am(Cálculos y links)'!C26</f>
        <v>14051.614500000001</v>
      </c>
      <c r="C13" s="29"/>
      <c r="D13" s="29"/>
      <c r="E13" s="29"/>
    </row>
    <row r="14" spans="1:5">
      <c r="A14" s="28" t="s">
        <v>67</v>
      </c>
      <c r="B14" s="29">
        <f>(('E-Inv AF y Am(Cálculos y links)'!C33*'E-Inv AF y Am(Cálculos y links)'!C31)+('E-Inv AF y Am(Cálculos y links)'!C34*'E-Inv AF y Am(Cálculos y links)'!C32))+('E-Inv AF y Am(Cálculos y links)'!C27*'E-Inv AF y Am'!B12*'E-Inv AF y Am(Cálculos y links)'!C29)+('E-Inv AF y Am(Cálculos y links)'!C28*'E-Inv AF y Am'!D11*'E-Inv AF y Am(Cálculos y links)'!C30)</f>
        <v>22252.554</v>
      </c>
      <c r="C14" s="29"/>
      <c r="D14" s="29">
        <f>'E-Inv AF y Am(Cálculos y links)'!C28*'E-Inv AF y Am'!D11*'E-Inv AF y Am(Cálculos y links)'!C30</f>
        <v>2554.8390000000004</v>
      </c>
      <c r="E14" s="29"/>
    </row>
    <row r="15" spans="1:5">
      <c r="A15" s="28" t="s">
        <v>68</v>
      </c>
      <c r="B15" s="29">
        <f>'E-Inv AF y Am(Cálculos y links)'!C35+'E-Inv AF y Am(Cálculos y links)'!C36</f>
        <v>24420</v>
      </c>
      <c r="C15" s="29"/>
      <c r="D15" s="29"/>
      <c r="E15" s="29"/>
    </row>
    <row r="16" spans="1:5">
      <c r="A16" s="28" t="s">
        <v>69</v>
      </c>
      <c r="B16" s="29">
        <f>SUM('E-Inv AF y Am(Cálculos y links)'!C37:C65)</f>
        <v>227646</v>
      </c>
      <c r="C16" s="29"/>
      <c r="D16" s="29"/>
      <c r="E16" s="29"/>
    </row>
    <row r="17" spans="1:5">
      <c r="A17" s="28" t="s">
        <v>70</v>
      </c>
      <c r="B17" s="29"/>
      <c r="C17" s="29"/>
      <c r="D17" s="29"/>
      <c r="E17" s="29"/>
    </row>
    <row r="18" spans="1:5">
      <c r="A18" s="28" t="s">
        <v>21</v>
      </c>
      <c r="B18" s="29">
        <f>SUM(B7:B17)*InfoInicial!B15</f>
        <v>1519074.2220505001</v>
      </c>
      <c r="C18" s="29"/>
      <c r="D18" s="29">
        <f>SUM(D7:D17)</f>
        <v>130296.78900000002</v>
      </c>
      <c r="E18" s="29"/>
    </row>
    <row r="19" spans="1:5">
      <c r="A19" s="28"/>
      <c r="B19" s="29"/>
      <c r="C19" s="29"/>
      <c r="D19" s="29"/>
      <c r="E19" s="29"/>
    </row>
    <row r="20" spans="1:5">
      <c r="A20" s="26" t="s">
        <v>71</v>
      </c>
      <c r="B20" s="29">
        <f>SUM(B7:B18)</f>
        <v>22328310.140550502</v>
      </c>
      <c r="C20" s="29"/>
      <c r="D20" s="29">
        <f>SUM(D11:D18)</f>
        <v>260593.57800000004</v>
      </c>
      <c r="E20" s="29"/>
    </row>
    <row r="21" spans="1:5">
      <c r="A21" s="28"/>
      <c r="B21" s="31"/>
      <c r="C21" s="31"/>
      <c r="D21" s="31"/>
      <c r="E21" s="31"/>
    </row>
    <row r="22" spans="1:5">
      <c r="A22" s="26" t="s">
        <v>72</v>
      </c>
      <c r="B22" s="31"/>
      <c r="C22" s="31"/>
      <c r="D22" s="31"/>
      <c r="E22" s="31"/>
    </row>
    <row r="23" spans="1:5">
      <c r="A23" s="28" t="s">
        <v>73</v>
      </c>
      <c r="B23" s="29">
        <f>'E-Inv AF y Am(Cálculos y links)'!C68</f>
        <v>150000</v>
      </c>
      <c r="C23" s="29"/>
      <c r="D23" s="29"/>
      <c r="E23" s="29"/>
    </row>
    <row r="24" spans="1:5">
      <c r="A24" s="28" t="s">
        <v>74</v>
      </c>
      <c r="B24" s="29">
        <f>'E-Inv AF y Am(Cálculos y links)'!C69</f>
        <v>100000</v>
      </c>
      <c r="C24" s="29"/>
      <c r="D24" s="29"/>
      <c r="E24" s="29"/>
    </row>
    <row r="25" spans="1:5">
      <c r="A25" s="28" t="s">
        <v>75</v>
      </c>
      <c r="B25" s="29">
        <f>'E-Inv AF y Am(Cálculos y links)'!C70</f>
        <v>1000000</v>
      </c>
      <c r="C25" s="29"/>
      <c r="D25" s="29"/>
      <c r="E25" s="29"/>
    </row>
    <row r="26" spans="1:5">
      <c r="A26" s="30" t="s">
        <v>76</v>
      </c>
      <c r="B26" s="29"/>
      <c r="C26" s="29">
        <f>'E-Inv AF y Am(Cálculos y links)'!C71</f>
        <v>150000</v>
      </c>
      <c r="D26" s="29"/>
      <c r="E26" s="29"/>
    </row>
    <row r="27" spans="1:5">
      <c r="A27" s="30" t="s">
        <v>77</v>
      </c>
      <c r="B27" s="29">
        <v>0</v>
      </c>
      <c r="C27" s="29"/>
      <c r="D27" s="29"/>
      <c r="E27" s="29"/>
    </row>
    <row r="28" spans="1:5">
      <c r="A28" s="30" t="s">
        <v>78</v>
      </c>
      <c r="B28" s="29">
        <v>0</v>
      </c>
      <c r="C28" s="29"/>
      <c r="D28" s="29"/>
      <c r="E28" s="29"/>
    </row>
    <row r="29" spans="1:5">
      <c r="A29" s="28" t="s">
        <v>21</v>
      </c>
      <c r="B29" s="29">
        <f>SUM(B23:B28)*InfoInicial!B15</f>
        <v>91250</v>
      </c>
      <c r="C29" s="29">
        <f>SUM(C23:C28)*InfoInicial!B15</f>
        <v>10950</v>
      </c>
      <c r="D29" s="29"/>
      <c r="E29" s="29"/>
    </row>
    <row r="30" spans="1:5">
      <c r="A30" s="28"/>
      <c r="B30" s="29"/>
      <c r="C30" s="29"/>
      <c r="D30" s="29"/>
      <c r="E30" s="29"/>
    </row>
    <row r="31" spans="1:5">
      <c r="A31" s="26" t="s">
        <v>79</v>
      </c>
      <c r="B31" s="29">
        <f>SUM(B23:B30)</f>
        <v>1341250</v>
      </c>
      <c r="C31" s="29">
        <f>SUM(C23:C30)</f>
        <v>160950</v>
      </c>
      <c r="D31" s="29"/>
      <c r="E31" s="29"/>
    </row>
    <row r="32" spans="1:5">
      <c r="A32" s="28"/>
      <c r="B32" s="31"/>
      <c r="C32" s="31"/>
      <c r="D32" s="31"/>
      <c r="E32" s="31"/>
    </row>
    <row r="33" spans="1:7">
      <c r="A33" s="26" t="s">
        <v>80</v>
      </c>
      <c r="B33" s="29">
        <f>B20+B31</f>
        <v>23669560.140550502</v>
      </c>
      <c r="C33" s="29">
        <f>C31</f>
        <v>160950</v>
      </c>
      <c r="D33" s="29">
        <f>SUM(D11:D20)</f>
        <v>521187.15600000008</v>
      </c>
      <c r="E33" s="29"/>
    </row>
    <row r="34" spans="1:7">
      <c r="A34" s="26" t="s">
        <v>81</v>
      </c>
      <c r="B34" s="29">
        <f>B33*InfoInicial!B3</f>
        <v>4970607.629515605</v>
      </c>
      <c r="C34" s="29">
        <f>C33*InfoInicial!B3</f>
        <v>33799.5</v>
      </c>
      <c r="D34" s="29">
        <f>D33*InfoInicial!B3</f>
        <v>109449.30276000001</v>
      </c>
      <c r="E34" s="29"/>
    </row>
    <row r="35" spans="1:7">
      <c r="A35" s="28"/>
      <c r="B35" s="31"/>
      <c r="C35" s="31"/>
      <c r="D35" s="31"/>
      <c r="E35" s="31"/>
    </row>
    <row r="36" spans="1:7">
      <c r="A36" s="32" t="s">
        <v>82</v>
      </c>
      <c r="B36" s="33">
        <f>B33+B34</f>
        <v>28640167.770066105</v>
      </c>
      <c r="C36" s="33">
        <f>C33+C34</f>
        <v>194749.5</v>
      </c>
      <c r="D36" s="33">
        <f>D33+D34</f>
        <v>630636.45876000007</v>
      </c>
      <c r="E36" s="33"/>
    </row>
    <row r="39" spans="1:7">
      <c r="A39" s="34" t="s">
        <v>83</v>
      </c>
      <c r="B39" s="19" t="s">
        <v>84</v>
      </c>
      <c r="C39" s="19" t="s">
        <v>85</v>
      </c>
      <c r="D39" s="502" t="s">
        <v>86</v>
      </c>
      <c r="E39" s="502"/>
      <c r="F39" s="502"/>
      <c r="G39" s="35" t="s">
        <v>87</v>
      </c>
    </row>
    <row r="40" spans="1:7">
      <c r="A40" s="36"/>
      <c r="B40" s="22" t="s">
        <v>88</v>
      </c>
      <c r="C40" s="22"/>
      <c r="D40" s="22" t="s">
        <v>89</v>
      </c>
      <c r="E40" s="22" t="s">
        <v>90</v>
      </c>
      <c r="F40" s="22"/>
      <c r="G40" s="37"/>
    </row>
    <row r="41" spans="1:7">
      <c r="A41" s="38" t="s">
        <v>91</v>
      </c>
      <c r="B41" s="39"/>
      <c r="C41" s="39"/>
      <c r="D41" s="39"/>
      <c r="E41" s="39"/>
      <c r="F41" s="40"/>
      <c r="G41" s="41"/>
    </row>
    <row r="42" spans="1:7">
      <c r="A42" s="42"/>
      <c r="B42" s="43"/>
      <c r="C42" s="43"/>
      <c r="D42" s="43"/>
      <c r="E42" s="43"/>
      <c r="F42" s="44"/>
      <c r="G42" s="45"/>
    </row>
    <row r="43" spans="1:7">
      <c r="A43" s="28" t="s">
        <v>60</v>
      </c>
      <c r="B43" s="29">
        <f t="shared" ref="B43:B45" si="0">+B7</f>
        <v>9937380</v>
      </c>
      <c r="C43" s="46"/>
      <c r="D43" s="29"/>
      <c r="E43" s="29"/>
      <c r="F43" s="29"/>
      <c r="G43" s="47">
        <f t="shared" ref="G43:G50" si="1">B43-3*D43-2*E43</f>
        <v>9937380</v>
      </c>
    </row>
    <row r="44" spans="1:7">
      <c r="A44" s="28" t="s">
        <v>61</v>
      </c>
      <c r="B44" s="29">
        <f t="shared" si="0"/>
        <v>5727000</v>
      </c>
      <c r="C44" s="46">
        <f>1/InfoInicial!B8</f>
        <v>3.3333333333333333E-2</v>
      </c>
      <c r="D44" s="29">
        <f t="shared" ref="D44:D50" si="2">+B44*C44</f>
        <v>190900</v>
      </c>
      <c r="E44" s="29">
        <f t="shared" ref="E44:E49" si="3">+B44*C44</f>
        <v>190900</v>
      </c>
      <c r="F44" s="29"/>
      <c r="G44" s="47">
        <f t="shared" si="1"/>
        <v>4772500</v>
      </c>
    </row>
    <row r="45" spans="1:7">
      <c r="A45" s="28" t="s">
        <v>62</v>
      </c>
      <c r="B45" s="29">
        <f t="shared" si="0"/>
        <v>4581600</v>
      </c>
      <c r="C45" s="46">
        <f>1/InfoInicial!B9</f>
        <v>0.1</v>
      </c>
      <c r="D45" s="29">
        <f t="shared" si="2"/>
        <v>458160</v>
      </c>
      <c r="E45" s="29">
        <f t="shared" si="3"/>
        <v>458160</v>
      </c>
      <c r="F45" s="29"/>
      <c r="G45" s="47">
        <f t="shared" si="1"/>
        <v>2290800</v>
      </c>
    </row>
    <row r="46" spans="1:7">
      <c r="A46" s="30" t="s">
        <v>63</v>
      </c>
      <c r="B46" s="29">
        <f>+B12+B13+B14+D14</f>
        <v>313744.75750000001</v>
      </c>
      <c r="C46" s="46">
        <f>1/InfoInicial!B10</f>
        <v>0.1</v>
      </c>
      <c r="D46" s="29">
        <f t="shared" si="2"/>
        <v>31374.475750000001</v>
      </c>
      <c r="E46" s="29">
        <f t="shared" si="3"/>
        <v>31374.475750000001</v>
      </c>
      <c r="F46" s="29"/>
      <c r="G46" s="47">
        <f t="shared" si="1"/>
        <v>156872.37875</v>
      </c>
    </row>
    <row r="47" spans="1:7">
      <c r="A47" s="30" t="s">
        <v>68</v>
      </c>
      <c r="B47" s="29">
        <f t="shared" ref="B47:B48" si="4">+B15</f>
        <v>24420</v>
      </c>
      <c r="C47" s="46">
        <f>1/InfoInicial!B11</f>
        <v>0.2</v>
      </c>
      <c r="D47" s="29">
        <f t="shared" si="2"/>
        <v>4884</v>
      </c>
      <c r="E47" s="29">
        <f t="shared" si="3"/>
        <v>4884</v>
      </c>
      <c r="F47" s="29"/>
      <c r="G47" s="47">
        <f t="shared" si="1"/>
        <v>0</v>
      </c>
    </row>
    <row r="48" spans="1:7">
      <c r="A48" s="30" t="s">
        <v>69</v>
      </c>
      <c r="B48" s="29">
        <f t="shared" si="4"/>
        <v>227646</v>
      </c>
      <c r="C48" s="46">
        <f>1/InfoInicial!B12</f>
        <v>0.2</v>
      </c>
      <c r="D48" s="29">
        <f t="shared" si="2"/>
        <v>45529.200000000004</v>
      </c>
      <c r="E48" s="29">
        <f t="shared" si="3"/>
        <v>45529.200000000004</v>
      </c>
      <c r="F48" s="29"/>
      <c r="G48" s="47">
        <f t="shared" si="1"/>
        <v>0</v>
      </c>
    </row>
    <row r="49" spans="1:9">
      <c r="A49" s="30" t="s">
        <v>21</v>
      </c>
      <c r="B49" s="29">
        <f>+B18+D18</f>
        <v>1649371.0110505002</v>
      </c>
      <c r="C49" s="46">
        <f>1/InfoInicial!B14</f>
        <v>0.2</v>
      </c>
      <c r="D49" s="29">
        <f t="shared" si="2"/>
        <v>329874.20221010008</v>
      </c>
      <c r="E49" s="29">
        <f t="shared" si="3"/>
        <v>329874.20221010008</v>
      </c>
      <c r="F49" s="29"/>
      <c r="G49" s="47">
        <f t="shared" si="1"/>
        <v>0</v>
      </c>
    </row>
    <row r="50" spans="1:9">
      <c r="A50" s="30" t="s">
        <v>92</v>
      </c>
      <c r="B50" s="29">
        <f>+D11</f>
        <v>127741.95000000001</v>
      </c>
      <c r="C50" s="46">
        <f>1/InfoInicial!B13</f>
        <v>0.33333333333333331</v>
      </c>
      <c r="D50" s="29">
        <f t="shared" si="2"/>
        <v>42580.65</v>
      </c>
      <c r="E50" s="29"/>
      <c r="F50" s="29"/>
      <c r="G50" s="47">
        <f t="shared" si="1"/>
        <v>0</v>
      </c>
    </row>
    <row r="51" spans="1:9">
      <c r="A51" s="48" t="s">
        <v>93</v>
      </c>
      <c r="B51" s="29">
        <f>+SUM(B43:B50)</f>
        <v>22588903.7185505</v>
      </c>
      <c r="C51" s="29"/>
      <c r="D51" s="29">
        <f>+SUM(D44:D50)</f>
        <v>1103302.5279601</v>
      </c>
      <c r="E51" s="29">
        <f>+SUM(E44:E50)</f>
        <v>1060721.8779601001</v>
      </c>
      <c r="F51" s="29"/>
      <c r="G51" s="47">
        <f>SUM(G43:G50)</f>
        <v>17157552.37875</v>
      </c>
    </row>
    <row r="52" spans="1:9">
      <c r="A52" s="26"/>
      <c r="B52" s="49"/>
      <c r="C52" s="50"/>
      <c r="D52" s="51"/>
      <c r="E52" s="51"/>
      <c r="F52" s="51"/>
      <c r="G52" s="52"/>
    </row>
    <row r="53" spans="1:9">
      <c r="A53" s="48" t="s">
        <v>94</v>
      </c>
      <c r="B53" s="29">
        <f>+B31+C31</f>
        <v>1502200</v>
      </c>
      <c r="C53" s="46">
        <f>1/InfoInicial!B14</f>
        <v>0.2</v>
      </c>
      <c r="D53" s="29">
        <f>+B53*C53</f>
        <v>300440</v>
      </c>
      <c r="E53" s="29">
        <f>+B53*C53</f>
        <v>300440</v>
      </c>
      <c r="F53" s="29"/>
      <c r="G53" s="47"/>
    </row>
    <row r="54" spans="1:9">
      <c r="A54" s="48"/>
      <c r="B54" s="29"/>
      <c r="C54" s="29"/>
      <c r="D54" s="29"/>
      <c r="E54" s="29"/>
      <c r="F54" s="29"/>
      <c r="G54" s="47"/>
    </row>
    <row r="55" spans="1:9">
      <c r="A55" s="26"/>
      <c r="B55" s="27"/>
      <c r="C55" s="27"/>
      <c r="D55" s="53"/>
      <c r="E55" s="54"/>
      <c r="F55" s="54"/>
      <c r="G55" s="55"/>
      <c r="H55" s="56"/>
      <c r="I55" s="56"/>
    </row>
    <row r="56" spans="1:9">
      <c r="A56" s="32" t="s">
        <v>95</v>
      </c>
      <c r="B56" s="33">
        <f>+B51+B53</f>
        <v>24091103.7185505</v>
      </c>
      <c r="C56" s="33"/>
      <c r="D56" s="33">
        <f>+D51+D53</f>
        <v>1403742.5279601</v>
      </c>
      <c r="E56" s="33">
        <f>+E51+E53</f>
        <v>1361161.8779601001</v>
      </c>
      <c r="F56" s="33"/>
      <c r="G56" s="33">
        <f>G51+G53</f>
        <v>17157552.37875</v>
      </c>
      <c r="H56" s="57"/>
      <c r="I56" s="57"/>
    </row>
  </sheetData>
  <sheetProtection selectLockedCells="1" selectUnlockedCells="1"/>
  <mergeCells count="3">
    <mergeCell ref="B3:C3"/>
    <mergeCell ref="D3:E3"/>
    <mergeCell ref="D39:F39"/>
  </mergeCells>
  <pageMargins left="0.43333333333333335" right="0.74791666666666667" top="0.55138888888888893" bottom="1.4173611111111111" header="0.51180555555555551" footer="0.51180555555555551"/>
  <pageSetup paperSize="9" firstPageNumber="0" fitToHeight="3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topLeftCell="A43" zoomScale="120" zoomScaleNormal="120" workbookViewId="0">
      <selection activeCell="F16" sqref="F16"/>
    </sheetView>
  </sheetViews>
  <sheetFormatPr defaultColWidth="11.140625" defaultRowHeight="12.75"/>
  <cols>
    <col min="1" max="1" width="9.140625" customWidth="1"/>
    <col min="2" max="2" width="31" customWidth="1"/>
    <col min="3" max="3" width="25.42578125" customWidth="1"/>
    <col min="4" max="4" width="14" customWidth="1"/>
    <col min="5" max="5" width="17.42578125" customWidth="1"/>
    <col min="6" max="6" width="38" style="58" customWidth="1"/>
    <col min="7" max="7" width="55.7109375" style="58" customWidth="1"/>
  </cols>
  <sheetData>
    <row r="1" spans="1:11">
      <c r="A1" s="505" t="s">
        <v>96</v>
      </c>
      <c r="B1" s="505"/>
      <c r="C1" s="505"/>
    </row>
    <row r="2" spans="1:11">
      <c r="A2" t="s">
        <v>97</v>
      </c>
      <c r="C2" t="s">
        <v>98</v>
      </c>
    </row>
    <row r="3" spans="1:11">
      <c r="A3" s="504" t="s">
        <v>99</v>
      </c>
      <c r="B3" s="504"/>
      <c r="C3" t="s">
        <v>98</v>
      </c>
    </row>
    <row r="4" spans="1:11">
      <c r="A4" s="504" t="s">
        <v>100</v>
      </c>
      <c r="B4" s="504"/>
      <c r="C4" t="s">
        <v>98</v>
      </c>
    </row>
    <row r="5" spans="1:11">
      <c r="A5" s="504" t="s">
        <v>101</v>
      </c>
      <c r="B5" s="504"/>
      <c r="C5" s="504" t="s">
        <v>102</v>
      </c>
      <c r="D5" s="504"/>
      <c r="E5" s="58"/>
    </row>
    <row r="6" spans="1:11">
      <c r="A6" s="504" t="s">
        <v>103</v>
      </c>
      <c r="B6" s="504"/>
      <c r="C6" t="s">
        <v>104</v>
      </c>
    </row>
    <row r="7" spans="1:11">
      <c r="A7" s="504" t="s">
        <v>105</v>
      </c>
      <c r="B7" s="504"/>
    </row>
    <row r="14" spans="1:11">
      <c r="A14" s="505" t="s">
        <v>106</v>
      </c>
      <c r="B14" s="505"/>
      <c r="C14" s="59" t="s">
        <v>107</v>
      </c>
      <c r="D14" s="59" t="s">
        <v>108</v>
      </c>
      <c r="E14" s="59" t="s">
        <v>109</v>
      </c>
      <c r="F14" s="59" t="s">
        <v>110</v>
      </c>
      <c r="G14" s="60" t="s">
        <v>111</v>
      </c>
    </row>
    <row r="15" spans="1:11">
      <c r="A15" s="504" t="s">
        <v>112</v>
      </c>
      <c r="B15" s="504"/>
      <c r="C15" s="61">
        <v>190</v>
      </c>
      <c r="D15" s="62"/>
      <c r="E15" s="61"/>
      <c r="F15" s="62" t="s">
        <v>113</v>
      </c>
      <c r="G15" s="60" t="s">
        <v>111</v>
      </c>
      <c r="K15" t="s">
        <v>114</v>
      </c>
    </row>
    <row r="16" spans="1:11">
      <c r="A16" s="504" t="s">
        <v>115</v>
      </c>
      <c r="B16" s="504"/>
      <c r="C16" s="61">
        <v>4150</v>
      </c>
      <c r="D16" s="62"/>
      <c r="E16" s="61"/>
      <c r="F16" s="61" t="s">
        <v>116</v>
      </c>
      <c r="G16" s="60" t="s">
        <v>117</v>
      </c>
    </row>
    <row r="17" spans="1:13">
      <c r="A17" s="504"/>
      <c r="B17" s="504"/>
      <c r="C17" s="63">
        <v>0.8</v>
      </c>
      <c r="D17" s="61"/>
      <c r="E17" s="61"/>
      <c r="F17" s="61" t="s">
        <v>118</v>
      </c>
      <c r="G17" s="60" t="s">
        <v>111</v>
      </c>
    </row>
    <row r="18" spans="1:13">
      <c r="A18" s="504" t="s">
        <v>119</v>
      </c>
      <c r="B18" s="504"/>
      <c r="C18" s="64">
        <v>24599</v>
      </c>
      <c r="D18" s="61"/>
      <c r="E18" s="61"/>
      <c r="F18" s="65" t="s">
        <v>120</v>
      </c>
      <c r="G18" s="60" t="s">
        <v>111</v>
      </c>
      <c r="M18" t="s">
        <v>121</v>
      </c>
    </row>
    <row r="19" spans="1:13">
      <c r="C19" s="64">
        <f>2*910*InfoInicial!B32</f>
        <v>68978</v>
      </c>
      <c r="D19" s="61"/>
      <c r="E19" s="61"/>
      <c r="F19" s="65" t="s">
        <v>122</v>
      </c>
      <c r="G19" s="60" t="s">
        <v>111</v>
      </c>
    </row>
    <row r="20" spans="1:13">
      <c r="C20" s="64">
        <v>34641.75</v>
      </c>
      <c r="D20" s="61"/>
      <c r="E20" s="61"/>
      <c r="F20" s="65" t="s">
        <v>123</v>
      </c>
      <c r="G20" s="60" t="s">
        <v>111</v>
      </c>
    </row>
    <row r="21" spans="1:13">
      <c r="C21" s="64">
        <f>(3000*1.07)*InfoInicial!B32</f>
        <v>121659</v>
      </c>
      <c r="D21" s="61"/>
      <c r="E21" s="61"/>
      <c r="F21" s="65" t="s">
        <v>124</v>
      </c>
      <c r="G21" s="60" t="s">
        <v>111</v>
      </c>
    </row>
    <row r="22" spans="1:13">
      <c r="C22" s="64">
        <v>99503</v>
      </c>
      <c r="D22" s="61"/>
      <c r="E22" s="61"/>
      <c r="F22" s="65" t="s">
        <v>125</v>
      </c>
      <c r="G22" s="60" t="s">
        <v>111</v>
      </c>
    </row>
    <row r="23" spans="1:13">
      <c r="C23" s="64">
        <v>7764</v>
      </c>
      <c r="D23" s="61"/>
      <c r="E23" s="61"/>
      <c r="F23" s="65" t="s">
        <v>126</v>
      </c>
      <c r="G23" s="60" t="s">
        <v>111</v>
      </c>
    </row>
    <row r="24" spans="1:13">
      <c r="C24" s="64">
        <v>4400</v>
      </c>
      <c r="D24" s="61"/>
      <c r="E24" s="61"/>
      <c r="F24" s="65" t="s">
        <v>127</v>
      </c>
      <c r="G24" s="60" t="s">
        <v>111</v>
      </c>
    </row>
    <row r="25" spans="1:13">
      <c r="C25" s="64">
        <v>35000</v>
      </c>
      <c r="D25" s="61" t="s">
        <v>128</v>
      </c>
      <c r="E25" s="61"/>
      <c r="F25" s="65"/>
      <c r="G25" s="60" t="s">
        <v>111</v>
      </c>
    </row>
    <row r="26" spans="1:13">
      <c r="A26" s="504" t="s">
        <v>66</v>
      </c>
      <c r="B26" s="504"/>
      <c r="C26" s="63">
        <v>0.11</v>
      </c>
      <c r="D26" s="61" t="s">
        <v>118</v>
      </c>
      <c r="E26" s="61"/>
      <c r="F26" s="65"/>
      <c r="G26" s="60" t="s">
        <v>111</v>
      </c>
    </row>
    <row r="27" spans="1:13">
      <c r="A27" s="504" t="s">
        <v>67</v>
      </c>
      <c r="B27" s="504"/>
      <c r="C27" s="63">
        <v>0.02</v>
      </c>
      <c r="D27" s="61" t="s">
        <v>129</v>
      </c>
      <c r="E27" s="61"/>
      <c r="F27" s="65"/>
      <c r="G27" s="60" t="s">
        <v>111</v>
      </c>
    </row>
    <row r="28" spans="1:13">
      <c r="C28" s="63">
        <v>0.04</v>
      </c>
      <c r="D28" s="61" t="s">
        <v>130</v>
      </c>
      <c r="E28" s="61"/>
      <c r="F28" s="65"/>
      <c r="G28" s="60" t="s">
        <v>111</v>
      </c>
    </row>
    <row r="29" spans="1:13">
      <c r="C29" s="63">
        <v>1</v>
      </c>
      <c r="D29" s="61" t="s">
        <v>131</v>
      </c>
      <c r="E29" s="61"/>
      <c r="F29" s="65"/>
      <c r="G29" s="60" t="s">
        <v>111</v>
      </c>
    </row>
    <row r="30" spans="1:13">
      <c r="C30" s="63">
        <v>0.5</v>
      </c>
      <c r="D30" s="61" t="s">
        <v>132</v>
      </c>
      <c r="E30" s="61"/>
      <c r="F30" s="65"/>
      <c r="G30" s="60" t="s">
        <v>111</v>
      </c>
    </row>
    <row r="31" spans="1:13">
      <c r="C31" s="64">
        <v>700</v>
      </c>
      <c r="D31" s="61" t="s">
        <v>133</v>
      </c>
      <c r="E31" s="61"/>
      <c r="F31" s="65"/>
      <c r="G31" s="60" t="s">
        <v>111</v>
      </c>
    </row>
    <row r="32" spans="1:13">
      <c r="C32" s="64">
        <v>5000</v>
      </c>
      <c r="D32" s="61" t="s">
        <v>134</v>
      </c>
      <c r="E32" s="61"/>
      <c r="F32" s="65"/>
      <c r="G32" s="60" t="s">
        <v>111</v>
      </c>
    </row>
    <row r="33" spans="1:7">
      <c r="C33" s="66">
        <v>6</v>
      </c>
      <c r="D33" s="61" t="s">
        <v>135</v>
      </c>
      <c r="E33" s="61"/>
      <c r="F33" s="65"/>
      <c r="G33" s="60" t="s">
        <v>111</v>
      </c>
    </row>
    <row r="34" spans="1:7">
      <c r="C34" s="66">
        <v>2</v>
      </c>
      <c r="D34" s="61" t="s">
        <v>136</v>
      </c>
      <c r="E34" s="61"/>
      <c r="F34" s="65"/>
      <c r="G34" s="60" t="s">
        <v>111</v>
      </c>
    </row>
    <row r="35" spans="1:7">
      <c r="A35" s="504" t="s">
        <v>68</v>
      </c>
      <c r="B35" s="504"/>
      <c r="C35" s="64">
        <v>19800</v>
      </c>
      <c r="D35" s="61" t="s">
        <v>137</v>
      </c>
      <c r="E35" s="61"/>
      <c r="F35" s="65"/>
      <c r="G35" s="60" t="s">
        <v>111</v>
      </c>
    </row>
    <row r="36" spans="1:7">
      <c r="C36" s="64">
        <v>4620</v>
      </c>
      <c r="D36" s="61" t="s">
        <v>138</v>
      </c>
      <c r="E36" s="61"/>
      <c r="F36" t="s">
        <v>139</v>
      </c>
      <c r="G36" s="60" t="s">
        <v>111</v>
      </c>
    </row>
    <row r="37" spans="1:7">
      <c r="A37" s="504" t="s">
        <v>140</v>
      </c>
      <c r="B37" s="504"/>
      <c r="C37" s="64">
        <f>13458*2</f>
        <v>26916</v>
      </c>
      <c r="D37" s="67">
        <v>2</v>
      </c>
      <c r="E37" s="67" t="s">
        <v>141</v>
      </c>
      <c r="F37" s="68" t="s">
        <v>142</v>
      </c>
      <c r="G37" s="60" t="s">
        <v>111</v>
      </c>
    </row>
    <row r="38" spans="1:7">
      <c r="C38" s="64">
        <f>1660*3</f>
        <v>4980</v>
      </c>
      <c r="D38" s="67">
        <v>3</v>
      </c>
      <c r="E38" s="67" t="s">
        <v>143</v>
      </c>
      <c r="F38" s="68" t="s">
        <v>144</v>
      </c>
      <c r="G38" s="60" t="s">
        <v>111</v>
      </c>
    </row>
    <row r="39" spans="1:7">
      <c r="C39" s="64">
        <v>2263</v>
      </c>
      <c r="D39" s="67">
        <v>1</v>
      </c>
      <c r="E39" s="67" t="s">
        <v>145</v>
      </c>
      <c r="F39" s="67" t="s">
        <v>146</v>
      </c>
      <c r="G39" s="60" t="s">
        <v>111</v>
      </c>
    </row>
    <row r="40" spans="1:7">
      <c r="C40" s="64">
        <f>1299*2</f>
        <v>2598</v>
      </c>
      <c r="D40" s="67">
        <v>2</v>
      </c>
      <c r="E40" s="67" t="s">
        <v>147</v>
      </c>
      <c r="F40" s="67" t="s">
        <v>148</v>
      </c>
      <c r="G40" s="60" t="s">
        <v>111</v>
      </c>
    </row>
    <row r="41" spans="1:7">
      <c r="C41" s="64">
        <f>4189*2</f>
        <v>8378</v>
      </c>
      <c r="D41" s="67">
        <v>2</v>
      </c>
      <c r="E41" s="67" t="s">
        <v>149</v>
      </c>
      <c r="F41" s="67" t="s">
        <v>150</v>
      </c>
      <c r="G41" s="60" t="s">
        <v>111</v>
      </c>
    </row>
    <row r="42" spans="1:7">
      <c r="C42" s="64">
        <f>396*4</f>
        <v>1584</v>
      </c>
      <c r="D42" s="67">
        <v>4</v>
      </c>
      <c r="E42" s="67" t="s">
        <v>151</v>
      </c>
      <c r="F42" s="67" t="s">
        <v>152</v>
      </c>
      <c r="G42" s="60" t="s">
        <v>111</v>
      </c>
    </row>
    <row r="43" spans="1:7">
      <c r="C43" s="69">
        <f>11000*5</f>
        <v>55000</v>
      </c>
      <c r="D43" s="67">
        <v>5</v>
      </c>
      <c r="E43" s="67" t="s">
        <v>153</v>
      </c>
      <c r="F43" s="67" t="s">
        <v>154</v>
      </c>
      <c r="G43" s="60" t="s">
        <v>111</v>
      </c>
    </row>
    <row r="44" spans="1:7">
      <c r="C44" s="64">
        <f>165*2</f>
        <v>330</v>
      </c>
      <c r="D44" s="67">
        <v>2</v>
      </c>
      <c r="E44" s="67" t="s">
        <v>155</v>
      </c>
      <c r="F44" s="67" t="s">
        <v>156</v>
      </c>
      <c r="G44" s="60" t="s">
        <v>111</v>
      </c>
    </row>
    <row r="45" spans="1:7">
      <c r="C45" s="64">
        <v>520</v>
      </c>
      <c r="D45" s="67">
        <v>1</v>
      </c>
      <c r="E45" s="67" t="s">
        <v>157</v>
      </c>
      <c r="F45" s="67" t="s">
        <v>158</v>
      </c>
      <c r="G45" s="60" t="s">
        <v>111</v>
      </c>
    </row>
    <row r="46" spans="1:7">
      <c r="C46" s="64">
        <v>1567</v>
      </c>
      <c r="D46" s="67">
        <v>2</v>
      </c>
      <c r="E46" s="67" t="s">
        <v>159</v>
      </c>
      <c r="F46" s="67" t="s">
        <v>160</v>
      </c>
      <c r="G46" s="60" t="s">
        <v>111</v>
      </c>
    </row>
    <row r="47" spans="1:7">
      <c r="C47" s="64">
        <f>2300*4</f>
        <v>9200</v>
      </c>
      <c r="D47" s="67">
        <v>4</v>
      </c>
      <c r="E47" s="67" t="s">
        <v>161</v>
      </c>
      <c r="F47" s="67" t="s">
        <v>162</v>
      </c>
      <c r="G47" s="60" t="s">
        <v>111</v>
      </c>
    </row>
    <row r="48" spans="1:7">
      <c r="C48" s="69">
        <f>280*3</f>
        <v>840</v>
      </c>
      <c r="D48" s="67">
        <v>3</v>
      </c>
      <c r="E48" s="67" t="s">
        <v>163</v>
      </c>
      <c r="F48" s="67" t="s">
        <v>164</v>
      </c>
      <c r="G48" s="60" t="s">
        <v>111</v>
      </c>
    </row>
    <row r="49" spans="3:7">
      <c r="C49" s="64">
        <f>13499</f>
        <v>13499</v>
      </c>
      <c r="D49" s="67">
        <v>1</v>
      </c>
      <c r="E49" s="67" t="s">
        <v>165</v>
      </c>
      <c r="F49" s="67" t="s">
        <v>166</v>
      </c>
      <c r="G49" s="60" t="s">
        <v>111</v>
      </c>
    </row>
    <row r="50" spans="3:7">
      <c r="C50" s="64">
        <f>2489*2</f>
        <v>4978</v>
      </c>
      <c r="D50" s="67">
        <v>2</v>
      </c>
      <c r="E50" s="67" t="s">
        <v>167</v>
      </c>
      <c r="F50" s="67" t="s">
        <v>168</v>
      </c>
      <c r="G50" s="60" t="s">
        <v>111</v>
      </c>
    </row>
    <row r="51" spans="3:7">
      <c r="C51" s="64">
        <f>1740*3</f>
        <v>5220</v>
      </c>
      <c r="D51" s="67">
        <v>3</v>
      </c>
      <c r="E51" s="67" t="s">
        <v>169</v>
      </c>
      <c r="F51" s="67" t="s">
        <v>170</v>
      </c>
      <c r="G51" s="60" t="s">
        <v>111</v>
      </c>
    </row>
    <row r="52" spans="3:7">
      <c r="C52" s="64">
        <v>8900</v>
      </c>
      <c r="D52" s="67">
        <v>12</v>
      </c>
      <c r="E52" s="67" t="s">
        <v>171</v>
      </c>
      <c r="F52" s="67" t="s">
        <v>172</v>
      </c>
      <c r="G52" s="60" t="s">
        <v>111</v>
      </c>
    </row>
    <row r="53" spans="3:7">
      <c r="C53" s="64">
        <v>1999</v>
      </c>
      <c r="D53" s="67">
        <v>1</v>
      </c>
      <c r="E53" s="67" t="s">
        <v>173</v>
      </c>
      <c r="F53" s="67" t="s">
        <v>174</v>
      </c>
      <c r="G53" s="60" t="s">
        <v>111</v>
      </c>
    </row>
    <row r="54" spans="3:7">
      <c r="C54" s="64">
        <v>1100</v>
      </c>
      <c r="D54" s="67">
        <v>1</v>
      </c>
      <c r="E54" s="67" t="s">
        <v>175</v>
      </c>
      <c r="F54" s="67" t="s">
        <v>176</v>
      </c>
      <c r="G54" s="60" t="s">
        <v>111</v>
      </c>
    </row>
    <row r="55" spans="3:7">
      <c r="C55" s="64">
        <v>2979</v>
      </c>
      <c r="D55" s="67">
        <v>1</v>
      </c>
      <c r="E55" s="67" t="s">
        <v>177</v>
      </c>
      <c r="F55" s="67" t="s">
        <v>178</v>
      </c>
      <c r="G55" s="60" t="s">
        <v>111</v>
      </c>
    </row>
    <row r="56" spans="3:7">
      <c r="C56" s="64">
        <v>3199</v>
      </c>
      <c r="D56" s="67">
        <v>1</v>
      </c>
      <c r="E56" s="67" t="s">
        <v>179</v>
      </c>
      <c r="F56" s="67" t="s">
        <v>180</v>
      </c>
      <c r="G56" s="60" t="s">
        <v>111</v>
      </c>
    </row>
    <row r="57" spans="3:7">
      <c r="C57" s="64">
        <v>1776</v>
      </c>
      <c r="D57" s="67">
        <v>1</v>
      </c>
      <c r="E57" s="67" t="s">
        <v>181</v>
      </c>
      <c r="F57" s="67" t="s">
        <v>182</v>
      </c>
      <c r="G57" s="60" t="s">
        <v>111</v>
      </c>
    </row>
    <row r="58" spans="3:7">
      <c r="C58" s="64">
        <f>2190*5</f>
        <v>10950</v>
      </c>
      <c r="D58" s="67">
        <v>5</v>
      </c>
      <c r="E58" s="67" t="s">
        <v>183</v>
      </c>
      <c r="F58" s="67" t="s">
        <v>184</v>
      </c>
      <c r="G58" s="60" t="s">
        <v>111</v>
      </c>
    </row>
    <row r="59" spans="3:7">
      <c r="C59" s="64">
        <f>290*2</f>
        <v>580</v>
      </c>
      <c r="D59" s="67">
        <v>2</v>
      </c>
      <c r="E59" s="67" t="s">
        <v>185</v>
      </c>
      <c r="F59" s="67" t="s">
        <v>186</v>
      </c>
      <c r="G59" s="60" t="s">
        <v>111</v>
      </c>
    </row>
    <row r="60" spans="3:7">
      <c r="C60" s="64">
        <f>6700*2</f>
        <v>13400</v>
      </c>
      <c r="D60" s="67">
        <v>2</v>
      </c>
      <c r="E60" s="67" t="s">
        <v>187</v>
      </c>
      <c r="F60" s="67" t="s">
        <v>188</v>
      </c>
      <c r="G60" s="60" t="s">
        <v>111</v>
      </c>
    </row>
    <row r="61" spans="3:7">
      <c r="C61" s="64">
        <f>480*8</f>
        <v>3840</v>
      </c>
      <c r="D61" s="67">
        <v>8</v>
      </c>
      <c r="E61" s="67" t="s">
        <v>189</v>
      </c>
      <c r="F61" s="67" t="s">
        <v>190</v>
      </c>
      <c r="G61" s="60" t="s">
        <v>111</v>
      </c>
    </row>
    <row r="62" spans="3:7">
      <c r="C62" s="64">
        <f>1690*9</f>
        <v>15210</v>
      </c>
      <c r="D62" s="67">
        <v>9</v>
      </c>
      <c r="E62" s="67" t="s">
        <v>191</v>
      </c>
      <c r="F62" s="67" t="s">
        <v>192</v>
      </c>
      <c r="G62" s="60" t="s">
        <v>111</v>
      </c>
    </row>
    <row r="63" spans="3:7">
      <c r="C63" s="64">
        <f>4490*4</f>
        <v>17960</v>
      </c>
      <c r="D63" s="67">
        <v>4</v>
      </c>
      <c r="E63" s="67" t="s">
        <v>193</v>
      </c>
      <c r="F63" s="67" t="s">
        <v>194</v>
      </c>
      <c r="G63" s="60" t="s">
        <v>111</v>
      </c>
    </row>
    <row r="64" spans="3:7">
      <c r="C64" s="64">
        <f>450*4</f>
        <v>1800</v>
      </c>
      <c r="D64" s="67">
        <v>4</v>
      </c>
      <c r="E64" s="67" t="s">
        <v>195</v>
      </c>
      <c r="F64" s="67" t="s">
        <v>196</v>
      </c>
      <c r="G64" s="60" t="s">
        <v>111</v>
      </c>
    </row>
    <row r="65" spans="1:7">
      <c r="C65" s="64">
        <v>6080</v>
      </c>
      <c r="D65" s="67">
        <v>1</v>
      </c>
      <c r="E65" s="67" t="s">
        <v>197</v>
      </c>
      <c r="F65" s="67" t="s">
        <v>198</v>
      </c>
      <c r="G65" s="60" t="s">
        <v>111</v>
      </c>
    </row>
    <row r="66" spans="1:7">
      <c r="A66" s="504" t="s">
        <v>70</v>
      </c>
      <c r="B66" s="504"/>
      <c r="C66">
        <v>0</v>
      </c>
      <c r="D66" s="508" t="s">
        <v>118</v>
      </c>
      <c r="E66" s="508"/>
      <c r="F66" s="508"/>
    </row>
    <row r="67" spans="1:7">
      <c r="A67" s="509" t="s">
        <v>72</v>
      </c>
      <c r="B67" s="509"/>
    </row>
    <row r="68" spans="1:7">
      <c r="A68" s="506" t="s">
        <v>73</v>
      </c>
      <c r="B68" s="506"/>
      <c r="C68" s="71">
        <v>150000</v>
      </c>
      <c r="D68" s="507" t="s">
        <v>118</v>
      </c>
      <c r="E68" s="507"/>
      <c r="F68" s="507"/>
      <c r="G68" s="507"/>
    </row>
    <row r="69" spans="1:7">
      <c r="A69" s="506" t="s">
        <v>74</v>
      </c>
      <c r="B69" s="506"/>
      <c r="C69" s="71">
        <v>100000</v>
      </c>
      <c r="D69" s="507" t="s">
        <v>118</v>
      </c>
      <c r="E69" s="507"/>
      <c r="F69" s="507"/>
      <c r="G69" s="507"/>
    </row>
    <row r="70" spans="1:7">
      <c r="A70" s="506" t="s">
        <v>75</v>
      </c>
      <c r="B70" s="506"/>
      <c r="C70" s="71">
        <v>1000000</v>
      </c>
      <c r="D70" s="507" t="s">
        <v>118</v>
      </c>
      <c r="E70" s="507"/>
      <c r="F70" s="507"/>
      <c r="G70" s="507"/>
    </row>
    <row r="71" spans="1:7">
      <c r="A71" s="72" t="s">
        <v>76</v>
      </c>
      <c r="C71" s="71">
        <v>150000</v>
      </c>
      <c r="D71" s="507" t="s">
        <v>118</v>
      </c>
      <c r="E71" s="507"/>
      <c r="F71" s="507"/>
      <c r="G71" s="507"/>
    </row>
    <row r="72" spans="1:7">
      <c r="A72" s="506" t="s">
        <v>77</v>
      </c>
      <c r="B72" s="506"/>
      <c r="C72" s="71">
        <v>0</v>
      </c>
      <c r="D72" s="507" t="s">
        <v>118</v>
      </c>
      <c r="E72" s="507"/>
      <c r="F72" s="507"/>
      <c r="G72" s="507"/>
    </row>
    <row r="73" spans="1:7">
      <c r="A73" s="506" t="s">
        <v>78</v>
      </c>
      <c r="B73" s="506"/>
      <c r="C73" s="71">
        <v>0</v>
      </c>
      <c r="D73" s="507" t="s">
        <v>118</v>
      </c>
      <c r="E73" s="507"/>
      <c r="F73" s="507"/>
      <c r="G73" s="507"/>
    </row>
  </sheetData>
  <sheetProtection selectLockedCells="1" selectUnlockedCells="1"/>
  <mergeCells count="30">
    <mergeCell ref="D71:G71"/>
    <mergeCell ref="A72:B72"/>
    <mergeCell ref="D72:G72"/>
    <mergeCell ref="A73:B73"/>
    <mergeCell ref="D73:G73"/>
    <mergeCell ref="A70:B70"/>
    <mergeCell ref="D70:G70"/>
    <mergeCell ref="A26:B26"/>
    <mergeCell ref="A27:B27"/>
    <mergeCell ref="A35:B35"/>
    <mergeCell ref="A37:B37"/>
    <mergeCell ref="A66:B66"/>
    <mergeCell ref="D66:F66"/>
    <mergeCell ref="A67:B67"/>
    <mergeCell ref="A68:B68"/>
    <mergeCell ref="D68:G68"/>
    <mergeCell ref="A69:B69"/>
    <mergeCell ref="D69:G69"/>
    <mergeCell ref="A18:B18"/>
    <mergeCell ref="A1:C1"/>
    <mergeCell ref="A3:B3"/>
    <mergeCell ref="A4:B4"/>
    <mergeCell ref="A5:B5"/>
    <mergeCell ref="C5:D5"/>
    <mergeCell ref="A6:B6"/>
    <mergeCell ref="A7:B7"/>
    <mergeCell ref="A14:B14"/>
    <mergeCell ref="A15:B15"/>
    <mergeCell ref="A16:B16"/>
    <mergeCell ref="A17:B17"/>
  </mergeCells>
  <hyperlinks>
    <hyperlink ref="F37" r:id="rId1" xr:uid="{00000000-0004-0000-0200-000000000000}"/>
    <hyperlink ref="F38" r:id="rId2" xr:uid="{00000000-0004-0000-0200-000001000000}"/>
  </hyperlink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3:L144"/>
  <sheetViews>
    <sheetView topLeftCell="A82" zoomScale="85" zoomScaleNormal="85" workbookViewId="0">
      <selection activeCell="F135" sqref="F135"/>
    </sheetView>
  </sheetViews>
  <sheetFormatPr defaultColWidth="11.28515625" defaultRowHeight="12.75"/>
  <cols>
    <col min="1" max="1" width="49.7109375" style="17" customWidth="1"/>
    <col min="2" max="2" width="42.85546875" style="17" bestFit="1" customWidth="1"/>
    <col min="3" max="4" width="17.85546875" style="17" customWidth="1"/>
    <col min="5" max="6" width="18.28515625" style="17" customWidth="1"/>
    <col min="7" max="7" width="20.5703125" style="17" customWidth="1"/>
    <col min="8" max="8" width="11.140625" style="17" customWidth="1"/>
    <col min="9" max="9" width="16.28515625" style="17" customWidth="1"/>
    <col min="10" max="10" width="14.28515625" style="17" customWidth="1"/>
    <col min="11" max="11" width="14.85546875" style="17" customWidth="1"/>
    <col min="12" max="12" width="12.85546875" style="17" customWidth="1"/>
    <col min="13" max="16384" width="11.28515625" style="17"/>
  </cols>
  <sheetData>
    <row r="3" spans="1:6">
      <c r="A3" s="1" t="s">
        <v>0</v>
      </c>
      <c r="B3"/>
      <c r="C3"/>
      <c r="D3"/>
      <c r="E3" s="2">
        <f>[1]InfoInicial!E1</f>
        <v>7</v>
      </c>
    </row>
    <row r="4" spans="1:6" ht="15.75">
      <c r="A4" s="73" t="s">
        <v>199</v>
      </c>
      <c r="B4" s="74"/>
      <c r="C4" s="74"/>
      <c r="D4" s="74"/>
      <c r="E4" s="74"/>
      <c r="F4" s="75"/>
    </row>
    <row r="5" spans="1:6">
      <c r="A5" s="76"/>
      <c r="B5" s="77" t="s">
        <v>200</v>
      </c>
      <c r="C5" s="77"/>
      <c r="D5" s="77"/>
      <c r="E5" s="77"/>
      <c r="F5" s="78"/>
    </row>
    <row r="6" spans="1:6">
      <c r="A6" s="76" t="s">
        <v>201</v>
      </c>
      <c r="B6" s="22" t="s">
        <v>58</v>
      </c>
      <c r="C6" s="22" t="s">
        <v>202</v>
      </c>
      <c r="D6" s="22" t="s">
        <v>203</v>
      </c>
      <c r="E6" s="22" t="s">
        <v>204</v>
      </c>
      <c r="F6" s="23" t="s">
        <v>205</v>
      </c>
    </row>
    <row r="7" spans="1:6">
      <c r="A7" s="24" t="s">
        <v>206</v>
      </c>
      <c r="B7" s="79">
        <f>+'E-Costos (Cálculos y links)'!E47*'E-Costos (Cálculos y links)'!F62</f>
        <v>2289813.993096923</v>
      </c>
      <c r="C7" s="79">
        <f>+'E-Costos (Cálculos y links)'!$F$47*'E-Costos (Cálculos y links)'!$F$62</f>
        <v>3424870.6978153847</v>
      </c>
      <c r="D7" s="79">
        <f>+'E-Costos (Cálculos y links)'!$F$47*'E-Costos (Cálculos y links)'!$F$62</f>
        <v>3424870.6978153847</v>
      </c>
      <c r="E7" s="79">
        <f>+'E-Costos (Cálculos y links)'!$F$47*'E-Costos (Cálculos y links)'!$F$62</f>
        <v>3424870.6978153847</v>
      </c>
      <c r="F7" s="80">
        <f>+'E-Costos (Cálculos y links)'!$F$47*'E-Costos (Cálculos y links)'!$F$62</f>
        <v>3424870.6978153847</v>
      </c>
    </row>
    <row r="8" spans="1:6">
      <c r="A8" s="28" t="s">
        <v>207</v>
      </c>
      <c r="B8" s="81">
        <f>'E-Costos (Cálculos y links)'!$H$29*0.95</f>
        <v>1263405</v>
      </c>
      <c r="C8" s="81">
        <f>'E-Costos (Cálculos y links)'!$H$29</f>
        <v>1329900</v>
      </c>
      <c r="D8" s="81">
        <f>'E-Costos (Cálculos y links)'!$H$29</f>
        <v>1329900</v>
      </c>
      <c r="E8" s="81">
        <f>'E-Costos (Cálculos y links)'!$H$29</f>
        <v>1329900</v>
      </c>
      <c r="F8" s="80">
        <f>'E-Costos (Cálculos y links)'!$H$29</f>
        <v>1329900</v>
      </c>
    </row>
    <row r="9" spans="1:6">
      <c r="A9" s="28" t="s">
        <v>208</v>
      </c>
      <c r="B9" s="81" t="s">
        <v>209</v>
      </c>
      <c r="C9" s="81" t="s">
        <v>209</v>
      </c>
      <c r="D9" s="81" t="s">
        <v>209</v>
      </c>
      <c r="E9" s="81" t="s">
        <v>209</v>
      </c>
      <c r="F9" s="82" t="s">
        <v>209</v>
      </c>
    </row>
    <row r="10" spans="1:6">
      <c r="A10" s="28" t="s">
        <v>210</v>
      </c>
      <c r="B10" s="81">
        <f>'E-Inv AF y Am'!D56</f>
        <v>1403742.5279601</v>
      </c>
      <c r="C10" s="81">
        <f>'E-Inv AF y Am'!D56</f>
        <v>1403742.5279601</v>
      </c>
      <c r="D10" s="81">
        <f>'E-Inv AF y Am'!D56</f>
        <v>1403742.5279601</v>
      </c>
      <c r="E10" s="81">
        <f>'E-Inv AF y Am'!E56</f>
        <v>1361161.8779601001</v>
      </c>
      <c r="F10" s="82">
        <f>'E-Inv AF y Am'!E56</f>
        <v>1361161.8779601001</v>
      </c>
    </row>
    <row r="11" spans="1:6">
      <c r="A11" s="28" t="s">
        <v>211</v>
      </c>
      <c r="B11" s="81">
        <f>'E-Costos (Cálculos y links)'!H28*0.95</f>
        <v>367536</v>
      </c>
      <c r="C11" s="81">
        <f>'E-Costos (Cálculos y links)'!$H$28</f>
        <v>386880</v>
      </c>
      <c r="D11" s="81">
        <f>'E-Costos (Cálculos y links)'!$H$28</f>
        <v>386880</v>
      </c>
      <c r="E11" s="81">
        <f>'E-Costos (Cálculos y links)'!$H$28</f>
        <v>386880</v>
      </c>
      <c r="F11" s="82">
        <f>'E-Costos (Cálculos y links)'!$H$28</f>
        <v>386880</v>
      </c>
    </row>
    <row r="12" spans="1:6">
      <c r="A12" s="28" t="s">
        <v>212</v>
      </c>
      <c r="B12" s="81">
        <f>+'E-Costos (Cálculos y links)'!H88</f>
        <v>94699.546832318316</v>
      </c>
      <c r="C12" s="81">
        <f>+'E-Costos (Cálculos y links)'!I88</f>
        <v>105221.7187025759</v>
      </c>
      <c r="D12" s="81">
        <f>+'E-Costos (Cálculos y links)'!I88</f>
        <v>105221.7187025759</v>
      </c>
      <c r="E12" s="81">
        <f>+'E-Costos (Cálculos y links)'!J88</f>
        <v>105967.1694345759</v>
      </c>
      <c r="F12" s="82">
        <f>+'E-Costos (Cálculos y links)'!J88</f>
        <v>105967.1694345759</v>
      </c>
    </row>
    <row r="13" spans="1:6">
      <c r="A13" s="28" t="s">
        <v>213</v>
      </c>
      <c r="B13" s="81">
        <f>+'E-Costos (Cálculos y links)'!H19</f>
        <v>241369.14230880002</v>
      </c>
      <c r="C13" s="81">
        <f>'E-Costos (Cálculos y links)'!$H$10</f>
        <v>389305.06824000005</v>
      </c>
      <c r="D13" s="81">
        <f>'E-Costos (Cálculos y links)'!$H$10</f>
        <v>389305.06824000005</v>
      </c>
      <c r="E13" s="81">
        <f>'E-Costos (Cálculos y links)'!$H$10</f>
        <v>389305.06824000005</v>
      </c>
      <c r="F13" s="82">
        <f>'E-Costos (Cálculos y links)'!$H$10</f>
        <v>389305.06824000005</v>
      </c>
    </row>
    <row r="14" spans="1:6">
      <c r="A14" s="28" t="s">
        <v>214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</row>
    <row r="15" spans="1:6">
      <c r="A15" s="28" t="s">
        <v>215</v>
      </c>
      <c r="B15" s="81">
        <f>'E-Costos (Cálculos y links)'!$H$38</f>
        <v>267860.89799999999</v>
      </c>
      <c r="C15" s="81">
        <f>'E-Costos (Cálculos y links)'!$H$38</f>
        <v>267860.89799999999</v>
      </c>
      <c r="D15" s="81">
        <f>'E-Costos (Cálculos y links)'!$H$38</f>
        <v>267860.89799999999</v>
      </c>
      <c r="E15" s="81">
        <f>'E-Costos (Cálculos y links)'!$H$38</f>
        <v>267860.89799999999</v>
      </c>
      <c r="F15" s="82">
        <f>'E-Costos (Cálculos y links)'!$H$38</f>
        <v>267860.89799999999</v>
      </c>
    </row>
    <row r="16" spans="1:6">
      <c r="A16" s="28" t="s">
        <v>216</v>
      </c>
      <c r="B16" s="81">
        <v>0</v>
      </c>
      <c r="C16" s="81">
        <v>0</v>
      </c>
      <c r="D16" s="81">
        <v>0</v>
      </c>
      <c r="E16" s="81">
        <v>0</v>
      </c>
      <c r="F16" s="82">
        <v>0</v>
      </c>
    </row>
    <row r="17" spans="1:7">
      <c r="A17" s="28" t="s">
        <v>21</v>
      </c>
      <c r="B17" s="81">
        <f>+'E-Costos (Cálculos y links)'!E69</f>
        <v>432775.17889846431</v>
      </c>
      <c r="C17" s="81">
        <f>+'E-Costos (Cálculos y links)'!$F$69</f>
        <v>533468.00648241839</v>
      </c>
      <c r="D17" s="81">
        <f>+'E-Costos (Cálculos y links)'!$F$69</f>
        <v>533468.00648241839</v>
      </c>
      <c r="E17" s="81">
        <f>+'E-Costos (Cálculos y links)'!$F$69</f>
        <v>533468.00648241839</v>
      </c>
      <c r="F17" s="82">
        <f>+'E-Costos (Cálculos y links)'!$F$69</f>
        <v>533468.00648241839</v>
      </c>
    </row>
    <row r="18" spans="1:7">
      <c r="A18" s="26" t="s">
        <v>217</v>
      </c>
      <c r="B18" s="81">
        <f>+SUM(B7:B17)</f>
        <v>6361202.2870966056</v>
      </c>
      <c r="C18" s="81">
        <f>+SUM(C7:C17)</f>
        <v>7841248.9172004797</v>
      </c>
      <c r="D18" s="81">
        <f>+SUM(D7:D17)</f>
        <v>7841248.9172004797</v>
      </c>
      <c r="E18" s="81">
        <f>+SUM(E7:E17)</f>
        <v>7799413.7179324795</v>
      </c>
      <c r="F18" s="82">
        <f>+SUM(F7:F17)</f>
        <v>7799413.7179324795</v>
      </c>
    </row>
    <row r="19" spans="1:7">
      <c r="A19" s="83"/>
      <c r="B19" s="84"/>
      <c r="C19" s="84"/>
      <c r="D19" s="84"/>
      <c r="E19" s="84"/>
      <c r="F19" s="85"/>
    </row>
    <row r="20" spans="1:7">
      <c r="A20" s="86" t="s">
        <v>218</v>
      </c>
      <c r="B20" s="87">
        <f>+(B10+B11+B15+B17*0.5)/B18</f>
        <v>0.35457558392452959</v>
      </c>
      <c r="C20" s="87">
        <f>+(C10+C11+C15+C17*0.5)/C18</f>
        <v>0.2965366172856389</v>
      </c>
      <c r="D20" s="87">
        <f>+(D10+D11+D15+D17*0.5)/D18</f>
        <v>0.2965366172856389</v>
      </c>
      <c r="E20" s="87">
        <f>+(E10+E11+E15+E17*0.5)/E18</f>
        <v>0.2926677391087808</v>
      </c>
      <c r="F20" s="88">
        <f>+(F10+F11+F15+F17*0.5)/F18</f>
        <v>0.2926677391087808</v>
      </c>
    </row>
    <row r="21" spans="1:7">
      <c r="A21" s="36" t="s">
        <v>219</v>
      </c>
      <c r="B21" s="89">
        <f>+(B7+B8+B12+B13+B17*0.5)/B18</f>
        <v>0.64542441607547041</v>
      </c>
      <c r="C21" s="89">
        <f>+(C7+C8+C12+C13+C17*0.5)/C18</f>
        <v>0.70346338271436104</v>
      </c>
      <c r="D21" s="89">
        <f>+(D7+D8+D12+D13+D17*0.5)/D18</f>
        <v>0.70346338271436104</v>
      </c>
      <c r="E21" s="89">
        <f>+(E7+E8+E12+E13+E17*0.5)/E18</f>
        <v>0.70733226089121914</v>
      </c>
      <c r="F21" s="90">
        <f>+(F7+F8+F12+F13+F17*0.5)/F18</f>
        <v>0.70733226089121914</v>
      </c>
    </row>
    <row r="23" spans="1:7">
      <c r="A23" s="91"/>
      <c r="B23" s="19" t="s">
        <v>220</v>
      </c>
      <c r="C23" s="19"/>
      <c r="D23" s="19"/>
      <c r="E23" s="19"/>
      <c r="F23" s="19"/>
      <c r="G23" s="20"/>
    </row>
    <row r="24" spans="1:7">
      <c r="A24" s="76"/>
      <c r="B24" s="77" t="s">
        <v>221</v>
      </c>
      <c r="C24" s="77"/>
      <c r="D24" s="77"/>
      <c r="E24" s="77"/>
      <c r="F24" s="77"/>
      <c r="G24" s="78" t="s">
        <v>222</v>
      </c>
    </row>
    <row r="25" spans="1:7">
      <c r="A25" s="76" t="s">
        <v>201</v>
      </c>
      <c r="B25" s="92" t="s">
        <v>58</v>
      </c>
      <c r="C25" s="92" t="s">
        <v>202</v>
      </c>
      <c r="D25" s="92" t="s">
        <v>203</v>
      </c>
      <c r="E25" s="92" t="s">
        <v>204</v>
      </c>
      <c r="F25" s="92" t="s">
        <v>205</v>
      </c>
      <c r="G25" s="93" t="s">
        <v>58</v>
      </c>
    </row>
    <row r="26" spans="1:7">
      <c r="A26" s="24" t="s">
        <v>206</v>
      </c>
      <c r="B26" s="79">
        <f>+'E-Costos (Cálculos y links)'!$D$174</f>
        <v>165.18181684153848</v>
      </c>
      <c r="C26" s="79">
        <f>+'E-Costos (Cálculos y links)'!$D$174</f>
        <v>165.18181684153848</v>
      </c>
      <c r="D26" s="79">
        <f>+'E-Costos (Cálculos y links)'!$D$174</f>
        <v>165.18181684153848</v>
      </c>
      <c r="E26" s="79">
        <f>+'E-Costos (Cálculos y links)'!$D$174</f>
        <v>165.18181684153848</v>
      </c>
      <c r="F26" s="79">
        <f>+'E-Costos (Cálculos y links)'!$D$174</f>
        <v>165.18181684153848</v>
      </c>
      <c r="G26" s="80">
        <f>+'E-Costos (Cálculos y links)'!D175</f>
        <v>119856.83555792768</v>
      </c>
    </row>
    <row r="27" spans="1:7">
      <c r="A27" s="28" t="s">
        <v>207</v>
      </c>
      <c r="B27" s="81">
        <f>+'E-Costos (Cálculos y links)'!$E$143</f>
        <v>32.070597345132747</v>
      </c>
      <c r="C27" s="81">
        <f>+'E-Costos (Cálculos y links)'!$E$143</f>
        <v>32.070597345132747</v>
      </c>
      <c r="D27" s="81">
        <f>+'E-Costos (Cálculos y links)'!$E$143</f>
        <v>32.070597345132747</v>
      </c>
      <c r="E27" s="81">
        <f>+'E-Costos (Cálculos y links)'!$E$143</f>
        <v>32.070597345132747</v>
      </c>
      <c r="F27" s="81">
        <f>+'E-Costos (Cálculos y links)'!$E$143</f>
        <v>32.070597345132747</v>
      </c>
      <c r="G27" s="47">
        <f>+'E-Costos (Cálculos y links)'!E144</f>
        <v>420828.31878318568</v>
      </c>
    </row>
    <row r="28" spans="1:7">
      <c r="A28" s="28" t="s">
        <v>208</v>
      </c>
      <c r="B28" s="29"/>
      <c r="C28" s="29"/>
      <c r="D28" s="29"/>
      <c r="E28" s="29"/>
      <c r="F28" s="29"/>
      <c r="G28" s="47"/>
    </row>
    <row r="29" spans="1:7">
      <c r="A29" s="28" t="s">
        <v>210</v>
      </c>
      <c r="B29" s="81">
        <f>+'E-Costos (Cálculos y links)'!M99</f>
        <v>53.432021074050461</v>
      </c>
      <c r="C29" s="81">
        <f>+'E-Costos (Cálculos y links)'!M100</f>
        <v>33.851313174259047</v>
      </c>
      <c r="D29" s="81">
        <f>+'E-Costos (Cálculos y links)'!M100</f>
        <v>33.851313174259047</v>
      </c>
      <c r="E29" s="81">
        <f>+'E-Costos (Cálculos y links)'!M101</f>
        <v>32.824478915409493</v>
      </c>
      <c r="F29" s="81">
        <f>+'E-Costos (Cálculos y links)'!M101</f>
        <v>32.824478915409493</v>
      </c>
      <c r="G29" s="82" t="s">
        <v>209</v>
      </c>
    </row>
    <row r="30" spans="1:7">
      <c r="A30" s="28" t="s">
        <v>211</v>
      </c>
      <c r="B30" s="81">
        <f>+'E-Costos (Cálculos y links)'!E151</f>
        <v>13.989881268333567</v>
      </c>
      <c r="C30" s="81">
        <f>+'E-Costos (Cálculos y links)'!$E$152</f>
        <v>9.3296283185840707</v>
      </c>
      <c r="D30" s="81">
        <f>+'E-Costos (Cálculos y links)'!$E$152</f>
        <v>9.3296283185840707</v>
      </c>
      <c r="E30" s="81">
        <f>+'E-Costos (Cálculos y links)'!$E$152</f>
        <v>9.3296283185840707</v>
      </c>
      <c r="F30" s="81">
        <f>+'E-Costos (Cálculos y links)'!$E$152</f>
        <v>9.3296283185840707</v>
      </c>
      <c r="G30" s="82" t="s">
        <v>209</v>
      </c>
    </row>
    <row r="31" spans="1:7">
      <c r="A31" s="28" t="s">
        <v>212</v>
      </c>
      <c r="B31" s="81">
        <f>+'E-Costos (Cálculos y links)'!O87</f>
        <v>2.5554029797276048</v>
      </c>
      <c r="C31" s="81">
        <f>+'E-Costos (Cálculos y links)'!$O$81</f>
        <v>2.5554029797276048</v>
      </c>
      <c r="D31" s="81">
        <f>+'E-Costos (Cálculos y links)'!$O$81</f>
        <v>2.5554029797276048</v>
      </c>
      <c r="E31" s="81">
        <f>+'E-Costos (Cálculos y links)'!$O$81</f>
        <v>2.5554029797276048</v>
      </c>
      <c r="F31" s="81">
        <f>+'E-Costos (Cálculos y links)'!$O$81</f>
        <v>2.5554029797276048</v>
      </c>
      <c r="G31" s="82">
        <f>+'E-Costos (Cálculos y links)'!O88</f>
        <v>27562.569661008594</v>
      </c>
    </row>
    <row r="32" spans="1:7">
      <c r="A32" s="28" t="s">
        <v>223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</row>
    <row r="33" spans="1:7">
      <c r="A33" s="28" t="s">
        <v>224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</row>
    <row r="34" spans="1:7">
      <c r="A34" s="28" t="s">
        <v>225</v>
      </c>
      <c r="B34" s="81">
        <f>+'E-Costos (Cálculos y links)'!O40</f>
        <v>10.289390550356194</v>
      </c>
      <c r="C34" s="81">
        <f>+'E-Costos (Cálculos y links)'!$O$35</f>
        <v>6.5187386681415935</v>
      </c>
      <c r="D34" s="81">
        <f>+'E-Costos (Cálculos y links)'!$O$35</f>
        <v>6.5187386681415935</v>
      </c>
      <c r="E34" s="81">
        <f>+'E-Costos (Cálculos y links)'!$O$35</f>
        <v>6.5187386681415935</v>
      </c>
      <c r="F34" s="81">
        <f>+'E-Costos (Cálculos y links)'!$O$35</f>
        <v>6.5187386681415935</v>
      </c>
      <c r="G34" s="82" t="s">
        <v>209</v>
      </c>
    </row>
    <row r="35" spans="1:7">
      <c r="A35" s="28" t="s">
        <v>226</v>
      </c>
      <c r="B35" s="81">
        <f>+SUM(B26:B34)*InfoInicial!$B$15</f>
        <v>20.258895034317149</v>
      </c>
      <c r="C35" s="81">
        <f>+SUM(C26:C34)*InfoInicial!$B$15</f>
        <v>18.214047304898997</v>
      </c>
      <c r="D35" s="81">
        <f>+SUM(D26:D34)*InfoInicial!$B$15</f>
        <v>18.214047304898997</v>
      </c>
      <c r="E35" s="81">
        <f>+SUM(E26:E34)*InfoInicial!$B$15</f>
        <v>18.13908840400298</v>
      </c>
      <c r="F35" s="81">
        <f>+SUM(F26:F34)*InfoInicial!$B$15</f>
        <v>18.13908840400298</v>
      </c>
      <c r="G35" s="95" t="s">
        <v>209</v>
      </c>
    </row>
    <row r="36" spans="1:7" ht="13.5" customHeight="1">
      <c r="A36" s="36" t="s">
        <v>227</v>
      </c>
      <c r="B36" s="96">
        <f t="shared" ref="B36:G36" si="0">+SUM(B26:B35)</f>
        <v>297.77800509345622</v>
      </c>
      <c r="C36" s="96">
        <f t="shared" si="0"/>
        <v>267.72154463228253</v>
      </c>
      <c r="D36" s="96">
        <f t="shared" si="0"/>
        <v>267.72154463228253</v>
      </c>
      <c r="E36" s="96">
        <f t="shared" si="0"/>
        <v>266.61975147253696</v>
      </c>
      <c r="F36" s="96">
        <f t="shared" si="0"/>
        <v>266.61975147253696</v>
      </c>
      <c r="G36" s="97">
        <f t="shared" si="0"/>
        <v>568247.72400212195</v>
      </c>
    </row>
    <row r="37" spans="1:7">
      <c r="A37" s="98"/>
      <c r="B37" s="99"/>
      <c r="C37" s="99"/>
      <c r="D37" s="99"/>
      <c r="E37" s="99"/>
      <c r="F37" s="99"/>
      <c r="G37" s="99"/>
    </row>
    <row r="38" spans="1:7">
      <c r="A38" s="38"/>
      <c r="B38" s="100" t="s">
        <v>228</v>
      </c>
      <c r="C38" s="100"/>
      <c r="D38" s="100"/>
      <c r="E38" s="100"/>
      <c r="F38" s="101"/>
    </row>
    <row r="39" spans="1:7">
      <c r="A39" s="36"/>
      <c r="B39" s="92" t="s">
        <v>58</v>
      </c>
      <c r="C39" s="92" t="s">
        <v>202</v>
      </c>
      <c r="D39" s="92" t="s">
        <v>203</v>
      </c>
      <c r="E39" s="92" t="s">
        <v>204</v>
      </c>
      <c r="F39" s="23" t="s">
        <v>205</v>
      </c>
      <c r="G39" s="99"/>
    </row>
    <row r="40" spans="1:7">
      <c r="A40" s="42" t="s">
        <v>217</v>
      </c>
      <c r="B40" s="79">
        <f>+B18</f>
        <v>6361202.2870966056</v>
      </c>
      <c r="C40" s="79">
        <f>+C18</f>
        <v>7841248.9172004797</v>
      </c>
      <c r="D40" s="79">
        <f>+D18</f>
        <v>7841248.9172004797</v>
      </c>
      <c r="E40" s="79">
        <f>+E18</f>
        <v>7799413.7179324795</v>
      </c>
      <c r="F40" s="47">
        <f>+F18</f>
        <v>7799413.7179324795</v>
      </c>
      <c r="G40" s="99"/>
    </row>
    <row r="41" spans="1:7">
      <c r="A41" s="28" t="s">
        <v>229</v>
      </c>
      <c r="B41" s="81"/>
      <c r="C41" s="81"/>
      <c r="D41" s="81"/>
      <c r="E41" s="81"/>
      <c r="F41" s="47"/>
      <c r="G41" s="99"/>
    </row>
    <row r="42" spans="1:7">
      <c r="A42" s="28" t="s">
        <v>230</v>
      </c>
      <c r="B42" s="81">
        <f>+G36</f>
        <v>568247.72400212195</v>
      </c>
      <c r="C42" s="81">
        <v>0</v>
      </c>
      <c r="D42" s="81">
        <v>0</v>
      </c>
      <c r="E42" s="81">
        <v>0</v>
      </c>
      <c r="F42" s="82">
        <v>0</v>
      </c>
      <c r="G42" s="99"/>
    </row>
    <row r="43" spans="1:7">
      <c r="A43" s="28" t="s">
        <v>231</v>
      </c>
      <c r="B43" s="81">
        <f>+B36</f>
        <v>297.77800509345622</v>
      </c>
      <c r="C43" s="81">
        <f>C36-B36</f>
        <v>-30.056460461173685</v>
      </c>
      <c r="D43" s="81">
        <f>D36-C36</f>
        <v>0</v>
      </c>
      <c r="E43" s="81">
        <f>E36-D36</f>
        <v>-1.1017931597455686</v>
      </c>
      <c r="F43" s="81">
        <f>F36-E36</f>
        <v>0</v>
      </c>
      <c r="G43" s="99"/>
    </row>
    <row r="44" spans="1:7">
      <c r="A44" s="26" t="s">
        <v>232</v>
      </c>
      <c r="B44" s="81">
        <f>+B40-B42-B43</f>
        <v>5792656.7850893904</v>
      </c>
      <c r="C44" s="81">
        <f>+C40-C42-C43</f>
        <v>7841278.9736609412</v>
      </c>
      <c r="D44" s="81">
        <f>+D40-D42-D43</f>
        <v>7841248.9172004797</v>
      </c>
      <c r="E44" s="81">
        <f>+E40-E42-E43</f>
        <v>7799414.8197256392</v>
      </c>
      <c r="F44" s="82">
        <f>+F40-F42-F43</f>
        <v>7799413.7179324795</v>
      </c>
      <c r="G44" s="99"/>
    </row>
    <row r="45" spans="1:7">
      <c r="A45" s="86" t="s">
        <v>233</v>
      </c>
      <c r="B45" s="102">
        <f>+B44/B102</f>
        <v>404.57164304298021</v>
      </c>
      <c r="C45" s="102">
        <f>+C44/C102</f>
        <v>346.95924662216555</v>
      </c>
      <c r="D45" s="102">
        <f>+D44/D102</f>
        <v>346.95791669028671</v>
      </c>
      <c r="E45" s="102">
        <f>+E44/E102</f>
        <v>345.106850430338</v>
      </c>
      <c r="F45" s="82">
        <f>+F44/F102</f>
        <v>345.10680167842827</v>
      </c>
      <c r="G45" s="99"/>
    </row>
    <row r="46" spans="1:7">
      <c r="A46" s="86"/>
      <c r="B46" s="102"/>
      <c r="C46" s="102"/>
      <c r="D46" s="102"/>
      <c r="E46" s="102"/>
      <c r="F46" s="95"/>
      <c r="G46" s="99"/>
    </row>
    <row r="47" spans="1:7">
      <c r="A47" s="86" t="s">
        <v>218</v>
      </c>
      <c r="B47" s="103">
        <f>((B40*B20)-B42-B29-B30-B34-(0.5*B35))/B44</f>
        <v>0.29126383855672611</v>
      </c>
      <c r="C47" s="103">
        <f>((C40*C20)-C42-C29-C30-C34-(0.5*C35))/C44</f>
        <v>0.29652798099745764</v>
      </c>
      <c r="D47" s="103">
        <f>((D40*D20)-D42-D29-D30-D34-(0.5*D35))/D44</f>
        <v>0.29652911762526152</v>
      </c>
      <c r="E47" s="103">
        <f>((E40*E20)-E42-E29-E30-E34-(0.5*E35))/E44</f>
        <v>0.29266029433878726</v>
      </c>
      <c r="F47" s="88">
        <f>((F40*F20)-F42-F29-F30-F34-(0.5*F35))/F44</f>
        <v>0.29266033568178074</v>
      </c>
      <c r="G47" s="99"/>
    </row>
    <row r="48" spans="1:7">
      <c r="A48" s="36" t="s">
        <v>219</v>
      </c>
      <c r="B48" s="104">
        <f>((B40*B21)-B26-B27-B31-(0.5*B35))/B44</f>
        <v>0.70873616144327389</v>
      </c>
      <c r="C48" s="104">
        <f>((C40*C21)-C26-C27-C31-(0.5*C35))/C44</f>
        <v>0.70343404330927917</v>
      </c>
      <c r="D48" s="104">
        <f>((D40*D21)-D26-D27-D31-(0.5*D35))/D44</f>
        <v>0.70343673965749276</v>
      </c>
      <c r="E48" s="104">
        <f>((E40*E21)-E26-E27-E31-(0.5*E35))/E44</f>
        <v>0.70730537981102781</v>
      </c>
      <c r="F48" s="90">
        <f>((F40*F21)-F26-F27-F31-(0.5*F35))/F44</f>
        <v>0.70730547972933666</v>
      </c>
      <c r="G48" s="99"/>
    </row>
    <row r="51" spans="1:7">
      <c r="A51" s="34"/>
      <c r="B51" s="19" t="s">
        <v>234</v>
      </c>
      <c r="C51" s="19"/>
      <c r="D51" s="19"/>
      <c r="E51" s="19"/>
      <c r="F51" s="20"/>
    </row>
    <row r="52" spans="1:7">
      <c r="A52" s="105" t="s">
        <v>201</v>
      </c>
      <c r="B52" s="22" t="s">
        <v>58</v>
      </c>
      <c r="C52" s="22" t="s">
        <v>202</v>
      </c>
      <c r="D52" s="22" t="s">
        <v>203</v>
      </c>
      <c r="E52" s="22" t="s">
        <v>204</v>
      </c>
      <c r="F52" s="23" t="s">
        <v>205</v>
      </c>
    </row>
    <row r="53" spans="1:7">
      <c r="A53" s="91" t="s">
        <v>235</v>
      </c>
      <c r="B53" s="106">
        <f>+('E-Costos (Cálculos y links)'!$H$25+'E-Costos (Cálculos y links)'!$H$27)*0.95</f>
        <v>1010724</v>
      </c>
      <c r="C53" s="106">
        <f>+'E-Costos (Cálculos y links)'!$H$25+'E-Costos (Cálculos y links)'!$H$27</f>
        <v>1063920</v>
      </c>
      <c r="D53" s="106">
        <f>+'E-Costos (Cálculos y links)'!$H$25+'E-Costos (Cálculos y links)'!$H$27</f>
        <v>1063920</v>
      </c>
      <c r="E53" s="106">
        <f>+'E-Costos (Cálculos y links)'!$H$25+'E-Costos (Cálculos y links)'!$H$27</f>
        <v>1063920</v>
      </c>
      <c r="F53" s="47">
        <f>+'E-Costos (Cálculos y links)'!$H$25+'E-Costos (Cálculos y links)'!$H$27</f>
        <v>1063920</v>
      </c>
    </row>
    <row r="54" spans="1:7">
      <c r="A54" s="28" t="s">
        <v>236</v>
      </c>
      <c r="B54" s="81">
        <f>0.05*('E-Inv AF y Am'!$D$56-'E-Inv AF y Am'!$D$50)</f>
        <v>68058.093898005012</v>
      </c>
      <c r="C54" s="81">
        <f>0.05*('E-Inv AF y Am'!$D$56-'E-Inv AF y Am'!$D$50)</f>
        <v>68058.093898005012</v>
      </c>
      <c r="D54" s="81">
        <f>0.05*('E-Inv AF y Am'!$D$56-'E-Inv AF y Am'!$D$50)</f>
        <v>68058.093898005012</v>
      </c>
      <c r="E54" s="81">
        <f>0.05*('E-Inv AF y Am'!$E$56-'E-Inv AF y Am'!$E$50)</f>
        <v>68058.093898005012</v>
      </c>
      <c r="F54" s="82">
        <f>0.05*('E-Inv AF y Am'!$E$56-'E-Inv AF y Am'!$E$50)</f>
        <v>68058.093898005012</v>
      </c>
    </row>
    <row r="55" spans="1:7">
      <c r="A55" s="28" t="s">
        <v>212</v>
      </c>
      <c r="B55" s="81">
        <f>+'E-Costos (Cálculos y links)'!E113</f>
        <v>39246.039126495452</v>
      </c>
      <c r="C55" s="81">
        <f>'E-Costos (Cálculos y links)'!$D$113</f>
        <v>43606.710140550502</v>
      </c>
      <c r="D55" s="81">
        <f>'E-Costos (Cálculos y links)'!$D$113</f>
        <v>43606.710140550502</v>
      </c>
      <c r="E55" s="81">
        <f>'E-Costos (Cálculos y links)'!$D$113</f>
        <v>43606.710140550502</v>
      </c>
      <c r="F55" s="82">
        <f>'E-Costos (Cálculos y links)'!$D$113</f>
        <v>43606.710140550502</v>
      </c>
    </row>
    <row r="56" spans="1:7">
      <c r="A56" s="28" t="s">
        <v>237</v>
      </c>
      <c r="B56" s="81">
        <f>'E-Costos (Cálculos y links)'!H18*0.5</f>
        <v>71527.840600800002</v>
      </c>
      <c r="C56" s="81">
        <f>+'E-Costos (Cálculos y links)'!$H$9*0.5</f>
        <v>115367.48484</v>
      </c>
      <c r="D56" s="81">
        <f>+'E-Costos (Cálculos y links)'!$H$9*0.5</f>
        <v>115367.48484</v>
      </c>
      <c r="E56" s="81">
        <f>+'E-Costos (Cálculos y links)'!$H$9*0.5</f>
        <v>115367.48484</v>
      </c>
      <c r="F56" s="82">
        <f>+'E-Costos (Cálculos y links)'!$H$9*0.5</f>
        <v>115367.48484</v>
      </c>
    </row>
    <row r="57" spans="1:7">
      <c r="A57" s="28" t="s">
        <v>238</v>
      </c>
      <c r="B57" s="81" t="s">
        <v>209</v>
      </c>
      <c r="C57" s="81" t="s">
        <v>209</v>
      </c>
      <c r="D57" s="81" t="s">
        <v>209</v>
      </c>
      <c r="E57" s="81" t="s">
        <v>209</v>
      </c>
      <c r="F57" s="82" t="s">
        <v>209</v>
      </c>
    </row>
    <row r="58" spans="1:7">
      <c r="A58" s="28" t="s">
        <v>239</v>
      </c>
      <c r="B58" s="81">
        <f>+'E-Costos (Cálculos y links)'!$D$126</f>
        <v>80000</v>
      </c>
      <c r="C58" s="81">
        <f>+'E-Costos (Cálculos y links)'!$D$126</f>
        <v>80000</v>
      </c>
      <c r="D58" s="81">
        <f>+'E-Costos (Cálculos y links)'!$D$126</f>
        <v>80000</v>
      </c>
      <c r="E58" s="81">
        <f>+'E-Costos (Cálculos y links)'!$D$126</f>
        <v>80000</v>
      </c>
      <c r="F58" s="82">
        <f>+'E-Costos (Cálculos y links)'!$D$126</f>
        <v>80000</v>
      </c>
    </row>
    <row r="59" spans="1:7">
      <c r="A59" s="28" t="s">
        <v>215</v>
      </c>
      <c r="B59" s="81">
        <f>+'E-Costos (Cálculos y links)'!$I$124</f>
        <v>282150</v>
      </c>
      <c r="C59" s="81">
        <f>+'E-Costos (Cálculos y links)'!$I$124</f>
        <v>282150</v>
      </c>
      <c r="D59" s="81">
        <f>+'E-Costos (Cálculos y links)'!$I$124</f>
        <v>282150</v>
      </c>
      <c r="E59" s="81">
        <f>+'E-Costos (Cálculos y links)'!$I$124</f>
        <v>282150</v>
      </c>
      <c r="F59" s="82">
        <f>+'E-Costos (Cálculos y links)'!$I$124</f>
        <v>282150</v>
      </c>
    </row>
    <row r="60" spans="1:7">
      <c r="A60" s="28" t="s">
        <v>21</v>
      </c>
      <c r="B60" s="81">
        <f>+SUM(B53:B59)*InfoInicial!$B$15</f>
        <v>113274.53607464692</v>
      </c>
      <c r="C60" s="81">
        <f>+SUM(C53:C59)*InfoInicial!$B$15</f>
        <v>120676.46708813455</v>
      </c>
      <c r="D60" s="81">
        <f>+SUM(D53:D59)*InfoInicial!$B$15</f>
        <v>120676.46708813455</v>
      </c>
      <c r="E60" s="81">
        <f>+SUM(E53:E59)*InfoInicial!$B$15</f>
        <v>120676.46708813455</v>
      </c>
      <c r="F60" s="82">
        <f>+SUM(F53:F59)*InfoInicial!$B$15</f>
        <v>120676.46708813455</v>
      </c>
    </row>
    <row r="61" spans="1:7">
      <c r="A61" s="28"/>
      <c r="B61" s="49"/>
      <c r="C61" s="49"/>
      <c r="D61" s="49"/>
      <c r="E61" s="49"/>
      <c r="F61" s="52"/>
    </row>
    <row r="62" spans="1:7">
      <c r="A62" s="26" t="s">
        <v>240</v>
      </c>
      <c r="B62" s="81">
        <f>+SUM(B53:B61)</f>
        <v>1664980.5096999474</v>
      </c>
      <c r="C62" s="81">
        <f>+SUM(C53:C61)</f>
        <v>1773778.7559666901</v>
      </c>
      <c r="D62" s="81">
        <f>+SUM(D53:D61)</f>
        <v>1773778.7559666901</v>
      </c>
      <c r="E62" s="81">
        <f>+SUM(E53:E61)</f>
        <v>1773778.7559666901</v>
      </c>
      <c r="F62" s="52">
        <f>+SUM(F53:F61)</f>
        <v>1773778.7559666901</v>
      </c>
    </row>
    <row r="63" spans="1:7">
      <c r="A63" s="26"/>
      <c r="B63" s="107"/>
      <c r="C63" s="107"/>
      <c r="D63" s="107"/>
      <c r="E63" s="107"/>
      <c r="F63" s="52"/>
      <c r="G63" s="99"/>
    </row>
    <row r="64" spans="1:7">
      <c r="A64" s="86" t="s">
        <v>218</v>
      </c>
      <c r="B64" s="108">
        <v>1</v>
      </c>
      <c r="C64" s="108">
        <v>1</v>
      </c>
      <c r="D64" s="108">
        <v>1</v>
      </c>
      <c r="E64" s="108">
        <v>1</v>
      </c>
      <c r="F64" s="88">
        <v>1</v>
      </c>
      <c r="G64" s="99"/>
    </row>
    <row r="65" spans="1:7">
      <c r="A65" s="36" t="s">
        <v>219</v>
      </c>
      <c r="B65" s="109">
        <v>0</v>
      </c>
      <c r="C65" s="109">
        <v>0</v>
      </c>
      <c r="D65" s="109">
        <v>0</v>
      </c>
      <c r="E65" s="109">
        <v>0</v>
      </c>
      <c r="F65" s="90">
        <v>0</v>
      </c>
      <c r="G65" s="99"/>
    </row>
    <row r="68" spans="1:7">
      <c r="A68" s="34"/>
      <c r="B68" s="19" t="s">
        <v>241</v>
      </c>
      <c r="C68" s="19"/>
      <c r="D68" s="19"/>
      <c r="E68" s="19"/>
      <c r="F68" s="20"/>
    </row>
    <row r="69" spans="1:7">
      <c r="A69" s="105" t="s">
        <v>201</v>
      </c>
      <c r="B69" s="22" t="s">
        <v>58</v>
      </c>
      <c r="C69" s="22" t="s">
        <v>202</v>
      </c>
      <c r="D69" s="22" t="s">
        <v>203</v>
      </c>
      <c r="E69" s="22" t="s">
        <v>204</v>
      </c>
      <c r="F69" s="23" t="s">
        <v>205</v>
      </c>
    </row>
    <row r="70" spans="1:7">
      <c r="A70" s="24" t="s">
        <v>235</v>
      </c>
      <c r="B70" s="79">
        <f>+'E-Costos (Cálculos y links)'!$H$26*0.95</f>
        <v>459420</v>
      </c>
      <c r="C70" s="79">
        <f>+'E-Costos (Cálculos y links)'!$H$26</f>
        <v>483600</v>
      </c>
      <c r="D70" s="79">
        <f>+'E-Costos (Cálculos y links)'!$H$26</f>
        <v>483600</v>
      </c>
      <c r="E70" s="79">
        <f>+'E-Costos (Cálculos y links)'!$H$26</f>
        <v>483600</v>
      </c>
      <c r="F70" s="80">
        <f>+'E-Costos (Cálculos y links)'!$H$26</f>
        <v>483600</v>
      </c>
    </row>
    <row r="71" spans="1:7">
      <c r="A71" s="24" t="s">
        <v>242</v>
      </c>
      <c r="B71" s="81">
        <f>0.05*('E-Inv AF y Am'!$D$56-'E-Inv AF y Am'!$D$50)</f>
        <v>68058.093898005012</v>
      </c>
      <c r="C71" s="81">
        <f>0.05*('E-Inv AF y Am'!$D$56-'E-Inv AF y Am'!$D$50)</f>
        <v>68058.093898005012</v>
      </c>
      <c r="D71" s="81">
        <f>0.05*('E-Inv AF y Am'!$D$56-'E-Inv AF y Am'!$D$50)</f>
        <v>68058.093898005012</v>
      </c>
      <c r="E71" s="81">
        <f>0.05*('E-Inv AF y Am'!$E$56-'E-Inv AF y Am'!$E$50)</f>
        <v>68058.093898005012</v>
      </c>
      <c r="F71" s="82">
        <f>0.05*('E-Inv AF y Am'!$E$56-'E-Inv AF y Am'!$E$50)</f>
        <v>68058.093898005012</v>
      </c>
    </row>
    <row r="72" spans="1:7">
      <c r="A72" s="28" t="s">
        <v>212</v>
      </c>
      <c r="B72" s="81">
        <f>'E-Costos (Cálculos y links)'!E119</f>
        <v>23776.409344871587</v>
      </c>
      <c r="C72" s="81">
        <f>'E-Costos (Cálculos y links)'!$D$119</f>
        <v>26418.232605412875</v>
      </c>
      <c r="D72" s="81">
        <f>'E-Costos (Cálculos y links)'!$D$119</f>
        <v>26418.232605412875</v>
      </c>
      <c r="E72" s="81">
        <f>'E-Costos (Cálculos y links)'!$D$119</f>
        <v>26418.232605412875</v>
      </c>
      <c r="F72" s="82">
        <f>'E-Costos (Cálculos y links)'!$D$119</f>
        <v>26418.232605412875</v>
      </c>
    </row>
    <row r="73" spans="1:7">
      <c r="A73" s="28" t="s">
        <v>237</v>
      </c>
      <c r="B73" s="81">
        <f>'E-Costos (Cálculos y links)'!H18*0.5</f>
        <v>71527.840600800002</v>
      </c>
      <c r="C73" s="81">
        <f>+'E-Costos (Cálculos y links)'!$H$9*0.5</f>
        <v>115367.48484</v>
      </c>
      <c r="D73" s="81">
        <f>+'E-Costos (Cálculos y links)'!$H$9*0.5</f>
        <v>115367.48484</v>
      </c>
      <c r="E73" s="81">
        <f>+'E-Costos (Cálculos y links)'!$H$9*0.5</f>
        <v>115367.48484</v>
      </c>
      <c r="F73" s="82">
        <f>+'E-Costos (Cálculos y links)'!$H$9*0.5</f>
        <v>115367.48484</v>
      </c>
    </row>
    <row r="74" spans="1:7">
      <c r="A74" s="28" t="s">
        <v>238</v>
      </c>
      <c r="B74" s="81">
        <v>0</v>
      </c>
      <c r="C74" s="81">
        <v>0</v>
      </c>
      <c r="D74" s="81">
        <v>0</v>
      </c>
      <c r="E74" s="81">
        <v>0</v>
      </c>
      <c r="F74" s="81">
        <v>0</v>
      </c>
    </row>
    <row r="75" spans="1:7">
      <c r="A75" s="28" t="s">
        <v>239</v>
      </c>
      <c r="B75" s="81">
        <f>'E-Costos (Cálculos y links)'!$D$134</f>
        <v>115000</v>
      </c>
      <c r="C75" s="81">
        <f>'E-Costos (Cálculos y links)'!$D$134</f>
        <v>115000</v>
      </c>
      <c r="D75" s="81">
        <f>'E-Costos (Cálculos y links)'!$D$134</f>
        <v>115000</v>
      </c>
      <c r="E75" s="81">
        <f>'E-Costos (Cálculos y links)'!$D$134</f>
        <v>115000</v>
      </c>
      <c r="F75" s="82">
        <f>'E-Costos (Cálculos y links)'!$D$134</f>
        <v>115000</v>
      </c>
    </row>
    <row r="76" spans="1:7">
      <c r="A76" s="28" t="s">
        <v>215</v>
      </c>
      <c r="B76" s="81">
        <f>+'E-Costos (Cálculos y links)'!$I$130</f>
        <v>627000</v>
      </c>
      <c r="C76" s="81">
        <f>+'E-Costos (Cálculos y links)'!$I$130</f>
        <v>627000</v>
      </c>
      <c r="D76" s="81">
        <f>+'E-Costos (Cálculos y links)'!$I$130</f>
        <v>627000</v>
      </c>
      <c r="E76" s="81">
        <f>+'E-Costos (Cálculos y links)'!$I$130</f>
        <v>627000</v>
      </c>
      <c r="F76" s="82">
        <f>+'E-Costos (Cálculos y links)'!$I$130</f>
        <v>627000</v>
      </c>
    </row>
    <row r="77" spans="1:7">
      <c r="A77" s="28" t="s">
        <v>21</v>
      </c>
      <c r="B77" s="81">
        <f>+SUM(B70:B76)*InfoInicial!$B$15</f>
        <v>99629.111100588387</v>
      </c>
      <c r="C77" s="81">
        <f>+SUM(C70:C76)*InfoInicial!$B$15</f>
        <v>104787.39822806951</v>
      </c>
      <c r="D77" s="81">
        <f>+SUM(D70:D76)*InfoInicial!$B$15</f>
        <v>104787.39822806951</v>
      </c>
      <c r="E77" s="81">
        <f>+SUM(E70:E76)*InfoInicial!$B$15</f>
        <v>104787.39822806951</v>
      </c>
      <c r="F77" s="82">
        <f>+SUM(F70:F76)*InfoInicial!$B$15</f>
        <v>104787.39822806951</v>
      </c>
    </row>
    <row r="78" spans="1:7">
      <c r="A78" s="28"/>
      <c r="B78" s="49"/>
      <c r="C78" s="49"/>
      <c r="D78" s="49"/>
      <c r="E78" s="49"/>
      <c r="F78" s="82"/>
    </row>
    <row r="79" spans="1:7">
      <c r="A79" s="26" t="s">
        <v>243</v>
      </c>
      <c r="B79" s="81">
        <f>+SUM(B70:B77)</f>
        <v>1464411.4549442651</v>
      </c>
      <c r="C79" s="81">
        <f>+SUM(C70:C77)</f>
        <v>1540231.2095714875</v>
      </c>
      <c r="D79" s="81">
        <f>+SUM(D70:D77)</f>
        <v>1540231.2095714875</v>
      </c>
      <c r="E79" s="81">
        <f>+SUM(E70:E77)</f>
        <v>1540231.2095714875</v>
      </c>
      <c r="F79" s="82">
        <f>+SUM(F70:F77)</f>
        <v>1540231.2095714875</v>
      </c>
    </row>
    <row r="80" spans="1:7">
      <c r="A80" s="26"/>
      <c r="B80" s="107"/>
      <c r="C80" s="107"/>
      <c r="D80" s="107"/>
      <c r="E80" s="107"/>
      <c r="F80" s="82"/>
    </row>
    <row r="81" spans="1:7">
      <c r="A81" s="86" t="s">
        <v>218</v>
      </c>
      <c r="B81" s="110">
        <f>(B70+B71+B72+B73+B76+0.5*B77)/B79</f>
        <v>0.88745338272666885</v>
      </c>
      <c r="C81" s="110">
        <f>(C70+C71+C72+C73+C76+0.5*C77)/C79</f>
        <v>0.89131910970651862</v>
      </c>
      <c r="D81" s="110">
        <f>(D70+D71+D72+D73+D76+0.5*D77)/D79</f>
        <v>0.89131910970651862</v>
      </c>
      <c r="E81" s="110">
        <f>(E70+E71+E72+E73+E76+0.5*E77)/E79</f>
        <v>0.89131910970651862</v>
      </c>
      <c r="F81" s="88">
        <f>(F70+F71+F72+F73+F76+0.5*F77)/F79</f>
        <v>0.89131910970651862</v>
      </c>
    </row>
    <row r="82" spans="1:7">
      <c r="A82" s="36" t="s">
        <v>219</v>
      </c>
      <c r="B82" s="111">
        <f>(B75+B77*0.5)/B79</f>
        <v>0.11254661727333114</v>
      </c>
      <c r="C82" s="111">
        <f>(C75+C77*0.5)/C79</f>
        <v>0.10868089029348126</v>
      </c>
      <c r="D82" s="111">
        <f>(D75+D77*0.5)/D79</f>
        <v>0.10868089029348126</v>
      </c>
      <c r="E82" s="111">
        <f>(E75+E77*0.5)/E79</f>
        <v>0.10868089029348126</v>
      </c>
      <c r="F82" s="90">
        <f>(F75+F77*0.5)/F79</f>
        <v>0.10868089029348126</v>
      </c>
    </row>
    <row r="85" spans="1:7">
      <c r="A85" s="34" t="s">
        <v>244</v>
      </c>
      <c r="B85" s="19"/>
      <c r="C85" s="19"/>
      <c r="D85" s="19"/>
      <c r="E85" s="19"/>
      <c r="F85" s="20"/>
    </row>
    <row r="86" spans="1:7">
      <c r="A86" s="105"/>
      <c r="B86" s="22" t="s">
        <v>58</v>
      </c>
      <c r="C86" s="22" t="s">
        <v>202</v>
      </c>
      <c r="D86" s="22" t="s">
        <v>203</v>
      </c>
      <c r="E86" s="22" t="s">
        <v>204</v>
      </c>
      <c r="F86" s="23" t="s">
        <v>205</v>
      </c>
    </row>
    <row r="87" spans="1:7">
      <c r="A87" s="28" t="s">
        <v>245</v>
      </c>
      <c r="B87" s="112">
        <v>14100</v>
      </c>
      <c r="C87" s="112">
        <v>22600</v>
      </c>
      <c r="D87" s="112">
        <v>22600</v>
      </c>
      <c r="E87" s="112">
        <v>22600</v>
      </c>
      <c r="F87" s="113">
        <v>22600</v>
      </c>
    </row>
    <row r="88" spans="1:7">
      <c r="A88" s="28" t="s">
        <v>246</v>
      </c>
      <c r="B88" s="81">
        <f>+InfoInicial!$B$20</f>
        <v>1000</v>
      </c>
      <c r="C88" s="81">
        <f>+InfoInicial!$B$20</f>
        <v>1000</v>
      </c>
      <c r="D88" s="81">
        <f>+InfoInicial!$B$20</f>
        <v>1000</v>
      </c>
      <c r="E88" s="81">
        <f>+InfoInicial!$B$20</f>
        <v>1000</v>
      </c>
      <c r="F88" s="113">
        <f>+InfoInicial!$B$20</f>
        <v>1000</v>
      </c>
    </row>
    <row r="89" spans="1:7">
      <c r="A89" s="26" t="s">
        <v>247</v>
      </c>
      <c r="B89" s="81">
        <f>+B88*B87</f>
        <v>14100000</v>
      </c>
      <c r="C89" s="81">
        <f>+C88*C87</f>
        <v>22600000</v>
      </c>
      <c r="D89" s="81">
        <f>+D88*D87</f>
        <v>22600000</v>
      </c>
      <c r="E89" s="81">
        <f>+E88*E87</f>
        <v>22600000</v>
      </c>
      <c r="F89" s="82">
        <f>+F88*F87</f>
        <v>22600000</v>
      </c>
      <c r="G89" s="114"/>
    </row>
    <row r="90" spans="1:7">
      <c r="A90" s="28"/>
      <c r="B90" s="107"/>
      <c r="C90" s="107"/>
      <c r="D90" s="107"/>
      <c r="E90" s="107"/>
      <c r="F90" s="115"/>
    </row>
    <row r="91" spans="1:7">
      <c r="A91" s="28" t="s">
        <v>248</v>
      </c>
      <c r="B91" s="81">
        <f t="shared" ref="B91:B92" si="1">+B7</f>
        <v>2289813.993096923</v>
      </c>
      <c r="C91" s="81">
        <f t="shared" ref="C91:C92" si="2">+C7</f>
        <v>3424870.6978153847</v>
      </c>
      <c r="D91" s="81">
        <f t="shared" ref="D91:D92" si="3">+D7</f>
        <v>3424870.6978153847</v>
      </c>
      <c r="E91" s="81">
        <f t="shared" ref="E91:E92" si="4">+E7</f>
        <v>3424870.6978153847</v>
      </c>
      <c r="F91" s="115">
        <f t="shared" ref="F91:F92" si="5">+F7</f>
        <v>3424870.6978153847</v>
      </c>
    </row>
    <row r="92" spans="1:7">
      <c r="A92" s="28" t="s">
        <v>207</v>
      </c>
      <c r="B92" s="81">
        <f t="shared" si="1"/>
        <v>1263405</v>
      </c>
      <c r="C92" s="81">
        <f t="shared" si="2"/>
        <v>1329900</v>
      </c>
      <c r="D92" s="81">
        <f t="shared" si="3"/>
        <v>1329900</v>
      </c>
      <c r="E92" s="81">
        <f t="shared" si="4"/>
        <v>1329900</v>
      </c>
      <c r="F92" s="115">
        <f t="shared" si="5"/>
        <v>1329900</v>
      </c>
    </row>
    <row r="93" spans="1:7">
      <c r="A93" s="28" t="s">
        <v>249</v>
      </c>
      <c r="B93" s="81">
        <f>SUM(B10:B17)</f>
        <v>2807983.2939996826</v>
      </c>
      <c r="C93" s="81">
        <f>SUM(C10:C17)</f>
        <v>3086478.219385094</v>
      </c>
      <c r="D93" s="81">
        <f>SUM(D10:D17)</f>
        <v>3086478.219385094</v>
      </c>
      <c r="E93" s="81">
        <f>SUM(E10:E17)</f>
        <v>3044643.0201170947</v>
      </c>
      <c r="F93" s="115">
        <f>SUM(F10:F17)</f>
        <v>3044643.0201170947</v>
      </c>
    </row>
    <row r="94" spans="1:7">
      <c r="A94" s="28"/>
      <c r="B94" s="107"/>
      <c r="C94" s="107"/>
      <c r="D94" s="107"/>
      <c r="E94" s="107"/>
      <c r="F94" s="115"/>
    </row>
    <row r="95" spans="1:7">
      <c r="A95" s="28" t="s">
        <v>250</v>
      </c>
      <c r="B95" s="116">
        <f>+B18</f>
        <v>6361202.2870966056</v>
      </c>
      <c r="C95" s="116">
        <f>+C18</f>
        <v>7841248.9172004797</v>
      </c>
      <c r="D95" s="116">
        <f>+D18</f>
        <v>7841248.9172004797</v>
      </c>
      <c r="E95" s="116">
        <f>+E18</f>
        <v>7799413.7179324795</v>
      </c>
      <c r="F95" s="117">
        <f>+F18</f>
        <v>7799413.7179324795</v>
      </c>
    </row>
    <row r="96" spans="1:7">
      <c r="A96" s="28"/>
      <c r="B96" s="107"/>
      <c r="C96" s="107"/>
      <c r="D96" s="107"/>
      <c r="E96" s="107"/>
      <c r="F96" s="115"/>
    </row>
    <row r="97" spans="1:7">
      <c r="A97" s="28" t="s">
        <v>229</v>
      </c>
      <c r="B97" s="107"/>
      <c r="C97" s="107"/>
      <c r="D97" s="107"/>
      <c r="E97" s="107"/>
      <c r="F97" s="115"/>
    </row>
    <row r="98" spans="1:7">
      <c r="A98" s="30" t="s">
        <v>222</v>
      </c>
      <c r="B98" s="81">
        <f>+G36</f>
        <v>568247.72400212195</v>
      </c>
      <c r="C98" s="81">
        <v>0</v>
      </c>
      <c r="D98" s="81">
        <v>0</v>
      </c>
      <c r="E98" s="81">
        <v>0</v>
      </c>
      <c r="F98" s="82">
        <v>0</v>
      </c>
    </row>
    <row r="99" spans="1:7">
      <c r="A99" s="30" t="s">
        <v>231</v>
      </c>
      <c r="B99" s="81">
        <f>+B43</f>
        <v>297.77800509345622</v>
      </c>
      <c r="C99" s="81">
        <f>+C43</f>
        <v>-30.056460461173685</v>
      </c>
      <c r="D99" s="81">
        <f>+D43</f>
        <v>0</v>
      </c>
      <c r="E99" s="81">
        <f>+E43</f>
        <v>-1.1017931597455686</v>
      </c>
      <c r="F99" s="82">
        <f>+F43</f>
        <v>0</v>
      </c>
    </row>
    <row r="100" spans="1:7">
      <c r="A100" s="28"/>
      <c r="B100" s="107"/>
      <c r="C100" s="107"/>
      <c r="D100" s="107"/>
      <c r="E100" s="107"/>
      <c r="F100" s="115"/>
    </row>
    <row r="101" spans="1:7">
      <c r="A101" s="26" t="s">
        <v>251</v>
      </c>
      <c r="B101" s="81">
        <f>+B44</f>
        <v>5792656.7850893904</v>
      </c>
      <c r="C101" s="81">
        <f>+C44</f>
        <v>7841278.9736609412</v>
      </c>
      <c r="D101" s="81">
        <f>+D44</f>
        <v>7841248.9172004797</v>
      </c>
      <c r="E101" s="81">
        <f>+E44</f>
        <v>7799414.8197256392</v>
      </c>
      <c r="F101" s="115">
        <f>+F44</f>
        <v>7799413.7179324795</v>
      </c>
    </row>
    <row r="102" spans="1:7">
      <c r="A102" s="30" t="s">
        <v>252</v>
      </c>
      <c r="B102" s="118">
        <v>14318</v>
      </c>
      <c r="C102" s="118">
        <v>22600</v>
      </c>
      <c r="D102" s="118">
        <v>22600</v>
      </c>
      <c r="E102" s="118">
        <v>22600</v>
      </c>
      <c r="F102" s="119">
        <v>22600</v>
      </c>
    </row>
    <row r="103" spans="1:7">
      <c r="A103" s="28" t="s">
        <v>253</v>
      </c>
      <c r="B103" s="81">
        <f>+B45</f>
        <v>404.57164304298021</v>
      </c>
      <c r="C103" s="81">
        <f>+C45</f>
        <v>346.95924662216555</v>
      </c>
      <c r="D103" s="81">
        <f>+D45</f>
        <v>346.95791669028671</v>
      </c>
      <c r="E103" s="81">
        <f>+E45</f>
        <v>345.106850430338</v>
      </c>
      <c r="F103" s="115">
        <f>+F45</f>
        <v>345.10680167842827</v>
      </c>
    </row>
    <row r="104" spans="1:7">
      <c r="A104" s="28"/>
      <c r="B104" s="120"/>
      <c r="C104" s="120"/>
      <c r="D104" s="120"/>
      <c r="E104" s="120"/>
      <c r="F104" s="117"/>
    </row>
    <row r="105" spans="1:7">
      <c r="A105" s="28" t="s">
        <v>229</v>
      </c>
      <c r="F105" s="117"/>
    </row>
    <row r="106" spans="1:7">
      <c r="A106" s="28" t="s">
        <v>254</v>
      </c>
      <c r="B106" s="81">
        <f>+'E-Costos (Cálculos y links)'!D183</f>
        <v>87792.046540326701</v>
      </c>
      <c r="C106" s="81">
        <f>+'E-Costos (Cálculos y links)'!E183</f>
        <v>-12501.890023316781</v>
      </c>
      <c r="D106" s="81">
        <f>+'E-Costos (Cálculos y links)'!F183</f>
        <v>-0.2885952177020954</v>
      </c>
      <c r="E106" s="81">
        <f>+'E-Costos (Cálculos y links)'!G183</f>
        <v>-401.68137840887357</v>
      </c>
      <c r="F106" s="115">
        <f>+'E-Costos (Cálculos y links)'!H183</f>
        <v>-1.0579164416412823E-2</v>
      </c>
    </row>
    <row r="107" spans="1:7">
      <c r="A107" s="28"/>
      <c r="B107" s="120"/>
      <c r="C107" s="120"/>
      <c r="D107" s="120"/>
      <c r="E107" s="120"/>
      <c r="F107" s="115"/>
    </row>
    <row r="108" spans="1:7">
      <c r="A108" s="26" t="s">
        <v>255</v>
      </c>
      <c r="B108" s="81">
        <f>+B101-B106</f>
        <v>5704864.7385490639</v>
      </c>
      <c r="C108" s="81">
        <f>+C101-C106</f>
        <v>7853780.8636842584</v>
      </c>
      <c r="D108" s="81">
        <f>+D101-D106</f>
        <v>7841249.2057956969</v>
      </c>
      <c r="E108" s="81">
        <f>+E101-E106</f>
        <v>7799816.5011040485</v>
      </c>
      <c r="F108" s="115">
        <f>+F101-F106</f>
        <v>7799413.7285116436</v>
      </c>
      <c r="G108" s="114"/>
    </row>
    <row r="109" spans="1:7">
      <c r="A109" s="28"/>
      <c r="B109" s="107"/>
      <c r="C109" s="107"/>
      <c r="D109" s="107"/>
      <c r="E109" s="107"/>
      <c r="F109" s="115"/>
    </row>
    <row r="110" spans="1:7">
      <c r="A110" s="26" t="s">
        <v>256</v>
      </c>
      <c r="B110" s="81">
        <f>+B62</f>
        <v>1664980.5096999474</v>
      </c>
      <c r="C110" s="81">
        <f>+C62</f>
        <v>1773778.7559666901</v>
      </c>
      <c r="D110" s="81">
        <f>+D62</f>
        <v>1773778.7559666901</v>
      </c>
      <c r="E110" s="81">
        <f>+E62</f>
        <v>1773778.7559666901</v>
      </c>
      <c r="F110" s="115">
        <f>+F62</f>
        <v>1773778.7559666901</v>
      </c>
    </row>
    <row r="111" spans="1:7">
      <c r="A111" s="26" t="s">
        <v>257</v>
      </c>
      <c r="B111" s="81">
        <f>+B79</f>
        <v>1464411.4549442651</v>
      </c>
      <c r="C111" s="81">
        <f>+C79</f>
        <v>1540231.2095714875</v>
      </c>
      <c r="D111" s="81">
        <f>+D79</f>
        <v>1540231.2095714875</v>
      </c>
      <c r="E111" s="81">
        <f>+E79</f>
        <v>1540231.2095714875</v>
      </c>
      <c r="F111" s="115">
        <f>+F79</f>
        <v>1540231.2095714875</v>
      </c>
    </row>
    <row r="112" spans="1:7">
      <c r="A112" s="28"/>
      <c r="B112" s="120"/>
      <c r="C112" s="120"/>
      <c r="D112" s="120"/>
      <c r="E112" s="120"/>
      <c r="F112" s="117"/>
    </row>
    <row r="113" spans="1:6">
      <c r="A113" s="26" t="s">
        <v>258</v>
      </c>
      <c r="B113" s="116">
        <f>+SUM(B108:B111)</f>
        <v>8834256.7031932771</v>
      </c>
      <c r="C113" s="116">
        <f>+SUM(C108:C111)</f>
        <v>11167790.829222437</v>
      </c>
      <c r="D113" s="116">
        <f>+SUM(D108:D111)</f>
        <v>11155259.171333876</v>
      </c>
      <c r="E113" s="116">
        <f>+SUM(E108:E111)</f>
        <v>11113826.466642227</v>
      </c>
      <c r="F113" s="117">
        <f>+SUM(F108:F111)</f>
        <v>11113423.694049822</v>
      </c>
    </row>
    <row r="114" spans="1:6">
      <c r="A114" s="28"/>
      <c r="B114" s="120"/>
      <c r="C114" s="120"/>
      <c r="D114" s="120"/>
      <c r="E114" s="120"/>
      <c r="F114" s="117"/>
    </row>
    <row r="115" spans="1:6">
      <c r="A115" s="26" t="s">
        <v>259</v>
      </c>
      <c r="B115" s="116">
        <f>+B113/B87</f>
        <v>626.54302859526786</v>
      </c>
      <c r="C115" s="116">
        <f>+C113/C87</f>
        <v>494.15003669125826</v>
      </c>
      <c r="D115" s="116">
        <f>+D113/D87</f>
        <v>493.59553855459626</v>
      </c>
      <c r="E115" s="116">
        <f>+E113/E87</f>
        <v>491.7622330372667</v>
      </c>
      <c r="F115" s="117">
        <f>+F113/F87</f>
        <v>491.74441124114259</v>
      </c>
    </row>
    <row r="116" spans="1:6">
      <c r="A116" s="28"/>
      <c r="B116" s="120"/>
      <c r="C116" s="120"/>
      <c r="D116" s="120"/>
      <c r="E116" s="120"/>
      <c r="F116" s="117"/>
    </row>
    <row r="117" spans="1:6">
      <c r="A117" s="26" t="s">
        <v>260</v>
      </c>
      <c r="B117" s="116">
        <f>+B89-B113</f>
        <v>5265743.2968067229</v>
      </c>
      <c r="C117" s="116">
        <f>+C89-C113</f>
        <v>11432209.170777563</v>
      </c>
      <c r="D117" s="116">
        <f>+D89-D113</f>
        <v>11444740.828666124</v>
      </c>
      <c r="E117" s="116">
        <f>+E89-E113</f>
        <v>11486173.533357773</v>
      </c>
      <c r="F117" s="117">
        <f>+F89-F113</f>
        <v>11486576.305950178</v>
      </c>
    </row>
    <row r="118" spans="1:6">
      <c r="A118" s="26" t="s">
        <v>5</v>
      </c>
      <c r="B118" s="121">
        <f>IF(+B117*InfoInicial!$B$5&gt;0,+B117*InfoInicial!$B$5,0)</f>
        <v>289615.88132436975</v>
      </c>
      <c r="C118" s="121">
        <f>IF(+C117*InfoInicial!$B$5&gt;0,+C117*InfoInicial!$B$5,0)</f>
        <v>628771.50439276593</v>
      </c>
      <c r="D118" s="121">
        <f>IF(+D117*InfoInicial!$B$5&gt;0,+D117*InfoInicial!$B$5,0)</f>
        <v>629460.74557663687</v>
      </c>
      <c r="E118" s="121">
        <f>IF(+E117*InfoInicial!$B$5&gt;0,+E117*InfoInicial!$B$5,0)</f>
        <v>631739.54433467751</v>
      </c>
      <c r="F118" s="121">
        <f>IF(+F117*InfoInicial!$B$5&gt;0,+F117*InfoInicial!$B$5,0)</f>
        <v>631761.69682725973</v>
      </c>
    </row>
    <row r="119" spans="1:6">
      <c r="A119" s="48" t="s">
        <v>261</v>
      </c>
      <c r="B119" s="116">
        <f>+B117*InfoInicial!$B$4</f>
        <v>1843010.1538823529</v>
      </c>
      <c r="C119" s="116">
        <f>+C117*InfoInicial!$B$4</f>
        <v>4001273.2097721468</v>
      </c>
      <c r="D119" s="116">
        <f>+D117*InfoInicial!$B$4</f>
        <v>4005659.2900331435</v>
      </c>
      <c r="E119" s="116">
        <f>+E117*InfoInicial!$B$4</f>
        <v>4020160.7366752201</v>
      </c>
      <c r="F119" s="117">
        <f>+F117*InfoInicial!$B$4</f>
        <v>4020301.7070825621</v>
      </c>
    </row>
    <row r="120" spans="1:6">
      <c r="A120" s="26"/>
      <c r="B120" s="120"/>
      <c r="C120" s="120"/>
      <c r="D120" s="120"/>
      <c r="E120" s="120"/>
      <c r="F120" s="117"/>
    </row>
    <row r="121" spans="1:6">
      <c r="A121" s="48" t="s">
        <v>262</v>
      </c>
      <c r="B121" s="120">
        <f>+B117-B118-B119</f>
        <v>3133117.2616000008</v>
      </c>
      <c r="C121" s="116">
        <f>+C117-C118-C119</f>
        <v>6802164.4566126503</v>
      </c>
      <c r="D121" s="116">
        <f>+D117-D118-D119</f>
        <v>6809620.7930563446</v>
      </c>
      <c r="E121" s="116">
        <f>+E117-E118-E119</f>
        <v>6834273.2523478754</v>
      </c>
      <c r="F121" s="117">
        <f>+F117-F118-F119</f>
        <v>6834512.9020403568</v>
      </c>
    </row>
    <row r="122" spans="1:6">
      <c r="A122" s="26" t="s">
        <v>263</v>
      </c>
      <c r="B122" s="122">
        <f>+B121/B89</f>
        <v>0.22220689798581567</v>
      </c>
      <c r="C122" s="122">
        <f>+C121/C89</f>
        <v>0.30098072816870136</v>
      </c>
      <c r="D122" s="122">
        <f>+D121/D89</f>
        <v>0.30131065456001527</v>
      </c>
      <c r="E122" s="122">
        <f>+E121/E89</f>
        <v>0.30240147134282636</v>
      </c>
      <c r="F122" s="123">
        <f>+F121/F89</f>
        <v>0.3024120753115202</v>
      </c>
    </row>
    <row r="123" spans="1:6">
      <c r="A123" s="26"/>
      <c r="B123" s="124"/>
      <c r="C123" s="124"/>
      <c r="D123" s="124"/>
      <c r="E123" s="124"/>
      <c r="F123" s="123"/>
    </row>
    <row r="124" spans="1:6">
      <c r="A124" s="26" t="s">
        <v>264</v>
      </c>
      <c r="B124" s="124"/>
      <c r="C124" s="124"/>
      <c r="D124" s="124"/>
      <c r="E124" s="124"/>
      <c r="F124" s="123"/>
    </row>
    <row r="125" spans="1:6">
      <c r="A125" s="48" t="s">
        <v>265</v>
      </c>
      <c r="B125" s="81">
        <f>+B121</f>
        <v>3133117.2616000008</v>
      </c>
      <c r="C125" s="81">
        <f>+C121</f>
        <v>6802164.4566126503</v>
      </c>
      <c r="D125" s="81">
        <f>+D121</f>
        <v>6809620.7930563446</v>
      </c>
      <c r="E125" s="81">
        <f>+E121</f>
        <v>6834273.2523478754</v>
      </c>
      <c r="F125" s="115">
        <f>+F121</f>
        <v>6834512.9020403568</v>
      </c>
    </row>
    <row r="126" spans="1:6">
      <c r="A126" s="26" t="s">
        <v>266</v>
      </c>
      <c r="B126" s="81">
        <f>+B10+B54+B71</f>
        <v>1539858.7157561101</v>
      </c>
      <c r="C126" s="81">
        <f>+C10+C54+C71</f>
        <v>1539858.7157561101</v>
      </c>
      <c r="D126" s="81">
        <f>+D10+D54+D71</f>
        <v>1539858.7157561101</v>
      </c>
      <c r="E126" s="81">
        <f>+E10+E54+E71</f>
        <v>1497278.0657561102</v>
      </c>
      <c r="F126" s="115">
        <f>+F10+F54+F71</f>
        <v>1497278.0657561102</v>
      </c>
    </row>
    <row r="127" spans="1:6">
      <c r="A127" s="36" t="s">
        <v>267</v>
      </c>
      <c r="B127" s="81">
        <f>+B125+B126</f>
        <v>4672975.9773561107</v>
      </c>
      <c r="C127" s="81">
        <f>+C125+C126</f>
        <v>8342023.1723687602</v>
      </c>
      <c r="D127" s="81">
        <f>+D125+D126</f>
        <v>8349479.5088124545</v>
      </c>
      <c r="E127" s="81">
        <f>+E125+E126</f>
        <v>8331551.3181039859</v>
      </c>
      <c r="F127" s="115">
        <f>+F125+F126</f>
        <v>8331790.9677964672</v>
      </c>
    </row>
    <row r="128" spans="1:6">
      <c r="A128" s="26"/>
      <c r="B128" s="31"/>
      <c r="C128" s="31"/>
      <c r="D128" s="31"/>
      <c r="E128" s="31"/>
      <c r="F128" s="125"/>
    </row>
    <row r="129" spans="1:12">
      <c r="A129" s="26" t="s">
        <v>268</v>
      </c>
      <c r="B129" s="81">
        <f>B18*B20</f>
        <v>2255527.0154093322</v>
      </c>
      <c r="C129" s="81">
        <f>C18*C20</f>
        <v>2325217.4292013091</v>
      </c>
      <c r="D129" s="81">
        <f>D18*D20</f>
        <v>2325217.4292013091</v>
      </c>
      <c r="E129" s="81">
        <f>E18*E20</f>
        <v>2282636.7792013092</v>
      </c>
      <c r="F129" s="115">
        <f>F18*F20</f>
        <v>2282636.7792013092</v>
      </c>
    </row>
    <row r="130" spans="1:12">
      <c r="A130" s="48" t="s">
        <v>269</v>
      </c>
      <c r="B130" s="81">
        <f>B18*B21</f>
        <v>4105675.2716872734</v>
      </c>
      <c r="C130" s="81">
        <f>C18*C21</f>
        <v>5516031.4879991701</v>
      </c>
      <c r="D130" s="81">
        <f>D18*D21</f>
        <v>5516031.4879991701</v>
      </c>
      <c r="E130" s="81">
        <f>E18*E21</f>
        <v>5516776.9387311703</v>
      </c>
      <c r="F130" s="115">
        <f>F18*F21</f>
        <v>5516776.9387311703</v>
      </c>
    </row>
    <row r="131" spans="1:12">
      <c r="A131" s="26" t="s">
        <v>270</v>
      </c>
      <c r="B131" s="81">
        <f>+B62*B64</f>
        <v>1664980.5096999474</v>
      </c>
      <c r="C131" s="81">
        <f>+C62*C64</f>
        <v>1773778.7559666901</v>
      </c>
      <c r="D131" s="81">
        <f>+D62*D64</f>
        <v>1773778.7559666901</v>
      </c>
      <c r="E131" s="81">
        <f>+E62*E64</f>
        <v>1773778.7559666901</v>
      </c>
      <c r="F131" s="115">
        <f>+F62*F64</f>
        <v>1773778.7559666901</v>
      </c>
    </row>
    <row r="132" spans="1:12">
      <c r="A132" s="48" t="s">
        <v>271</v>
      </c>
      <c r="B132" s="81">
        <f>+B62*B65</f>
        <v>0</v>
      </c>
      <c r="C132" s="81">
        <f>+C62*C65</f>
        <v>0</v>
      </c>
      <c r="D132" s="81">
        <f>+D62*D65</f>
        <v>0</v>
      </c>
      <c r="E132" s="81">
        <f>+E62*E65</f>
        <v>0</v>
      </c>
      <c r="F132" s="115">
        <f>+F62*F65</f>
        <v>0</v>
      </c>
    </row>
    <row r="133" spans="1:12">
      <c r="A133" s="26" t="s">
        <v>272</v>
      </c>
      <c r="B133" s="81">
        <f>+B79*B81</f>
        <v>1299596.8993939708</v>
      </c>
      <c r="C133" s="81">
        <f>+C79*C81</f>
        <v>1372837.5104574526</v>
      </c>
      <c r="D133" s="81">
        <f>+D79*D81</f>
        <v>1372837.5104574526</v>
      </c>
      <c r="E133" s="81">
        <f>+E79*E81</f>
        <v>1372837.5104574526</v>
      </c>
      <c r="F133" s="115">
        <f>+F79*F81</f>
        <v>1372837.5104574526</v>
      </c>
    </row>
    <row r="134" spans="1:12">
      <c r="A134" s="48" t="s">
        <v>273</v>
      </c>
      <c r="B134" s="81">
        <f>+B79*B82</f>
        <v>164814.5555502942</v>
      </c>
      <c r="C134" s="81">
        <f>+C79*C82</f>
        <v>167393.69911403477</v>
      </c>
      <c r="D134" s="81">
        <f>+D79*D82</f>
        <v>167393.69911403477</v>
      </c>
      <c r="E134" s="81">
        <f>+E79*E82</f>
        <v>167393.69911403477</v>
      </c>
      <c r="F134" s="115">
        <f>+F79*F82</f>
        <v>167393.69911403477</v>
      </c>
    </row>
    <row r="135" spans="1:12">
      <c r="A135" s="26" t="s">
        <v>274</v>
      </c>
      <c r="B135" s="102">
        <f>+B89-B130-B132-B134</f>
        <v>9829510.1727624331</v>
      </c>
      <c r="C135" s="102">
        <f>+C89-C130-C132-C134</f>
        <v>16916574.812886793</v>
      </c>
      <c r="D135" s="102">
        <f>+D89-D130-D132-D134</f>
        <v>16916574.812886793</v>
      </c>
      <c r="E135" s="102">
        <f>+E89-E130-E132-E134</f>
        <v>16915829.362154793</v>
      </c>
      <c r="F135" s="126">
        <f>+F89-F130-F132-F134</f>
        <v>16915829.362154793</v>
      </c>
    </row>
    <row r="136" spans="1:12">
      <c r="A136" s="36" t="s">
        <v>275</v>
      </c>
      <c r="B136" s="127">
        <f>+(B129+B131+B133)/B135</f>
        <v>0.53106455283683995</v>
      </c>
      <c r="C136" s="127">
        <f>+(C129+C131+C133)/C135</f>
        <v>0.32345990581125739</v>
      </c>
      <c r="D136" s="127">
        <f>+(D129+D131+D133)/D135</f>
        <v>0.32345990581125739</v>
      </c>
      <c r="E136" s="127">
        <f>+(E129+E131+E133)/E135</f>
        <v>0.32095695276828307</v>
      </c>
      <c r="F136" s="128">
        <f>+(F129+F131+F133)/F135</f>
        <v>0.32095695276828307</v>
      </c>
    </row>
    <row r="137" spans="1:12" ht="15.75">
      <c r="A137" s="129" t="s">
        <v>276</v>
      </c>
    </row>
    <row r="141" spans="1:12">
      <c r="A141" s="510" t="s">
        <v>277</v>
      </c>
      <c r="B141" s="510"/>
      <c r="C141" s="510"/>
      <c r="D141" s="510"/>
      <c r="E141" s="510"/>
      <c r="H141" s="511" t="s">
        <v>278</v>
      </c>
      <c r="I141" s="511"/>
      <c r="J141" s="511"/>
      <c r="K141" s="511"/>
      <c r="L141" s="511"/>
    </row>
    <row r="142" spans="1:12">
      <c r="A142" s="131" t="s">
        <v>279</v>
      </c>
      <c r="B142" s="131" t="s">
        <v>280</v>
      </c>
      <c r="C142" s="131" t="s">
        <v>281</v>
      </c>
      <c r="D142" s="131" t="s">
        <v>282</v>
      </c>
      <c r="E142" s="131" t="s">
        <v>283</v>
      </c>
      <c r="H142" s="131" t="s">
        <v>279</v>
      </c>
      <c r="I142" s="131" t="s">
        <v>280</v>
      </c>
      <c r="J142" s="131" t="s">
        <v>281</v>
      </c>
      <c r="K142" s="131" t="s">
        <v>282</v>
      </c>
      <c r="L142" s="131" t="s">
        <v>283</v>
      </c>
    </row>
    <row r="143" spans="1:12">
      <c r="A143" s="132">
        <v>0</v>
      </c>
      <c r="B143" s="132">
        <v>0</v>
      </c>
      <c r="C143" s="133">
        <f>B129+B131+B133</f>
        <v>5220104.424503251</v>
      </c>
      <c r="D143" s="133">
        <f t="shared" ref="D143:D144" si="6">SUM(B143:C143)</f>
        <v>5220104.424503251</v>
      </c>
      <c r="E143" s="132">
        <v>0</v>
      </c>
      <c r="H143" s="132">
        <v>0</v>
      </c>
      <c r="I143" s="132">
        <v>0</v>
      </c>
      <c r="J143" s="64">
        <f>F129+F131+F133</f>
        <v>5429253.045625452</v>
      </c>
      <c r="K143" s="133">
        <f t="shared" ref="K143:K144" si="7">I143+J143</f>
        <v>5429253.045625452</v>
      </c>
      <c r="L143" s="132">
        <v>0</v>
      </c>
    </row>
    <row r="144" spans="1:12" ht="14.25">
      <c r="A144" s="134">
        <f>B87</f>
        <v>14100</v>
      </c>
      <c r="B144" s="134">
        <f>B130+B132+B134</f>
        <v>4270489.8272375679</v>
      </c>
      <c r="C144" s="133">
        <f>B129+B131+B133</f>
        <v>5220104.424503251</v>
      </c>
      <c r="D144" s="133">
        <f t="shared" si="6"/>
        <v>9490594.2517408188</v>
      </c>
      <c r="E144" s="135">
        <f>B89</f>
        <v>14100000</v>
      </c>
      <c r="H144" s="134">
        <f>F87</f>
        <v>22600</v>
      </c>
      <c r="I144" s="136">
        <f>F130+F132+F134</f>
        <v>5684170.6378452051</v>
      </c>
      <c r="J144" s="64">
        <f>F129+F131+F133</f>
        <v>5429253.045625452</v>
      </c>
      <c r="K144" s="133">
        <f t="shared" si="7"/>
        <v>11113423.683470657</v>
      </c>
      <c r="L144" s="135">
        <f>F89</f>
        <v>22600000</v>
      </c>
    </row>
  </sheetData>
  <sheetProtection selectLockedCells="1" selectUnlockedCells="1"/>
  <mergeCells count="2">
    <mergeCell ref="A141:E141"/>
    <mergeCell ref="H141:L14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83"/>
  <sheetViews>
    <sheetView zoomScale="40" zoomScaleNormal="40" workbookViewId="0">
      <selection activeCell="H25" sqref="H25"/>
    </sheetView>
  </sheetViews>
  <sheetFormatPr defaultColWidth="11.140625" defaultRowHeight="12.75"/>
  <cols>
    <col min="1" max="2" width="11.42578125" customWidth="1"/>
    <col min="3" max="3" width="31.28515625" customWidth="1"/>
    <col min="4" max="4" width="17.42578125" customWidth="1"/>
    <col min="5" max="5" width="27.7109375" customWidth="1"/>
    <col min="6" max="6" width="14.85546875" customWidth="1"/>
    <col min="7" max="7" width="23.85546875" customWidth="1"/>
    <col min="8" max="8" width="23.5703125" customWidth="1"/>
    <col min="9" max="9" width="15.5703125" customWidth="1"/>
    <col min="10" max="10" width="20.28515625" customWidth="1"/>
    <col min="11" max="11" width="17.140625" customWidth="1"/>
    <col min="12" max="12" width="22.28515625" customWidth="1"/>
    <col min="13" max="13" width="11.42578125" customWidth="1"/>
    <col min="14" max="14" width="47.85546875" customWidth="1"/>
  </cols>
  <sheetData>
    <row r="2" spans="2:13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>
      <c r="B3" s="17"/>
      <c r="C3" s="17"/>
      <c r="D3" s="17"/>
      <c r="E3" s="17"/>
      <c r="F3" s="17"/>
      <c r="G3" s="17"/>
      <c r="H3" s="17"/>
      <c r="I3" s="17"/>
      <c r="J3" s="17"/>
      <c r="K3" s="17"/>
      <c r="L3" s="132" t="s">
        <v>284</v>
      </c>
      <c r="M3" s="132" t="s">
        <v>285</v>
      </c>
    </row>
    <row r="4" spans="2:13">
      <c r="B4" s="17"/>
      <c r="C4" s="17"/>
      <c r="D4" s="17"/>
      <c r="E4" s="17"/>
      <c r="F4" s="17"/>
      <c r="G4" s="17"/>
      <c r="H4" s="17"/>
      <c r="I4" s="17"/>
      <c r="J4" s="17"/>
      <c r="K4" s="17"/>
      <c r="L4" s="137">
        <f>33.16+10.178</f>
        <v>43.337999999999994</v>
      </c>
      <c r="M4" s="137">
        <f>33.16+10.178</f>
        <v>43.337999999999994</v>
      </c>
    </row>
    <row r="5" spans="2:13" ht="12.7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506" t="s">
        <v>286</v>
      </c>
      <c r="M5" s="506"/>
    </row>
    <row r="6" spans="2:13">
      <c r="B6" s="17"/>
      <c r="C6" s="17"/>
      <c r="D6" s="17"/>
      <c r="E6" s="506" t="s">
        <v>287</v>
      </c>
      <c r="F6" s="506"/>
      <c r="G6" s="506"/>
      <c r="H6" s="506"/>
      <c r="I6" s="17"/>
      <c r="J6" s="132" t="s">
        <v>288</v>
      </c>
      <c r="K6" s="132" t="s">
        <v>289</v>
      </c>
      <c r="L6" s="132">
        <v>3224.11</v>
      </c>
      <c r="M6" s="138">
        <f>+L6</f>
        <v>3224.11</v>
      </c>
    </row>
    <row r="7" spans="2:13" ht="13.5" customHeight="1">
      <c r="B7" s="17"/>
      <c r="C7" s="17"/>
      <c r="D7" s="17" t="s">
        <v>290</v>
      </c>
      <c r="E7" s="17" t="s">
        <v>291</v>
      </c>
      <c r="F7" s="17" t="s">
        <v>292</v>
      </c>
      <c r="G7" s="17" t="s">
        <v>293</v>
      </c>
      <c r="H7" s="17" t="s">
        <v>290</v>
      </c>
      <c r="I7" s="17"/>
      <c r="J7" s="132" t="s">
        <v>294</v>
      </c>
      <c r="K7" s="132" t="s">
        <v>295</v>
      </c>
      <c r="L7" s="132">
        <v>222.47</v>
      </c>
      <c r="M7" s="139">
        <f>+L7*L4</f>
        <v>9641.4048599999987</v>
      </c>
    </row>
    <row r="8" spans="2:13">
      <c r="B8" s="17"/>
      <c r="C8" s="17" t="s">
        <v>296</v>
      </c>
      <c r="D8" s="17">
        <v>175845</v>
      </c>
      <c r="E8" s="17">
        <f>D8/12</f>
        <v>14653.75</v>
      </c>
      <c r="F8" s="140">
        <f>920/(35000/2)</f>
        <v>5.2571428571428575E-2</v>
      </c>
      <c r="G8" s="17">
        <f>+E8*F8</f>
        <v>770.3685714285715</v>
      </c>
      <c r="H8" s="141">
        <f t="shared" ref="H8:H11" si="0">+G8*12</f>
        <v>9244.4228571428575</v>
      </c>
      <c r="I8" s="17"/>
      <c r="J8" s="132" t="s">
        <v>297</v>
      </c>
      <c r="K8" s="132" t="s">
        <v>295</v>
      </c>
      <c r="L8" s="132">
        <v>7.8</v>
      </c>
      <c r="M8" s="139">
        <f>+L8*M4</f>
        <v>338.03639999999996</v>
      </c>
    </row>
    <row r="9" spans="2:13">
      <c r="B9" s="17"/>
      <c r="C9" s="512" t="s">
        <v>298</v>
      </c>
      <c r="D9" s="17" t="s">
        <v>299</v>
      </c>
      <c r="E9" s="17">
        <v>1218.52</v>
      </c>
      <c r="F9" s="17"/>
      <c r="G9" s="142">
        <f>+M24</f>
        <v>19227.914140000001</v>
      </c>
      <c r="H9" s="141">
        <f t="shared" si="0"/>
        <v>230734.96968000001</v>
      </c>
      <c r="I9" s="17"/>
      <c r="J9" s="132" t="s">
        <v>300</v>
      </c>
      <c r="K9" s="132" t="s">
        <v>301</v>
      </c>
      <c r="L9" s="132">
        <v>1.7270000000000001</v>
      </c>
      <c r="M9" s="138">
        <f t="shared" ref="M9:M11" si="1">+L9*$E$10</f>
        <v>6720.2578300000014</v>
      </c>
    </row>
    <row r="10" spans="2:13">
      <c r="B10" s="17"/>
      <c r="C10" s="512"/>
      <c r="D10" s="17" t="s">
        <v>302</v>
      </c>
      <c r="E10" s="17">
        <f>+E11-E9</f>
        <v>3891.2900000000004</v>
      </c>
      <c r="F10" s="17"/>
      <c r="G10" s="142">
        <f>+M12</f>
        <v>32442.089020000003</v>
      </c>
      <c r="H10" s="141">
        <f t="shared" si="0"/>
        <v>389305.06824000005</v>
      </c>
      <c r="I10" s="17"/>
      <c r="J10" s="132" t="s">
        <v>303</v>
      </c>
      <c r="K10" s="132" t="s">
        <v>301</v>
      </c>
      <c r="L10" s="132">
        <v>1.6479999999999999</v>
      </c>
      <c r="M10" s="138">
        <f t="shared" si="1"/>
        <v>6412.8459200000007</v>
      </c>
    </row>
    <row r="11" spans="2:13">
      <c r="B11" s="17"/>
      <c r="C11" s="17"/>
      <c r="D11" s="17" t="s">
        <v>267</v>
      </c>
      <c r="E11" s="17">
        <v>5109.8100000000004</v>
      </c>
      <c r="F11" s="17"/>
      <c r="G11" s="142">
        <f>+G9+G10</f>
        <v>51670.003160000007</v>
      </c>
      <c r="H11" s="142">
        <f t="shared" si="0"/>
        <v>620040.03792000003</v>
      </c>
      <c r="I11" s="17"/>
      <c r="J11" s="132" t="s">
        <v>304</v>
      </c>
      <c r="K11" s="132" t="s">
        <v>301</v>
      </c>
      <c r="L11" s="132">
        <v>1.569</v>
      </c>
      <c r="M11" s="138">
        <f t="shared" si="1"/>
        <v>6105.4340100000009</v>
      </c>
    </row>
    <row r="12" spans="2:13">
      <c r="B12" s="17"/>
      <c r="C12" s="17"/>
      <c r="D12" s="17"/>
      <c r="E12" s="17"/>
      <c r="F12" s="17"/>
      <c r="G12" s="17"/>
      <c r="H12" s="17"/>
      <c r="I12" s="17"/>
      <c r="J12" s="143" t="s">
        <v>305</v>
      </c>
      <c r="K12" s="144" t="s">
        <v>306</v>
      </c>
      <c r="L12" s="143"/>
      <c r="M12" s="145">
        <f>+SUM(M6:M11)</f>
        <v>32442.089020000003</v>
      </c>
    </row>
    <row r="13" spans="2:13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3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3">
      <c r="B15" s="17"/>
      <c r="C15" s="17"/>
      <c r="D15" s="17"/>
      <c r="E15" s="506" t="s">
        <v>307</v>
      </c>
      <c r="F15" s="506"/>
      <c r="G15" s="506"/>
      <c r="H15" s="506"/>
      <c r="I15" s="17"/>
      <c r="J15" s="17"/>
      <c r="K15" s="17"/>
      <c r="L15" s="132" t="s">
        <v>284</v>
      </c>
      <c r="M15" s="132" t="s">
        <v>285</v>
      </c>
    </row>
    <row r="16" spans="2:13">
      <c r="B16" s="17"/>
      <c r="C16" s="17"/>
      <c r="D16" s="17" t="s">
        <v>290</v>
      </c>
      <c r="E16" s="17" t="s">
        <v>291</v>
      </c>
      <c r="F16" s="17" t="s">
        <v>292</v>
      </c>
      <c r="G16" s="17" t="s">
        <v>293</v>
      </c>
      <c r="H16" s="17" t="s">
        <v>290</v>
      </c>
      <c r="I16" s="17"/>
      <c r="J16" s="17"/>
      <c r="K16" s="17"/>
      <c r="L16" s="137">
        <f>33.16+10.178</f>
        <v>43.337999999999994</v>
      </c>
      <c r="M16" s="137">
        <f>33.16+10.178</f>
        <v>43.337999999999994</v>
      </c>
    </row>
    <row r="17" spans="2:13">
      <c r="B17" s="17"/>
      <c r="C17" s="17" t="s">
        <v>296</v>
      </c>
      <c r="D17" s="17">
        <v>175845</v>
      </c>
      <c r="E17" s="17">
        <v>14653.75</v>
      </c>
      <c r="F17" s="17"/>
      <c r="G17" s="17">
        <f t="shared" ref="G17:G20" si="2">+G8*0.62</f>
        <v>477.62851428571435</v>
      </c>
      <c r="H17" s="98">
        <f t="shared" ref="H17:H20" si="3">+G17*12</f>
        <v>5731.5421714285721</v>
      </c>
      <c r="I17" s="17"/>
      <c r="J17" s="17"/>
      <c r="K17" s="17"/>
      <c r="L17" s="506" t="s">
        <v>286</v>
      </c>
      <c r="M17" s="506"/>
    </row>
    <row r="18" spans="2:13">
      <c r="B18" s="17"/>
      <c r="C18" s="512" t="s">
        <v>298</v>
      </c>
      <c r="D18" s="17" t="s">
        <v>299</v>
      </c>
      <c r="E18" s="17">
        <v>1218.52</v>
      </c>
      <c r="F18" s="17"/>
      <c r="G18" s="17">
        <f t="shared" si="2"/>
        <v>11921.3067668</v>
      </c>
      <c r="H18" s="98">
        <f t="shared" si="3"/>
        <v>143055.6812016</v>
      </c>
      <c r="I18" s="17"/>
      <c r="J18" s="132" t="s">
        <v>288</v>
      </c>
      <c r="K18" s="132" t="s">
        <v>289</v>
      </c>
      <c r="L18" s="146">
        <v>3224.11</v>
      </c>
      <c r="M18" s="139">
        <f>+L18</f>
        <v>3224.11</v>
      </c>
    </row>
    <row r="19" spans="2:13">
      <c r="B19" s="17"/>
      <c r="C19" s="512"/>
      <c r="D19" s="17" t="s">
        <v>302</v>
      </c>
      <c r="E19" s="17">
        <f>+E20-E18</f>
        <v>3891.2900000000004</v>
      </c>
      <c r="F19" s="17"/>
      <c r="G19" s="17">
        <f t="shared" si="2"/>
        <v>20114.0951924</v>
      </c>
      <c r="H19" s="98">
        <f t="shared" si="3"/>
        <v>241369.14230880002</v>
      </c>
      <c r="I19" s="17"/>
      <c r="J19" s="132" t="s">
        <v>294</v>
      </c>
      <c r="K19" s="132" t="s">
        <v>295</v>
      </c>
      <c r="L19" s="146">
        <v>222.47</v>
      </c>
      <c r="M19" s="139">
        <f>+L19*L16</f>
        <v>9641.4048599999987</v>
      </c>
    </row>
    <row r="20" spans="2:13">
      <c r="B20" s="17"/>
      <c r="C20" s="17"/>
      <c r="D20" s="17" t="s">
        <v>267</v>
      </c>
      <c r="E20" s="17">
        <v>5109.8100000000004</v>
      </c>
      <c r="F20" s="17"/>
      <c r="G20" s="17">
        <f t="shared" si="2"/>
        <v>32035.401959200004</v>
      </c>
      <c r="H20" s="17">
        <f t="shared" si="3"/>
        <v>384424.82351040002</v>
      </c>
      <c r="I20" s="17"/>
      <c r="J20" s="132" t="s">
        <v>297</v>
      </c>
      <c r="K20" s="132" t="s">
        <v>295</v>
      </c>
      <c r="L20" s="146">
        <v>7.8</v>
      </c>
      <c r="M20" s="139">
        <f>+L20*M16</f>
        <v>338.03639999999996</v>
      </c>
    </row>
    <row r="21" spans="2:13">
      <c r="B21" s="17"/>
      <c r="C21" s="17"/>
      <c r="D21" s="17"/>
      <c r="E21" s="17"/>
      <c r="F21" s="17"/>
      <c r="G21" s="17"/>
      <c r="H21" s="17"/>
      <c r="I21" s="17"/>
      <c r="J21" s="132" t="s">
        <v>300</v>
      </c>
      <c r="K21" s="132" t="s">
        <v>301</v>
      </c>
      <c r="L21" s="132">
        <v>1.7270000000000001</v>
      </c>
      <c r="M21" s="138">
        <f>+E18*$L$21</f>
        <v>2104.3840399999999</v>
      </c>
    </row>
    <row r="22" spans="2:13">
      <c r="B22" s="17"/>
      <c r="C22" s="17"/>
      <c r="D22" s="17"/>
      <c r="E22" s="17"/>
      <c r="F22" s="17"/>
      <c r="G22" s="17"/>
      <c r="H22" s="17"/>
      <c r="I22" s="17"/>
      <c r="J22" s="132" t="s">
        <v>303</v>
      </c>
      <c r="K22" s="132" t="s">
        <v>301</v>
      </c>
      <c r="L22" s="132">
        <v>1.6479999999999999</v>
      </c>
      <c r="M22" s="138">
        <f>+E18*$L$22</f>
        <v>2008.12096</v>
      </c>
    </row>
    <row r="23" spans="2:13">
      <c r="B23" s="17"/>
      <c r="C23" s="17"/>
      <c r="D23" s="17"/>
      <c r="E23" s="17"/>
      <c r="F23" s="17"/>
      <c r="G23" s="17"/>
      <c r="H23" s="17"/>
      <c r="I23" s="17"/>
      <c r="J23" s="132" t="s">
        <v>304</v>
      </c>
      <c r="K23" s="132" t="s">
        <v>301</v>
      </c>
      <c r="L23" s="132">
        <v>1.569</v>
      </c>
      <c r="M23" s="138">
        <f>+E18*$L$23</f>
        <v>1911.85788</v>
      </c>
    </row>
    <row r="24" spans="2:13" ht="25.5">
      <c r="B24" s="17"/>
      <c r="C24" s="17"/>
      <c r="D24" s="17" t="s">
        <v>308</v>
      </c>
      <c r="E24" s="147" t="s">
        <v>309</v>
      </c>
      <c r="F24" s="17" t="s">
        <v>310</v>
      </c>
      <c r="G24" s="17" t="s">
        <v>311</v>
      </c>
      <c r="H24" s="17" t="s">
        <v>312</v>
      </c>
      <c r="I24" s="17"/>
      <c r="J24" s="143" t="s">
        <v>313</v>
      </c>
      <c r="K24" s="144" t="s">
        <v>306</v>
      </c>
      <c r="L24" s="143"/>
      <c r="M24" s="145">
        <f>+SUM(M18:M23)</f>
        <v>19227.914140000001</v>
      </c>
    </row>
    <row r="25" spans="2:13">
      <c r="B25" s="17"/>
      <c r="C25" s="72" t="s">
        <v>314</v>
      </c>
      <c r="D25" s="17">
        <v>38000</v>
      </c>
      <c r="E25" s="17">
        <f t="shared" ref="E25:E29" si="4">+D25*0.24</f>
        <v>9120</v>
      </c>
      <c r="F25" s="17">
        <v>1</v>
      </c>
      <c r="G25" s="17">
        <f t="shared" ref="G25:G29" si="5">+F25*(D25+E25)</f>
        <v>47120</v>
      </c>
      <c r="H25" s="17">
        <f t="shared" ref="H25:H29" si="6">+G25*13</f>
        <v>612560</v>
      </c>
      <c r="I25" s="17"/>
      <c r="J25" s="17"/>
      <c r="K25" s="17"/>
      <c r="L25" s="17"/>
      <c r="M25" s="17"/>
    </row>
    <row r="26" spans="2:13">
      <c r="B26" s="17"/>
      <c r="C26" s="148" t="s">
        <v>315</v>
      </c>
      <c r="D26" s="17">
        <v>30000</v>
      </c>
      <c r="E26" s="17">
        <f t="shared" si="4"/>
        <v>7200</v>
      </c>
      <c r="F26" s="17">
        <v>1</v>
      </c>
      <c r="G26" s="17">
        <f t="shared" si="5"/>
        <v>37200</v>
      </c>
      <c r="H26" s="17">
        <f t="shared" si="6"/>
        <v>483600</v>
      </c>
      <c r="I26" s="17"/>
      <c r="J26" s="17"/>
      <c r="K26" s="17"/>
      <c r="L26" s="17"/>
      <c r="M26" s="17"/>
    </row>
    <row r="27" spans="2:13">
      <c r="B27" s="17"/>
      <c r="C27" s="148" t="s">
        <v>316</v>
      </c>
      <c r="D27" s="17">
        <v>28000</v>
      </c>
      <c r="E27" s="17">
        <f t="shared" si="4"/>
        <v>6720</v>
      </c>
      <c r="F27" s="17">
        <v>1</v>
      </c>
      <c r="G27" s="17">
        <f t="shared" si="5"/>
        <v>34720</v>
      </c>
      <c r="H27" s="17">
        <f t="shared" si="6"/>
        <v>451360</v>
      </c>
      <c r="I27" s="17"/>
      <c r="J27" s="17"/>
      <c r="K27" s="17"/>
      <c r="L27" s="17"/>
      <c r="M27" s="17"/>
    </row>
    <row r="28" spans="2:13">
      <c r="B28" s="17"/>
      <c r="C28" s="148" t="s">
        <v>317</v>
      </c>
      <c r="D28" s="17">
        <v>24000</v>
      </c>
      <c r="E28" s="17">
        <f t="shared" si="4"/>
        <v>5760</v>
      </c>
      <c r="F28" s="17">
        <v>1</v>
      </c>
      <c r="G28" s="17">
        <f t="shared" si="5"/>
        <v>29760</v>
      </c>
      <c r="H28" s="17">
        <f t="shared" si="6"/>
        <v>386880</v>
      </c>
      <c r="I28" s="17"/>
      <c r="J28" s="17"/>
      <c r="K28" s="17"/>
      <c r="L28" s="17"/>
      <c r="M28" s="17"/>
    </row>
    <row r="29" spans="2:13">
      <c r="B29" s="17"/>
      <c r="C29" s="148" t="s">
        <v>318</v>
      </c>
      <c r="D29" s="17">
        <v>16500</v>
      </c>
      <c r="E29" s="17">
        <f t="shared" si="4"/>
        <v>3960</v>
      </c>
      <c r="F29" s="17">
        <v>5</v>
      </c>
      <c r="G29" s="17">
        <f t="shared" si="5"/>
        <v>102300</v>
      </c>
      <c r="H29" s="17">
        <f t="shared" si="6"/>
        <v>1329900</v>
      </c>
      <c r="I29" s="17"/>
      <c r="J29" s="17"/>
      <c r="K29" s="17"/>
      <c r="L29" s="17"/>
      <c r="M29" s="17"/>
    </row>
    <row r="30" spans="2:13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2:13">
      <c r="B31" s="17"/>
      <c r="C31" s="17"/>
      <c r="D31" s="17"/>
      <c r="E31" s="17"/>
      <c r="F31" s="17"/>
      <c r="G31" s="17" t="s">
        <v>319</v>
      </c>
      <c r="H31" s="17">
        <f>+SUM(G25:G29)*13</f>
        <v>3264300</v>
      </c>
      <c r="I31" s="17"/>
      <c r="J31" s="17"/>
      <c r="K31" s="17"/>
      <c r="L31" s="17"/>
      <c r="M31" s="17"/>
    </row>
    <row r="32" spans="2:13">
      <c r="B32" s="17"/>
      <c r="C32" s="17"/>
      <c r="D32" s="17"/>
      <c r="E32" s="17"/>
      <c r="F32" s="17"/>
      <c r="G32" s="17" t="s">
        <v>320</v>
      </c>
      <c r="H32" s="17">
        <f>+H31*0.95</f>
        <v>3101085</v>
      </c>
      <c r="I32" s="17"/>
      <c r="J32" s="17"/>
      <c r="K32" s="17"/>
      <c r="L32" s="17"/>
      <c r="M32" s="17"/>
    </row>
    <row r="33" spans="2:16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6">
      <c r="B34" s="17"/>
      <c r="C34" s="17"/>
      <c r="D34" s="17"/>
      <c r="E34" s="17"/>
      <c r="F34" s="17"/>
      <c r="G34" s="17"/>
      <c r="H34" s="17"/>
      <c r="I34" s="17"/>
      <c r="J34" s="17"/>
      <c r="N34" s="17" t="s">
        <v>321</v>
      </c>
      <c r="O34" s="142">
        <f>+H38/F44</f>
        <v>11.852252123893805</v>
      </c>
      <c r="P34" s="17" t="s">
        <v>322</v>
      </c>
    </row>
    <row r="35" spans="2:16">
      <c r="B35" s="17"/>
      <c r="C35" s="149"/>
      <c r="D35" s="150"/>
      <c r="E35" s="150"/>
      <c r="F35" s="150"/>
      <c r="G35" s="150"/>
      <c r="H35" s="151" t="s">
        <v>323</v>
      </c>
      <c r="I35" s="17"/>
      <c r="J35" s="17"/>
      <c r="N35" s="17" t="s">
        <v>324</v>
      </c>
      <c r="O35" s="142">
        <f>+O34*F46/2</f>
        <v>6.5187386681415935</v>
      </c>
      <c r="P35" s="17"/>
    </row>
    <row r="36" spans="2:16" ht="12.75" customHeight="1">
      <c r="B36" s="17"/>
      <c r="C36" s="152" t="s">
        <v>325</v>
      </c>
      <c r="D36" s="153">
        <v>8.0000000000000002E-3</v>
      </c>
      <c r="E36" s="154" t="s">
        <v>326</v>
      </c>
      <c r="F36" s="155">
        <v>0.95</v>
      </c>
      <c r="G36" s="513" t="s">
        <v>327</v>
      </c>
      <c r="H36" s="156">
        <f>D36*F36*E38</f>
        <v>119049.288</v>
      </c>
      <c r="I36" s="17"/>
      <c r="J36" s="17"/>
      <c r="N36" s="17"/>
      <c r="O36" s="142"/>
      <c r="P36" s="17"/>
    </row>
    <row r="37" spans="2:16">
      <c r="B37" s="17"/>
      <c r="C37" s="157" t="s">
        <v>328</v>
      </c>
      <c r="D37" s="158">
        <v>0.01</v>
      </c>
      <c r="E37" s="159"/>
      <c r="F37" s="158">
        <v>0.95</v>
      </c>
      <c r="G37" s="513"/>
      <c r="H37" s="160">
        <f>D37*F37*E38</f>
        <v>148811.60999999999</v>
      </c>
      <c r="I37" s="17"/>
      <c r="J37" s="17"/>
      <c r="N37" s="17"/>
      <c r="O37" s="142"/>
      <c r="P37" s="17"/>
    </row>
    <row r="38" spans="2:16">
      <c r="B38" s="17"/>
      <c r="C38" s="504" t="s">
        <v>329</v>
      </c>
      <c r="D38" s="504"/>
      <c r="E38" s="17">
        <f>+SUM('E-Inv AF y Am'!B7:B8)</f>
        <v>15664380</v>
      </c>
      <c r="G38" t="s">
        <v>267</v>
      </c>
      <c r="H38">
        <f>SUM(H36:H37)</f>
        <v>267860.89799999999</v>
      </c>
      <c r="I38" s="17"/>
      <c r="J38" s="17"/>
      <c r="N38" s="17"/>
      <c r="O38" s="142"/>
      <c r="P38" s="17"/>
    </row>
    <row r="39" spans="2:16">
      <c r="B39" s="17"/>
      <c r="C39" s="17"/>
      <c r="D39" s="17"/>
      <c r="E39" s="17"/>
      <c r="F39" s="17"/>
      <c r="G39" s="17"/>
      <c r="H39" s="17"/>
      <c r="I39" s="17"/>
      <c r="J39" s="17"/>
      <c r="N39" s="17" t="s">
        <v>330</v>
      </c>
      <c r="O39" s="142">
        <f>+H38/E44</f>
        <v>18.707982818829443</v>
      </c>
      <c r="P39" s="17"/>
    </row>
    <row r="40" spans="2:16">
      <c r="B40" s="17"/>
      <c r="C40" s="17"/>
      <c r="D40" s="17"/>
      <c r="E40" s="17"/>
      <c r="F40" s="17"/>
      <c r="G40" s="17"/>
      <c r="H40" s="17"/>
      <c r="I40" s="17"/>
      <c r="J40" s="17"/>
      <c r="N40" s="17" t="s">
        <v>331</v>
      </c>
      <c r="O40" s="142">
        <f>+E46*O39/2</f>
        <v>10.289390550356194</v>
      </c>
      <c r="P40" s="17"/>
    </row>
    <row r="41" spans="2:16">
      <c r="B41" s="17"/>
      <c r="C41" s="161"/>
      <c r="D41" s="161" t="s">
        <v>57</v>
      </c>
      <c r="E41" s="161" t="s">
        <v>332</v>
      </c>
      <c r="F41" s="161" t="s">
        <v>333</v>
      </c>
      <c r="G41" s="17"/>
      <c r="H41" s="17"/>
      <c r="I41" s="17"/>
      <c r="J41" s="17"/>
      <c r="N41" s="17"/>
      <c r="O41" s="17"/>
      <c r="P41" s="17"/>
    </row>
    <row r="42" spans="2:16">
      <c r="B42" s="17"/>
      <c r="C42" s="161" t="s">
        <v>334</v>
      </c>
      <c r="D42" s="161"/>
      <c r="E42" s="161">
        <v>14100</v>
      </c>
      <c r="F42" s="161">
        <v>22600</v>
      </c>
      <c r="G42" s="17"/>
      <c r="H42" s="17"/>
      <c r="I42" s="17"/>
      <c r="J42" s="17"/>
      <c r="N42" s="17" t="s">
        <v>335</v>
      </c>
      <c r="O42" s="17"/>
      <c r="P42" s="17"/>
    </row>
    <row r="43" spans="2:16">
      <c r="B43" s="17"/>
      <c r="C43" s="161" t="s">
        <v>336</v>
      </c>
      <c r="D43" s="161"/>
      <c r="E43" s="161">
        <v>217</v>
      </c>
      <c r="F43" s="161">
        <v>217.3</v>
      </c>
      <c r="G43" s="17"/>
      <c r="H43" s="17"/>
      <c r="I43" s="17"/>
      <c r="J43" s="17"/>
      <c r="K43" s="17"/>
      <c r="L43" s="17"/>
      <c r="M43" s="17"/>
    </row>
    <row r="44" spans="2:16">
      <c r="B44" s="17"/>
      <c r="C44" s="161" t="s">
        <v>337</v>
      </c>
      <c r="D44" s="161"/>
      <c r="E44" s="161">
        <v>14318</v>
      </c>
      <c r="F44" s="161">
        <v>22600</v>
      </c>
      <c r="G44" s="17"/>
      <c r="H44" s="17"/>
      <c r="I44" s="17"/>
      <c r="J44" s="17"/>
      <c r="K44" s="17"/>
      <c r="L44" s="17"/>
      <c r="M44" s="17"/>
    </row>
    <row r="45" spans="2:16">
      <c r="B45" s="17"/>
      <c r="C45" s="161" t="s">
        <v>338</v>
      </c>
      <c r="D45" s="161"/>
      <c r="E45" s="161">
        <v>791.5</v>
      </c>
      <c r="F45" s="161">
        <v>0</v>
      </c>
      <c r="G45" s="17"/>
      <c r="H45" s="17"/>
      <c r="I45" s="17"/>
      <c r="J45" s="17"/>
      <c r="K45" s="17"/>
      <c r="L45" s="17"/>
      <c r="M45" s="17"/>
    </row>
    <row r="46" spans="2:16">
      <c r="B46" s="17"/>
      <c r="C46" s="161" t="s">
        <v>339</v>
      </c>
      <c r="D46" s="161"/>
      <c r="E46" s="161">
        <v>1.1000000000000001</v>
      </c>
      <c r="F46" s="161">
        <v>1.1000000000000001</v>
      </c>
      <c r="G46" s="17"/>
      <c r="H46" s="17"/>
      <c r="I46" s="17"/>
      <c r="J46" s="17"/>
      <c r="K46" s="17"/>
      <c r="L46" s="17"/>
      <c r="M46" s="17"/>
    </row>
    <row r="47" spans="2:16">
      <c r="B47" s="17"/>
      <c r="C47" s="161" t="s">
        <v>340</v>
      </c>
      <c r="D47" s="161" t="s">
        <v>209</v>
      </c>
      <c r="E47" s="161">
        <v>15110</v>
      </c>
      <c r="F47" s="161">
        <v>22600</v>
      </c>
      <c r="G47" s="17"/>
      <c r="H47" s="17"/>
      <c r="I47" s="17"/>
      <c r="J47" s="17"/>
      <c r="K47" s="17"/>
      <c r="L47" s="17"/>
      <c r="M47" s="17"/>
    </row>
    <row r="48" spans="2:16">
      <c r="B48" s="17"/>
      <c r="C48" s="161" t="s">
        <v>341</v>
      </c>
      <c r="D48" s="161">
        <v>1658</v>
      </c>
      <c r="E48" s="161">
        <v>217.3</v>
      </c>
      <c r="F48" s="161">
        <v>217.3</v>
      </c>
      <c r="G48" s="17"/>
      <c r="H48" s="17"/>
      <c r="I48" s="17"/>
      <c r="J48" s="17"/>
      <c r="K48" s="17"/>
      <c r="L48" s="17"/>
      <c r="M48" s="17"/>
    </row>
    <row r="49" spans="2:15">
      <c r="B49" s="17"/>
      <c r="C49" s="161" t="s">
        <v>342</v>
      </c>
      <c r="D49" s="161">
        <v>1658</v>
      </c>
      <c r="E49" s="161">
        <v>13452</v>
      </c>
      <c r="F49" s="161">
        <v>226000</v>
      </c>
      <c r="G49" s="17"/>
      <c r="H49" s="17"/>
      <c r="I49" s="17"/>
      <c r="J49" s="17"/>
      <c r="K49" s="17"/>
      <c r="L49" s="17"/>
      <c r="M49" s="17"/>
    </row>
    <row r="50" spans="2: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5">
      <c r="B52" s="17"/>
      <c r="C52" s="17" t="s">
        <v>206</v>
      </c>
      <c r="D52" s="17" t="s">
        <v>343</v>
      </c>
      <c r="E52" s="17" t="s">
        <v>344</v>
      </c>
      <c r="F52" s="17" t="s">
        <v>345</v>
      </c>
      <c r="G52" s="17" t="s">
        <v>346</v>
      </c>
      <c r="H52" s="17"/>
      <c r="I52" s="17"/>
      <c r="J52" s="17"/>
      <c r="K52" s="17"/>
      <c r="L52" s="17"/>
      <c r="M52" s="17"/>
    </row>
    <row r="53" spans="2:15">
      <c r="B53" s="17"/>
      <c r="C53" s="162" t="s">
        <v>347</v>
      </c>
      <c r="D53" s="17">
        <v>1.0107999999999999</v>
      </c>
      <c r="E53" s="17">
        <f>400*InfoInicial!B32</f>
        <v>15160</v>
      </c>
      <c r="F53" s="142">
        <f t="shared" ref="F53:F55" si="7">+D53*E53/1000</f>
        <v>15.323727999999999</v>
      </c>
      <c r="G53" s="163" t="s">
        <v>348</v>
      </c>
      <c r="H53" s="148"/>
      <c r="I53" s="148"/>
      <c r="J53" s="148"/>
      <c r="K53" s="148"/>
      <c r="L53" s="148"/>
      <c r="M53" s="148"/>
      <c r="N53" s="148"/>
      <c r="O53" s="164"/>
    </row>
    <row r="54" spans="2:15">
      <c r="B54" s="17"/>
      <c r="C54" s="162" t="s">
        <v>349</v>
      </c>
      <c r="D54" s="17">
        <v>0.90990000000000004</v>
      </c>
      <c r="E54" s="17">
        <f>400*InfoInicial!B32</f>
        <v>15160</v>
      </c>
      <c r="F54" s="142">
        <f t="shared" si="7"/>
        <v>13.794084000000002</v>
      </c>
      <c r="G54" s="163" t="s">
        <v>348</v>
      </c>
      <c r="H54" s="148"/>
      <c r="I54" s="148"/>
      <c r="J54" s="148"/>
      <c r="K54" s="148"/>
      <c r="L54" s="148"/>
      <c r="M54" s="148"/>
      <c r="N54" s="148"/>
      <c r="O54" s="164"/>
    </row>
    <row r="55" spans="2:15">
      <c r="B55" s="17"/>
      <c r="C55" s="162" t="s">
        <v>350</v>
      </c>
      <c r="D55" s="17">
        <v>1.4961</v>
      </c>
      <c r="E55" s="17">
        <v>21700</v>
      </c>
      <c r="F55" s="142">
        <f t="shared" si="7"/>
        <v>32.46537</v>
      </c>
      <c r="G55" s="514" t="s">
        <v>351</v>
      </c>
      <c r="H55" s="514"/>
      <c r="I55" s="514"/>
      <c r="J55" s="514"/>
      <c r="K55" s="514"/>
      <c r="L55" s="514"/>
      <c r="M55" s="514"/>
      <c r="N55" s="514"/>
      <c r="O55" s="164"/>
    </row>
    <row r="56" spans="2:15">
      <c r="B56" s="17"/>
      <c r="C56" s="162" t="s">
        <v>352</v>
      </c>
      <c r="D56" s="17">
        <v>4</v>
      </c>
      <c r="E56" s="17">
        <v>686</v>
      </c>
      <c r="F56" s="142">
        <f t="shared" ref="F56:F58" si="8">+E56*D56/1000</f>
        <v>2.7440000000000002</v>
      </c>
      <c r="G56" s="515" t="s">
        <v>353</v>
      </c>
      <c r="H56" s="515"/>
      <c r="I56" s="515"/>
      <c r="J56" s="515"/>
      <c r="K56" s="515"/>
      <c r="L56" s="515"/>
      <c r="M56" s="515"/>
      <c r="N56" s="515"/>
      <c r="O56" s="164"/>
    </row>
    <row r="57" spans="2:15">
      <c r="B57" s="17"/>
      <c r="C57" s="162" t="s">
        <v>354</v>
      </c>
      <c r="D57" s="17">
        <v>2</v>
      </c>
      <c r="E57" s="17">
        <v>3400</v>
      </c>
      <c r="F57" s="142">
        <f t="shared" si="8"/>
        <v>6.8</v>
      </c>
      <c r="G57" s="514" t="s">
        <v>355</v>
      </c>
      <c r="H57" s="514"/>
      <c r="I57" s="514"/>
      <c r="J57" s="514"/>
      <c r="K57" s="514"/>
      <c r="L57" s="514"/>
      <c r="M57" s="514"/>
      <c r="N57" s="514"/>
      <c r="O57" s="164"/>
    </row>
    <row r="58" spans="2:15">
      <c r="B58" s="17"/>
      <c r="C58" s="162" t="s">
        <v>356</v>
      </c>
      <c r="D58" s="17">
        <v>4</v>
      </c>
      <c r="E58" s="17">
        <v>1320</v>
      </c>
      <c r="F58" s="142">
        <f t="shared" si="8"/>
        <v>5.28</v>
      </c>
      <c r="G58" s="514" t="s">
        <v>357</v>
      </c>
      <c r="H58" s="514"/>
      <c r="I58" s="514"/>
      <c r="J58" s="514"/>
      <c r="K58" s="514"/>
      <c r="L58" s="514"/>
      <c r="M58" s="514"/>
      <c r="N58" s="514"/>
      <c r="O58" s="164"/>
    </row>
    <row r="59" spans="2:15">
      <c r="B59" s="17"/>
      <c r="C59" s="162" t="s">
        <v>358</v>
      </c>
      <c r="D59" s="17">
        <v>1</v>
      </c>
      <c r="E59" s="17">
        <f>450/100</f>
        <v>4.5</v>
      </c>
      <c r="F59" s="142">
        <f>+E59*D59</f>
        <v>4.5</v>
      </c>
      <c r="G59" s="515" t="s">
        <v>359</v>
      </c>
      <c r="H59" s="515"/>
      <c r="I59" s="515"/>
      <c r="J59" s="515"/>
      <c r="K59" s="515"/>
      <c r="L59" s="515"/>
      <c r="M59" s="515"/>
      <c r="N59" s="515"/>
      <c r="O59" s="164"/>
    </row>
    <row r="60" spans="2:15">
      <c r="B60" s="17"/>
      <c r="C60" s="162" t="s">
        <v>360</v>
      </c>
      <c r="D60" s="17">
        <v>4.2999999999999997E-2</v>
      </c>
      <c r="E60" s="17">
        <f>280*10</f>
        <v>2800</v>
      </c>
      <c r="F60" s="142">
        <f>+D60*E60/1040</f>
        <v>0.11576923076923076</v>
      </c>
      <c r="G60" s="514" t="s">
        <v>361</v>
      </c>
      <c r="H60" s="514"/>
      <c r="I60" s="514"/>
      <c r="J60" s="514"/>
      <c r="K60" s="514"/>
      <c r="L60" s="514"/>
      <c r="M60" s="514"/>
      <c r="N60" s="514"/>
      <c r="O60" s="164"/>
    </row>
    <row r="61" spans="2:15">
      <c r="B61" s="17"/>
      <c r="C61" s="162" t="s">
        <v>362</v>
      </c>
      <c r="D61" s="17">
        <v>1</v>
      </c>
      <c r="E61" s="17">
        <f>10*2+1.81+16.71+16*2</f>
        <v>70.52</v>
      </c>
      <c r="F61" s="142">
        <f>+E61*D61</f>
        <v>70.52</v>
      </c>
      <c r="G61" s="514" t="s">
        <v>363</v>
      </c>
      <c r="H61" s="514"/>
      <c r="I61" s="514"/>
      <c r="J61" s="514"/>
      <c r="K61" s="514"/>
      <c r="L61" s="514"/>
      <c r="M61" s="514"/>
      <c r="N61" s="514"/>
      <c r="O61" s="164"/>
    </row>
    <row r="62" spans="2:15">
      <c r="B62" s="17"/>
      <c r="C62" s="17"/>
      <c r="D62" s="17"/>
      <c r="E62" s="165" t="s">
        <v>267</v>
      </c>
      <c r="F62" s="166">
        <f>+SUM(F53:F61)</f>
        <v>151.54295123076923</v>
      </c>
      <c r="G62" s="514"/>
      <c r="H62" s="514"/>
      <c r="I62" s="514"/>
      <c r="J62" s="514"/>
      <c r="K62" s="514"/>
      <c r="L62" s="514"/>
      <c r="M62" s="514"/>
      <c r="N62" s="514"/>
      <c r="O62" s="164"/>
    </row>
    <row r="63" spans="2: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2: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2:16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" t="s">
        <v>364</v>
      </c>
    </row>
    <row r="66" spans="2:16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2:16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2:16">
      <c r="B68" s="17"/>
      <c r="C68" s="17"/>
      <c r="D68" s="17" t="s">
        <v>365</v>
      </c>
      <c r="E68" s="17" t="s">
        <v>58</v>
      </c>
      <c r="F68" s="17" t="s">
        <v>333</v>
      </c>
      <c r="G68" s="17"/>
      <c r="H68" s="17"/>
      <c r="I68" s="17"/>
      <c r="J68" s="17"/>
      <c r="K68" s="17"/>
      <c r="L68" s="17"/>
      <c r="M68" s="17"/>
    </row>
    <row r="69" spans="2:16">
      <c r="B69" s="17"/>
      <c r="C69" s="17" t="s">
        <v>21</v>
      </c>
      <c r="D69" s="17">
        <f>+[1]InfoInicial!B15</f>
        <v>7.2999999999999995E-2</v>
      </c>
      <c r="E69" s="114">
        <f>+SUM('E-Costos'!B7:B15)*D69</f>
        <v>432775.17889846431</v>
      </c>
      <c r="F69" s="114">
        <f>+SUM('E-Costos'!C7:C15)*D69</f>
        <v>533468.00648241839</v>
      </c>
      <c r="G69" s="17"/>
      <c r="H69" s="17"/>
      <c r="I69" s="17"/>
      <c r="J69" s="17"/>
      <c r="K69" s="17"/>
      <c r="L69" s="17"/>
      <c r="M69" s="17"/>
    </row>
    <row r="70" spans="2:16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2:16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2:16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O72" s="13" t="s">
        <v>366</v>
      </c>
    </row>
    <row r="73" spans="2:16">
      <c r="B73" s="17"/>
      <c r="C73" s="507" t="s">
        <v>367</v>
      </c>
      <c r="D73" s="507"/>
      <c r="E73" s="142">
        <f>+F62*E46</f>
        <v>166.69724635384617</v>
      </c>
      <c r="F73" s="17"/>
      <c r="G73" s="17"/>
      <c r="H73" s="17"/>
      <c r="I73" s="17"/>
      <c r="J73" s="17"/>
      <c r="K73" s="17"/>
      <c r="L73" s="17"/>
      <c r="M73" s="17"/>
      <c r="O73" t="s">
        <v>368</v>
      </c>
    </row>
    <row r="74" spans="2:16">
      <c r="B74" s="17"/>
      <c r="C74" s="507" t="s">
        <v>369</v>
      </c>
      <c r="D74" s="507"/>
      <c r="E74" s="17"/>
      <c r="F74" s="17"/>
      <c r="G74" s="17"/>
      <c r="H74" s="17"/>
      <c r="I74" s="17"/>
      <c r="J74" s="17"/>
      <c r="K74" s="17"/>
      <c r="L74" s="17"/>
      <c r="M74" s="17"/>
      <c r="N74" t="s">
        <v>92</v>
      </c>
      <c r="O74" s="167">
        <f>SUM('E-Inv AF y Am'!B11:D15)</f>
        <v>465906.70750000002</v>
      </c>
      <c r="P74" t="s">
        <v>370</v>
      </c>
    </row>
    <row r="75" spans="2:16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>
        <v>0</v>
      </c>
      <c r="P75" t="s">
        <v>371</v>
      </c>
    </row>
    <row r="78" spans="2:16">
      <c r="N78" t="s">
        <v>372</v>
      </c>
      <c r="O78">
        <f>'E-Costos (Cálculos y links)'!F44</f>
        <v>22600</v>
      </c>
    </row>
    <row r="79" spans="2:16">
      <c r="N79" t="s">
        <v>373</v>
      </c>
      <c r="O79" s="167">
        <f>J88/O78</f>
        <v>4.6888128068396417</v>
      </c>
    </row>
    <row r="80" spans="2:16">
      <c r="J80" s="17"/>
      <c r="N80" t="s">
        <v>374</v>
      </c>
      <c r="O80">
        <v>1.0900000000000001</v>
      </c>
      <c r="P80" t="s">
        <v>375</v>
      </c>
    </row>
    <row r="81" spans="3:15">
      <c r="C81" t="s">
        <v>376</v>
      </c>
      <c r="J81" s="17"/>
      <c r="N81" t="s">
        <v>377</v>
      </c>
      <c r="O81" s="167">
        <f>O80*O79/2</f>
        <v>2.5554029797276048</v>
      </c>
    </row>
    <row r="82" spans="3:15">
      <c r="C82" t="s">
        <v>378</v>
      </c>
      <c r="J82" s="17"/>
    </row>
    <row r="83" spans="3:15">
      <c r="C83" s="168"/>
      <c r="D83" s="169"/>
      <c r="E83" s="169" t="s">
        <v>379</v>
      </c>
      <c r="F83" s="169" t="s">
        <v>380</v>
      </c>
      <c r="G83" s="169" t="s">
        <v>379</v>
      </c>
      <c r="H83" s="169" t="s">
        <v>58</v>
      </c>
      <c r="I83" s="169" t="s">
        <v>381</v>
      </c>
      <c r="J83" s="170" t="s">
        <v>382</v>
      </c>
    </row>
    <row r="84" spans="3:15">
      <c r="C84" s="152" t="s">
        <v>383</v>
      </c>
      <c r="D84" s="153">
        <v>0.01</v>
      </c>
      <c r="E84" s="154" t="s">
        <v>384</v>
      </c>
      <c r="F84" s="154"/>
      <c r="G84" s="154"/>
      <c r="H84" s="154"/>
      <c r="I84" s="154"/>
      <c r="J84" s="171">
        <f>('E-Inv AF y Am'!D20-E152)*D84*D92</f>
        <v>2345.258235345133</v>
      </c>
    </row>
    <row r="85" spans="3:15">
      <c r="C85" s="152" t="s">
        <v>92</v>
      </c>
      <c r="D85" s="153">
        <v>1.6E-2</v>
      </c>
      <c r="E85" s="154" t="s">
        <v>384</v>
      </c>
      <c r="F85" s="154">
        <f>(11%+5%)</f>
        <v>0.16</v>
      </c>
      <c r="G85" s="154" t="s">
        <v>385</v>
      </c>
      <c r="H85" s="154"/>
      <c r="I85" s="154"/>
      <c r="J85" s="172">
        <f>(P85*D85+P86*F85+K85)</f>
        <v>745.45073200000013</v>
      </c>
      <c r="K85" s="167">
        <f>(O74*D85+O75*F85)*D91</f>
        <v>745.45073200000013</v>
      </c>
      <c r="L85">
        <v>0.1</v>
      </c>
      <c r="N85" t="s">
        <v>386</v>
      </c>
      <c r="O85" s="167">
        <f>E44</f>
        <v>14318</v>
      </c>
    </row>
    <row r="86" spans="3:15">
      <c r="C86" s="152" t="s">
        <v>302</v>
      </c>
      <c r="D86" s="153">
        <v>1.4999999999999999E-2</v>
      </c>
      <c r="E86" s="154" t="s">
        <v>387</v>
      </c>
      <c r="F86" s="154"/>
      <c r="G86" s="154"/>
      <c r="H86" s="154"/>
      <c r="I86" s="154"/>
      <c r="J86" s="172">
        <f>D86*'E-Costos'!E7</f>
        <v>51373.060467230767</v>
      </c>
      <c r="N86" t="s">
        <v>388</v>
      </c>
      <c r="O86" s="167">
        <f>O85*O79</f>
        <v>67134.421768329994</v>
      </c>
    </row>
    <row r="87" spans="3:15">
      <c r="C87" s="152" t="s">
        <v>235</v>
      </c>
      <c r="D87" s="153">
        <v>0.03</v>
      </c>
      <c r="E87" s="154" t="s">
        <v>389</v>
      </c>
      <c r="F87" s="154"/>
      <c r="G87" s="154"/>
      <c r="H87" s="154"/>
      <c r="I87" s="154"/>
      <c r="J87" s="172">
        <f>D87*('E-Costos'!F8+'E-Costos'!F11)</f>
        <v>51503.4</v>
      </c>
      <c r="N87" t="s">
        <v>377</v>
      </c>
      <c r="O87" s="167">
        <f>O80*O79/2</f>
        <v>2.5554029797276048</v>
      </c>
    </row>
    <row r="88" spans="3:15">
      <c r="C88" s="157" t="s">
        <v>390</v>
      </c>
      <c r="D88" s="159"/>
      <c r="E88" s="159"/>
      <c r="F88" s="159"/>
      <c r="G88" s="159"/>
      <c r="H88" s="173">
        <f>I88*0.9</f>
        <v>94699.546832318316</v>
      </c>
      <c r="I88" s="173">
        <f>J88-P86-P86*F85-K85</f>
        <v>105221.7187025759</v>
      </c>
      <c r="J88" s="174">
        <f>SUM(J84:J87)</f>
        <v>105967.1694345759</v>
      </c>
      <c r="N88" t="s">
        <v>391</v>
      </c>
      <c r="O88" s="167">
        <f>H88-O86-O87</f>
        <v>27562.569661008594</v>
      </c>
    </row>
    <row r="89" spans="3:15">
      <c r="J89" s="17"/>
    </row>
    <row r="90" spans="3:15">
      <c r="J90" s="17"/>
    </row>
    <row r="91" spans="3:15" ht="38.25">
      <c r="C91" s="175" t="s">
        <v>392</v>
      </c>
      <c r="D91">
        <v>0.1</v>
      </c>
      <c r="J91" s="17"/>
      <c r="N91" s="13"/>
    </row>
    <row r="92" spans="3:15" ht="25.5">
      <c r="C92" s="176" t="s">
        <v>393</v>
      </c>
      <c r="D92">
        <v>0.9</v>
      </c>
      <c r="E92" t="s">
        <v>394</v>
      </c>
    </row>
    <row r="98" spans="3:13">
      <c r="H98" t="s">
        <v>395</v>
      </c>
      <c r="I98" t="s">
        <v>396</v>
      </c>
      <c r="J98" t="s">
        <v>302</v>
      </c>
      <c r="K98" t="s">
        <v>397</v>
      </c>
      <c r="L98" s="177" t="s">
        <v>398</v>
      </c>
      <c r="M98" t="s">
        <v>267</v>
      </c>
    </row>
    <row r="99" spans="3:13">
      <c r="G99" t="s">
        <v>399</v>
      </c>
      <c r="H99" t="s">
        <v>332</v>
      </c>
      <c r="I99" s="167">
        <f>+'E-Costos'!B10</f>
        <v>1403742.5279601</v>
      </c>
      <c r="J99">
        <f>+'E-Costos'!B102</f>
        <v>14318</v>
      </c>
      <c r="K99" s="167">
        <f t="shared" ref="K99:K101" si="9">I99/J99</f>
        <v>98.040405640459554</v>
      </c>
      <c r="L99" s="17">
        <v>1.0900000000000001</v>
      </c>
      <c r="M99" s="167">
        <f t="shared" ref="M99:M101" si="10">(K99*L99)/2</f>
        <v>53.432021074050461</v>
      </c>
    </row>
    <row r="100" spans="3:13">
      <c r="C100" t="s">
        <v>400</v>
      </c>
      <c r="D100" t="s">
        <v>401</v>
      </c>
      <c r="E100" t="s">
        <v>402</v>
      </c>
      <c r="F100" t="s">
        <v>403</v>
      </c>
      <c r="H100" t="s">
        <v>381</v>
      </c>
      <c r="I100" s="167">
        <f>+'E-Costos'!C10</f>
        <v>1403742.5279601</v>
      </c>
      <c r="J100">
        <f>+'E-Costos'!C102</f>
        <v>22600</v>
      </c>
      <c r="K100" s="167">
        <f t="shared" si="9"/>
        <v>62.112501237172566</v>
      </c>
      <c r="L100" s="17">
        <v>1.0900000000000001</v>
      </c>
      <c r="M100" s="167">
        <f t="shared" si="10"/>
        <v>33.851313174259047</v>
      </c>
    </row>
    <row r="101" spans="3:13">
      <c r="D101" s="178" t="s">
        <v>404</v>
      </c>
      <c r="H101" t="s">
        <v>382</v>
      </c>
      <c r="I101" s="167">
        <f>+'E-Costos'!E10</f>
        <v>1361161.8779601001</v>
      </c>
      <c r="J101">
        <f>+'E-Costos'!E102</f>
        <v>22600</v>
      </c>
      <c r="K101" s="167">
        <f t="shared" si="9"/>
        <v>60.228401679650446</v>
      </c>
      <c r="L101" s="17">
        <v>1.0900000000000001</v>
      </c>
      <c r="M101" s="167">
        <f t="shared" si="10"/>
        <v>32.824478915409493</v>
      </c>
    </row>
    <row r="103" spans="3:13">
      <c r="C103" s="179" t="s">
        <v>405</v>
      </c>
      <c r="D103" s="177" t="s">
        <v>406</v>
      </c>
      <c r="E103" s="177" t="s">
        <v>407</v>
      </c>
      <c r="G103" s="179" t="s">
        <v>408</v>
      </c>
      <c r="H103" s="177" t="s">
        <v>406</v>
      </c>
      <c r="I103" s="177" t="s">
        <v>407</v>
      </c>
      <c r="K103" s="179" t="s">
        <v>409</v>
      </c>
      <c r="L103" t="s">
        <v>406</v>
      </c>
      <c r="M103" t="s">
        <v>407</v>
      </c>
    </row>
    <row r="104" spans="3:13">
      <c r="C104" t="s">
        <v>383</v>
      </c>
      <c r="D104" s="180">
        <v>0.02</v>
      </c>
      <c r="E104" t="s">
        <v>410</v>
      </c>
      <c r="G104" t="s">
        <v>383</v>
      </c>
      <c r="H104" s="180">
        <v>0.02</v>
      </c>
      <c r="I104" s="177" t="s">
        <v>410</v>
      </c>
      <c r="K104" t="s">
        <v>383</v>
      </c>
      <c r="L104" s="181">
        <v>1.4999999999999999E-2</v>
      </c>
      <c r="M104" s="177" t="s">
        <v>410</v>
      </c>
    </row>
    <row r="105" spans="3:13">
      <c r="C105" t="s">
        <v>411</v>
      </c>
      <c r="D105" s="180">
        <v>0.03</v>
      </c>
      <c r="E105" t="s">
        <v>92</v>
      </c>
      <c r="G105" t="s">
        <v>412</v>
      </c>
      <c r="H105" s="180">
        <v>0.01</v>
      </c>
      <c r="I105" s="177" t="s">
        <v>413</v>
      </c>
      <c r="K105" t="s">
        <v>412</v>
      </c>
      <c r="L105" s="180">
        <v>0.02</v>
      </c>
      <c r="M105" s="177" t="s">
        <v>413</v>
      </c>
    </row>
    <row r="106" spans="3:13">
      <c r="C106" t="s">
        <v>302</v>
      </c>
      <c r="D106" s="180">
        <v>0.02</v>
      </c>
      <c r="E106" t="s">
        <v>414</v>
      </c>
      <c r="G106" t="s">
        <v>415</v>
      </c>
      <c r="H106" s="180">
        <v>0.02</v>
      </c>
      <c r="I106" s="177" t="s">
        <v>416</v>
      </c>
      <c r="K106" t="s">
        <v>415</v>
      </c>
      <c r="L106" s="180">
        <v>0.02</v>
      </c>
      <c r="M106" s="177" t="s">
        <v>416</v>
      </c>
    </row>
    <row r="107" spans="3:13">
      <c r="C107" t="s">
        <v>235</v>
      </c>
      <c r="D107" s="180">
        <v>0.03</v>
      </c>
      <c r="E107" t="s">
        <v>417</v>
      </c>
    </row>
    <row r="109" spans="3:13">
      <c r="C109" t="s">
        <v>408</v>
      </c>
      <c r="D109" t="s">
        <v>418</v>
      </c>
      <c r="E109" t="s">
        <v>419</v>
      </c>
    </row>
    <row r="110" spans="3:13">
      <c r="C110" t="s">
        <v>383</v>
      </c>
      <c r="D110" s="167">
        <f>0.05*H104*'E-Inv AF y Am'!B20</f>
        <v>22328.3101405505</v>
      </c>
      <c r="E110" s="167">
        <f t="shared" ref="E110:E112" si="11">0.9*D110</f>
        <v>20095.479126495451</v>
      </c>
    </row>
    <row r="111" spans="3:13">
      <c r="C111" t="s">
        <v>412</v>
      </c>
      <c r="D111" s="167">
        <f>H105*'E-Inv AF y Am'!C20</f>
        <v>0</v>
      </c>
      <c r="E111" s="182">
        <f t="shared" si="11"/>
        <v>0</v>
      </c>
      <c r="F111" t="s">
        <v>420</v>
      </c>
    </row>
    <row r="112" spans="3:13">
      <c r="C112" t="s">
        <v>415</v>
      </c>
      <c r="D112" s="167">
        <f>0.02*(H25+H27)</f>
        <v>21278.400000000001</v>
      </c>
      <c r="E112" s="167">
        <f t="shared" si="11"/>
        <v>19150.560000000001</v>
      </c>
    </row>
    <row r="113" spans="3:9">
      <c r="C113" t="s">
        <v>267</v>
      </c>
      <c r="D113" s="167">
        <f>SUM(D110:D112)</f>
        <v>43606.710140550502</v>
      </c>
      <c r="E113" s="167">
        <f>SUM(E110:E112)</f>
        <v>39246.039126495452</v>
      </c>
    </row>
    <row r="115" spans="3:9">
      <c r="C115" t="s">
        <v>409</v>
      </c>
      <c r="D115" t="s">
        <v>418</v>
      </c>
      <c r="E115" t="s">
        <v>419</v>
      </c>
    </row>
    <row r="116" spans="3:9">
      <c r="C116" t="s">
        <v>383</v>
      </c>
      <c r="D116" s="167">
        <f>0.015*0.05*'E-Inv AF y Am'!B20</f>
        <v>16746.232605412875</v>
      </c>
      <c r="E116">
        <f t="shared" ref="E116:E118" si="12">0.9*D116</f>
        <v>15071.609344871587</v>
      </c>
    </row>
    <row r="117" spans="3:9">
      <c r="C117" t="s">
        <v>412</v>
      </c>
      <c r="D117" s="167">
        <f>L105*'E-Inv AF y Am'!C20</f>
        <v>0</v>
      </c>
      <c r="E117" s="182">
        <f t="shared" si="12"/>
        <v>0</v>
      </c>
      <c r="F117" t="s">
        <v>420</v>
      </c>
    </row>
    <row r="118" spans="3:9">
      <c r="C118" t="s">
        <v>415</v>
      </c>
      <c r="D118">
        <f>L106*H26</f>
        <v>9672</v>
      </c>
      <c r="E118">
        <f t="shared" si="12"/>
        <v>8704.8000000000011</v>
      </c>
    </row>
    <row r="119" spans="3:9">
      <c r="C119" t="s">
        <v>267</v>
      </c>
      <c r="D119" s="167">
        <f>SUM(D116:D118)</f>
        <v>26418.232605412875</v>
      </c>
      <c r="E119">
        <f>SUM(E116:E118)</f>
        <v>23776.409344871587</v>
      </c>
    </row>
    <row r="121" spans="3:9">
      <c r="C121" s="177" t="s">
        <v>421</v>
      </c>
      <c r="D121" s="177" t="s">
        <v>422</v>
      </c>
      <c r="E121" s="177"/>
      <c r="G121" t="s">
        <v>423</v>
      </c>
      <c r="H121" s="177" t="s">
        <v>406</v>
      </c>
      <c r="I121" s="177" t="s">
        <v>422</v>
      </c>
    </row>
    <row r="122" spans="3:9">
      <c r="C122" t="s">
        <v>424</v>
      </c>
      <c r="D122">
        <v>25000</v>
      </c>
      <c r="G122" t="s">
        <v>425</v>
      </c>
      <c r="H122" s="183">
        <v>5.0000000000000001E-4</v>
      </c>
      <c r="I122">
        <f>InfoInicial!B19*InfoInicial!B20*'E-Costos (Cálculos y links)'!H122</f>
        <v>10450</v>
      </c>
    </row>
    <row r="123" spans="3:9">
      <c r="C123" t="s">
        <v>426</v>
      </c>
      <c r="D123">
        <v>30000</v>
      </c>
      <c r="E123" t="s">
        <v>427</v>
      </c>
      <c r="G123" t="s">
        <v>428</v>
      </c>
      <c r="H123" s="183">
        <v>1.2999999999999999E-2</v>
      </c>
      <c r="I123">
        <f>InfoInicial!B19*InfoInicial!B20*H123</f>
        <v>271700</v>
      </c>
    </row>
    <row r="124" spans="3:9">
      <c r="C124" t="s">
        <v>429</v>
      </c>
      <c r="D124">
        <v>10000</v>
      </c>
      <c r="G124" t="s">
        <v>267</v>
      </c>
      <c r="I124">
        <f>SUM(I122:I123)</f>
        <v>282150</v>
      </c>
    </row>
    <row r="125" spans="3:9">
      <c r="C125" t="s">
        <v>430</v>
      </c>
      <c r="D125">
        <v>15000</v>
      </c>
    </row>
    <row r="126" spans="3:9">
      <c r="C126" t="s">
        <v>267</v>
      </c>
      <c r="D126">
        <f>SUM(D122:D125)</f>
        <v>80000</v>
      </c>
    </row>
    <row r="128" spans="3:9">
      <c r="C128" s="177" t="s">
        <v>431</v>
      </c>
      <c r="D128" s="177" t="s">
        <v>422</v>
      </c>
      <c r="G128" t="s">
        <v>432</v>
      </c>
      <c r="H128" s="177" t="s">
        <v>406</v>
      </c>
      <c r="I128" s="177" t="s">
        <v>422</v>
      </c>
    </row>
    <row r="129" spans="3:11">
      <c r="C129" t="s">
        <v>424</v>
      </c>
      <c r="D129">
        <v>25000</v>
      </c>
      <c r="G129" t="s">
        <v>433</v>
      </c>
      <c r="H129" s="184">
        <v>0.03</v>
      </c>
      <c r="I129">
        <f>InfoInicial!B19*InfoInicial!B20*H129</f>
        <v>627000</v>
      </c>
    </row>
    <row r="130" spans="3:11">
      <c r="C130" t="s">
        <v>426</v>
      </c>
      <c r="D130">
        <v>30000</v>
      </c>
      <c r="E130" t="s">
        <v>427</v>
      </c>
      <c r="G130" t="s">
        <v>267</v>
      </c>
      <c r="I130">
        <f>I129</f>
        <v>627000</v>
      </c>
    </row>
    <row r="131" spans="3:11">
      <c r="C131" t="s">
        <v>429</v>
      </c>
      <c r="D131">
        <v>10000</v>
      </c>
    </row>
    <row r="132" spans="3:11">
      <c r="C132" t="s">
        <v>430</v>
      </c>
      <c r="D132">
        <v>15000</v>
      </c>
    </row>
    <row r="133" spans="3:11">
      <c r="C133" t="s">
        <v>434</v>
      </c>
      <c r="D133">
        <v>35000</v>
      </c>
    </row>
    <row r="134" spans="3:11">
      <c r="C134" t="s">
        <v>267</v>
      </c>
      <c r="D134">
        <f>SUM(D129:D133)</f>
        <v>115000</v>
      </c>
    </row>
    <row r="135" spans="3:11" s="17" customFormat="1"/>
    <row r="138" spans="3:11">
      <c r="D138" s="177" t="s">
        <v>435</v>
      </c>
      <c r="E138" s="177" t="s">
        <v>436</v>
      </c>
      <c r="F138" s="177" t="s">
        <v>337</v>
      </c>
      <c r="G138" s="177" t="s">
        <v>373</v>
      </c>
      <c r="H138" s="177" t="s">
        <v>398</v>
      </c>
      <c r="I138" s="177" t="s">
        <v>437</v>
      </c>
    </row>
    <row r="139" spans="3:11">
      <c r="D139" s="177" t="s">
        <v>438</v>
      </c>
      <c r="E139" s="177">
        <f>+H29</f>
        <v>1329900</v>
      </c>
      <c r="F139" s="177">
        <f>'E-Costos'!C102</f>
        <v>22600</v>
      </c>
      <c r="G139" s="185">
        <f>E139/F139</f>
        <v>58.845132743362832</v>
      </c>
      <c r="H139" s="185">
        <v>1.0900000000000001</v>
      </c>
    </row>
    <row r="140" spans="3:11">
      <c r="D140" s="177" t="s">
        <v>58</v>
      </c>
      <c r="E140">
        <f>E139*0.95</f>
        <v>1263405</v>
      </c>
      <c r="F140">
        <f>'E-Costos'!B102</f>
        <v>14318</v>
      </c>
      <c r="G140" s="177"/>
      <c r="H140" t="s">
        <v>439</v>
      </c>
      <c r="I140" s="167">
        <f>F140*G139</f>
        <v>842544.61061946908</v>
      </c>
    </row>
    <row r="141" spans="3:11">
      <c r="K141" s="17"/>
    </row>
    <row r="142" spans="3:11">
      <c r="D142" t="s">
        <v>440</v>
      </c>
      <c r="K142" s="17"/>
    </row>
    <row r="143" spans="3:11">
      <c r="D143" s="177" t="s">
        <v>441</v>
      </c>
      <c r="E143" s="167">
        <f>(H139*G139)/2</f>
        <v>32.070597345132747</v>
      </c>
      <c r="K143" s="17"/>
    </row>
    <row r="144" spans="3:11">
      <c r="D144" s="177" t="s">
        <v>442</v>
      </c>
      <c r="E144" s="167">
        <f>E140-E143-I140</f>
        <v>420828.31878318568</v>
      </c>
      <c r="K144" s="17"/>
    </row>
    <row r="145" spans="3:11">
      <c r="K145" s="17"/>
    </row>
    <row r="146" spans="3:11">
      <c r="K146" s="17"/>
    </row>
    <row r="147" spans="3:11">
      <c r="D147" s="70" t="s">
        <v>443</v>
      </c>
      <c r="E147" s="70" t="s">
        <v>444</v>
      </c>
      <c r="F147" s="70" t="s">
        <v>337</v>
      </c>
      <c r="G147" s="70" t="s">
        <v>373</v>
      </c>
      <c r="H147" s="70" t="s">
        <v>445</v>
      </c>
      <c r="K147" s="17"/>
    </row>
    <row r="148" spans="3:11">
      <c r="D148" t="s">
        <v>438</v>
      </c>
      <c r="E148">
        <f>H28</f>
        <v>386880</v>
      </c>
      <c r="F148" s="177">
        <f>'E-Costos'!C102</f>
        <v>22600</v>
      </c>
      <c r="G148" s="167">
        <f t="shared" ref="G148:G149" si="13">E148/F148</f>
        <v>17.118584070796459</v>
      </c>
      <c r="H148" s="185">
        <v>1.0900000000000001</v>
      </c>
      <c r="K148" s="17"/>
    </row>
    <row r="149" spans="3:11">
      <c r="D149" t="s">
        <v>58</v>
      </c>
      <c r="E149">
        <f>E148*0.95</f>
        <v>367536</v>
      </c>
      <c r="F149">
        <f>'E-Costos'!B102</f>
        <v>14318</v>
      </c>
      <c r="G149" s="167">
        <f t="shared" si="13"/>
        <v>25.669506914373518</v>
      </c>
      <c r="H149" s="185">
        <v>1.0900000000000001</v>
      </c>
    </row>
    <row r="150" spans="3:11">
      <c r="D150" t="s">
        <v>446</v>
      </c>
      <c r="H150" t="s">
        <v>439</v>
      </c>
    </row>
    <row r="151" spans="3:11">
      <c r="D151" t="s">
        <v>447</v>
      </c>
      <c r="E151" s="167">
        <f>(G149*H149)/2</f>
        <v>13.989881268333567</v>
      </c>
    </row>
    <row r="152" spans="3:11">
      <c r="D152" s="70" t="s">
        <v>441</v>
      </c>
      <c r="E152" s="167">
        <f>(G148*H148)/2</f>
        <v>9.3296283185840707</v>
      </c>
    </row>
    <row r="155" spans="3:11">
      <c r="D155" s="17" t="s">
        <v>448</v>
      </c>
      <c r="E155" s="17" t="s">
        <v>449</v>
      </c>
      <c r="F155" t="s">
        <v>302</v>
      </c>
    </row>
    <row r="156" spans="3:11">
      <c r="D156" s="148">
        <v>1</v>
      </c>
      <c r="E156" s="17">
        <f>E47</f>
        <v>15110</v>
      </c>
      <c r="F156">
        <f>'E-Costos'!B102</f>
        <v>14318</v>
      </c>
    </row>
    <row r="157" spans="3:11">
      <c r="D157" s="186" t="s">
        <v>450</v>
      </c>
      <c r="E157" s="17">
        <f>F47</f>
        <v>22600</v>
      </c>
      <c r="F157">
        <f>'E-Costos'!C102</f>
        <v>22600</v>
      </c>
      <c r="G157" s="58"/>
    </row>
    <row r="159" spans="3:11">
      <c r="C159" s="1" t="s">
        <v>451</v>
      </c>
    </row>
    <row r="160" spans="3:11">
      <c r="C160" t="s">
        <v>452</v>
      </c>
      <c r="D160">
        <f>E157/O78</f>
        <v>1</v>
      </c>
    </row>
    <row r="161" spans="3:5">
      <c r="C161" t="s">
        <v>453</v>
      </c>
      <c r="D161" s="167">
        <f>E157*F62</f>
        <v>3424870.6978153847</v>
      </c>
      <c r="E161" t="s">
        <v>306</v>
      </c>
    </row>
    <row r="162" spans="3:5">
      <c r="C162" t="s">
        <v>373</v>
      </c>
      <c r="D162" s="187">
        <f>D161/F157</f>
        <v>151.54295123076923</v>
      </c>
    </row>
    <row r="166" spans="3:5">
      <c r="C166" s="1" t="s">
        <v>58</v>
      </c>
    </row>
    <row r="168" spans="3:5">
      <c r="C168" s="175" t="s">
        <v>454</v>
      </c>
      <c r="D168">
        <f>E156</f>
        <v>15110</v>
      </c>
    </row>
    <row r="169" spans="3:5" ht="25.5">
      <c r="C169" s="175" t="s">
        <v>455</v>
      </c>
      <c r="D169">
        <f>F156*D160</f>
        <v>14318</v>
      </c>
    </row>
    <row r="170" spans="3:5">
      <c r="C170" s="175" t="s">
        <v>456</v>
      </c>
      <c r="D170" s="167">
        <f>+H148</f>
        <v>1.0900000000000001</v>
      </c>
      <c r="E170" t="s">
        <v>375</v>
      </c>
    </row>
    <row r="171" spans="3:5" ht="25.5">
      <c r="C171" s="175" t="s">
        <v>457</v>
      </c>
      <c r="D171">
        <f>D168-D169-D170</f>
        <v>790.91</v>
      </c>
    </row>
    <row r="174" spans="3:5" ht="25.5">
      <c r="C174" s="175" t="s">
        <v>367</v>
      </c>
      <c r="D174" s="188">
        <f>D170*F62</f>
        <v>165.18181684153848</v>
      </c>
    </row>
    <row r="175" spans="3:5" ht="25.5">
      <c r="C175" s="175" t="s">
        <v>458</v>
      </c>
      <c r="D175" s="188">
        <f>D171*F62</f>
        <v>119856.83555792768</v>
      </c>
    </row>
    <row r="178" spans="3:8">
      <c r="C178" t="s">
        <v>448</v>
      </c>
      <c r="D178">
        <v>1</v>
      </c>
      <c r="E178">
        <v>2</v>
      </c>
      <c r="F178">
        <v>3</v>
      </c>
      <c r="G178">
        <v>4</v>
      </c>
      <c r="H178">
        <v>5</v>
      </c>
    </row>
    <row r="179" spans="3:8">
      <c r="C179" t="s">
        <v>459</v>
      </c>
      <c r="D179" s="189">
        <v>217</v>
      </c>
      <c r="E179" s="189">
        <v>217</v>
      </c>
      <c r="F179" s="189">
        <v>217</v>
      </c>
      <c r="G179" s="189">
        <v>217</v>
      </c>
      <c r="H179" s="189">
        <v>217</v>
      </c>
    </row>
    <row r="181" spans="3:8">
      <c r="C181" t="s">
        <v>460</v>
      </c>
      <c r="D181" s="167">
        <f>+D179*'E-Costos'!B103</f>
        <v>87792.046540326701</v>
      </c>
      <c r="E181" s="167">
        <f>+E179*'E-Costos'!C103</f>
        <v>75290.15651700992</v>
      </c>
      <c r="F181" s="167">
        <f>+F179*'E-Costos'!D103</f>
        <v>75289.867921792218</v>
      </c>
      <c r="G181" s="167">
        <f>+G179*'E-Costos'!E103</f>
        <v>74888.186543383345</v>
      </c>
      <c r="H181" s="167">
        <f>+H179*'E-Costos'!F103</f>
        <v>74888.175964218928</v>
      </c>
    </row>
    <row r="182" spans="3:8">
      <c r="C182" t="s">
        <v>461</v>
      </c>
      <c r="D182" s="167"/>
      <c r="E182" s="167">
        <f>+D181</f>
        <v>87792.046540326701</v>
      </c>
      <c r="F182" s="167">
        <f>+E181</f>
        <v>75290.15651700992</v>
      </c>
      <c r="G182" s="167">
        <f>+F181</f>
        <v>75289.867921792218</v>
      </c>
      <c r="H182" s="167">
        <f>+G181</f>
        <v>74888.186543383345</v>
      </c>
    </row>
    <row r="183" spans="3:8">
      <c r="C183" t="s">
        <v>462</v>
      </c>
      <c r="D183" s="167">
        <f>+D181-D182</f>
        <v>87792.046540326701</v>
      </c>
      <c r="E183" s="167">
        <f>+E181-E182</f>
        <v>-12501.890023316781</v>
      </c>
      <c r="F183" s="167">
        <f>+F181-F182</f>
        <v>-0.2885952177020954</v>
      </c>
      <c r="G183" s="167">
        <f>+G181-G182</f>
        <v>-401.68137840887357</v>
      </c>
      <c r="H183" s="167">
        <f>+H181-H182</f>
        <v>-1.0579164416412823E-2</v>
      </c>
    </row>
  </sheetData>
  <sheetProtection selectLockedCells="1" selectUnlockedCells="1"/>
  <mergeCells count="18">
    <mergeCell ref="C74:D74"/>
    <mergeCell ref="G36:G37"/>
    <mergeCell ref="C38:D38"/>
    <mergeCell ref="G55:N55"/>
    <mergeCell ref="G56:N56"/>
    <mergeCell ref="G57:N57"/>
    <mergeCell ref="G58:N58"/>
    <mergeCell ref="G59:N59"/>
    <mergeCell ref="G60:N60"/>
    <mergeCell ref="G61:N61"/>
    <mergeCell ref="G62:N62"/>
    <mergeCell ref="C73:D73"/>
    <mergeCell ref="C18:C19"/>
    <mergeCell ref="L5:M5"/>
    <mergeCell ref="E6:H6"/>
    <mergeCell ref="C9:C10"/>
    <mergeCell ref="E15:H15"/>
    <mergeCell ref="L17:M17"/>
  </mergeCells>
  <hyperlinks>
    <hyperlink ref="G56" r:id="rId1" xr:uid="{00000000-0004-0000-0400-000000000000}"/>
    <hyperlink ref="G59" r:id="rId2" xr:uid="{00000000-0004-0000-0400-000001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I36"/>
  <sheetViews>
    <sheetView zoomScale="80" zoomScaleNormal="80" workbookViewId="0">
      <selection activeCell="J22" sqref="J22"/>
    </sheetView>
  </sheetViews>
  <sheetFormatPr defaultColWidth="11.28515625" defaultRowHeight="12.75"/>
  <cols>
    <col min="1" max="1" width="45.42578125" style="17" customWidth="1"/>
    <col min="2" max="2" width="15.85546875" style="17" bestFit="1" customWidth="1"/>
    <col min="3" max="3" width="17.85546875" style="17" bestFit="1" customWidth="1"/>
    <col min="4" max="5" width="16.42578125" style="17" bestFit="1" customWidth="1"/>
    <col min="6" max="7" width="17.140625" style="17" bestFit="1" customWidth="1"/>
    <col min="8" max="8" width="17.28515625" style="17" customWidth="1"/>
    <col min="9" max="9" width="13.85546875" style="17" bestFit="1" customWidth="1"/>
    <col min="10" max="16384" width="11.28515625" style="17"/>
  </cols>
  <sheetData>
    <row r="1" spans="1:8">
      <c r="A1" s="1" t="s">
        <v>0</v>
      </c>
      <c r="B1"/>
      <c r="C1"/>
      <c r="D1"/>
      <c r="E1" s="2">
        <f>InfoInicial!E1</f>
        <v>7</v>
      </c>
    </row>
    <row r="2" spans="1:8">
      <c r="A2" s="1"/>
      <c r="B2"/>
      <c r="C2"/>
      <c r="D2"/>
      <c r="E2" s="154"/>
    </row>
    <row r="3" spans="1:8" ht="15.75">
      <c r="A3" s="73" t="s">
        <v>463</v>
      </c>
      <c r="B3" s="74"/>
      <c r="C3" s="74"/>
      <c r="D3" s="74"/>
      <c r="E3" s="74"/>
      <c r="F3" s="74"/>
      <c r="G3" s="75"/>
    </row>
    <row r="4" spans="1:8">
      <c r="A4" s="76" t="s">
        <v>201</v>
      </c>
      <c r="B4" s="22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8">
      <c r="A5" s="190" t="s">
        <v>464</v>
      </c>
      <c r="B5" s="191"/>
      <c r="C5" s="191"/>
      <c r="D5" s="191"/>
      <c r="E5" s="191"/>
      <c r="F5" s="191"/>
      <c r="G5" s="192"/>
    </row>
    <row r="6" spans="1:8">
      <c r="A6" s="190" t="s">
        <v>465</v>
      </c>
      <c r="B6" s="465">
        <f>'E-InvAT (Cálculos y links)'!G2*C6</f>
        <v>225600</v>
      </c>
      <c r="C6" s="465">
        <f>+'E-Costos'!B89*'E-InvAT (Cálculos y links)'!D2</f>
        <v>282000</v>
      </c>
      <c r="D6" s="465">
        <f>+'E-Costos'!$C$89*'E-InvAT (Cálculos y links)'!$D$2</f>
        <v>452000</v>
      </c>
      <c r="E6" s="465">
        <f>+'E-Costos'!$C$89*'E-InvAT (Cálculos y links)'!$D$2</f>
        <v>452000</v>
      </c>
      <c r="F6" s="465">
        <f>+'E-Costos'!$C$89*'E-InvAT (Cálculos y links)'!$D$2</f>
        <v>452000</v>
      </c>
      <c r="G6" s="465">
        <f>+'E-Costos'!$C$89*'E-InvAT (Cálculos y links)'!$D$2</f>
        <v>452000</v>
      </c>
      <c r="H6" s="468"/>
    </row>
    <row r="7" spans="1:8">
      <c r="A7" s="190" t="s">
        <v>466</v>
      </c>
      <c r="B7" s="81">
        <v>0</v>
      </c>
      <c r="C7" s="81">
        <f>+'E-Costos'!B89*(30/365)</f>
        <v>1158904.109589041</v>
      </c>
      <c r="D7" s="81">
        <f>+'E-Costos'!C89*(30/365)</f>
        <v>1857534.2465753423</v>
      </c>
      <c r="E7" s="81">
        <f>+'E-Costos'!D89*(30/365)</f>
        <v>1857534.2465753423</v>
      </c>
      <c r="F7" s="81">
        <f>+'E-Costos'!E89*(30/365)</f>
        <v>1857534.2465753423</v>
      </c>
      <c r="G7" s="81">
        <f>+'E-Costos'!F89*(30/365)</f>
        <v>1857534.2465753423</v>
      </c>
    </row>
    <row r="8" spans="1:8">
      <c r="A8" s="193"/>
      <c r="B8" s="107"/>
      <c r="C8" s="107"/>
      <c r="D8" s="107"/>
      <c r="E8" s="107"/>
      <c r="F8" s="107"/>
      <c r="G8" s="115"/>
    </row>
    <row r="9" spans="1:8">
      <c r="A9" s="190" t="s">
        <v>467</v>
      </c>
      <c r="B9" s="120">
        <f t="shared" ref="B9:G9" si="0">+SUM(B10:B13)</f>
        <v>285878.52843830048</v>
      </c>
      <c r="C9" s="120">
        <f t="shared" si="0"/>
        <v>2062693.4917418449</v>
      </c>
      <c r="D9" s="120">
        <f t="shared" si="0"/>
        <v>3413731.1496109697</v>
      </c>
      <c r="E9" s="120">
        <f t="shared" si="0"/>
        <v>3413731.1496109697</v>
      </c>
      <c r="F9" s="120">
        <f t="shared" si="0"/>
        <v>3414103.8749769698</v>
      </c>
      <c r="G9" s="117">
        <f t="shared" si="0"/>
        <v>3414103.8749769698</v>
      </c>
    </row>
    <row r="10" spans="1:8">
      <c r="A10" s="193" t="s">
        <v>468</v>
      </c>
      <c r="B10" s="194">
        <f>'E-InvAT (Cálculos y links)'!C25*'E-InvAT (Cálculos y links)'!E16</f>
        <v>243797.21314061538</v>
      </c>
      <c r="C10" s="194">
        <f>'E-InvAT (Cálculos y links)'!$D$26*'E-InvAT (Cálculos y links)'!$E$16</f>
        <v>1978021.7799563077</v>
      </c>
      <c r="D10" s="194">
        <f>'E-InvAT (Cálculos y links)'!$E$26*'E-InvAT (Cálculos y links)'!$E$16</f>
        <v>3323170.6978153847</v>
      </c>
      <c r="E10" s="194">
        <f>'E-InvAT (Cálculos y links)'!$E$26*'E-InvAT (Cálculos y links)'!$E$16</f>
        <v>3323170.6978153847</v>
      </c>
      <c r="F10" s="194">
        <f>'E-InvAT (Cálculos y links)'!$E$26*'E-InvAT (Cálculos y links)'!$E$16</f>
        <v>3323170.6978153847</v>
      </c>
      <c r="G10" s="194">
        <f>'E-InvAT (Cálculos y links)'!$E$26*'E-InvAT (Cálculos y links)'!$E$16</f>
        <v>3323170.6978153847</v>
      </c>
    </row>
    <row r="11" spans="1:8">
      <c r="A11" s="193" t="s">
        <v>469</v>
      </c>
      <c r="B11" s="81">
        <f>'E-InvAT (Cálculos y links)'!G2*C11</f>
        <v>42081.315297685127</v>
      </c>
      <c r="C11" s="81">
        <f>'E-Costos'!B12*'E-InvAT (Cálculos y links)'!$C$29/12+'E-Costos'!B55*'E-InvAT (Cálculos y links)'!$C$30/12+'E-Costos'!B72*'E-InvAT (Cálculos y links)'!$C$31/12</f>
        <v>52601.644122106409</v>
      </c>
      <c r="D11" s="81">
        <f>'E-Costos'!C12*'E-InvAT (Cálculos y links)'!$C$29/12+'E-Costos'!C55*'E-InvAT (Cálculos y links)'!$C$30/12+'E-Costos'!C72*'E-InvAT (Cálculos y links)'!$C$31/12</f>
        <v>58446.271246784898</v>
      </c>
      <c r="E11" s="81">
        <f>'E-Costos'!D12*'E-InvAT (Cálculos y links)'!$C$29/12+'E-Costos'!D55*'E-InvAT (Cálculos y links)'!$C$30/12+'E-Costos'!D72*'E-InvAT (Cálculos y links)'!$C$31/12</f>
        <v>58446.271246784898</v>
      </c>
      <c r="F11" s="81">
        <f>'E-Costos'!E12*'E-InvAT (Cálculos y links)'!$C$29/12+'E-Costos'!E55*'E-InvAT (Cálculos y links)'!$C$30/12+'E-Costos'!E72*'E-InvAT (Cálculos y links)'!$C$31/12</f>
        <v>58818.996612784897</v>
      </c>
      <c r="G11" s="115">
        <f>'E-Costos'!F12*'E-InvAT (Cálculos y links)'!$C$29/12+'E-Costos'!F55*'E-InvAT (Cálculos y links)'!$C$30/12+'E-Costos'!F72*'E-InvAT (Cálculos y links)'!$C$31/12</f>
        <v>58818.996612784897</v>
      </c>
    </row>
    <row r="12" spans="1:8">
      <c r="A12" s="193" t="s">
        <v>470</v>
      </c>
      <c r="B12" s="81">
        <f>+'E-InvAT (Cálculos y links)'!C23*'E-InvAT (Cálculos y links)'!$E$16</f>
        <v>0</v>
      </c>
      <c r="C12" s="81">
        <f>+'E-InvAT (Cálculos y links)'!D23*'E-InvAT (Cálculos y links)'!$E$16</f>
        <v>161.74724635384618</v>
      </c>
      <c r="D12" s="81">
        <f>+'E-InvAT (Cálculos y links)'!E23*'E-InvAT (Cálculos y links)'!$E$16</f>
        <v>161.74724635384618</v>
      </c>
      <c r="E12" s="81">
        <f>+'E-InvAT (Cálculos y links)'!E23*'E-InvAT (Cálculos y links)'!$E$16</f>
        <v>161.74724635384618</v>
      </c>
      <c r="F12" s="81">
        <f>+'E-InvAT (Cálculos y links)'!E23*'E-InvAT (Cálculos y links)'!$E$16</f>
        <v>161.74724635384618</v>
      </c>
      <c r="G12" s="115">
        <f>+'E-InvAT (Cálculos y links)'!E23*'E-InvAT (Cálculos y links)'!$E$16</f>
        <v>161.74724635384618</v>
      </c>
    </row>
    <row r="13" spans="1:8">
      <c r="A13" s="193" t="s">
        <v>471</v>
      </c>
      <c r="B13" s="81">
        <f>+'E-InvAT (Cálculos y links)'!C20*'E-InvAT (Cálculos y links)'!$E$16</f>
        <v>0</v>
      </c>
      <c r="C13" s="81">
        <f>+'E-InvAT (Cálculos y links)'!D20*'E-InvAT (Cálculos y links)'!$E$16</f>
        <v>31908.320417076924</v>
      </c>
      <c r="D13" s="81">
        <f>+'E-InvAT (Cálculos y links)'!E20*'E-InvAT (Cálculos y links)'!$E$16</f>
        <v>31952.433302446156</v>
      </c>
      <c r="E13" s="81">
        <f>+'E-InvAT (Cálculos y links)'!E20*'E-InvAT (Cálculos y links)'!$E$16</f>
        <v>31952.433302446156</v>
      </c>
      <c r="F13" s="81">
        <f>+'E-InvAT (Cálculos y links)'!E20*'E-InvAT (Cálculos y links)'!$E$16</f>
        <v>31952.433302446156</v>
      </c>
      <c r="G13" s="115">
        <f>+'E-InvAT (Cálculos y links)'!E20*'E-InvAT (Cálculos y links)'!$E$16</f>
        <v>31952.433302446156</v>
      </c>
    </row>
    <row r="14" spans="1:8">
      <c r="A14" s="193"/>
      <c r="B14" s="107"/>
      <c r="C14" s="107"/>
      <c r="D14" s="107"/>
      <c r="E14" s="107"/>
      <c r="F14" s="107"/>
      <c r="G14" s="115"/>
    </row>
    <row r="15" spans="1:8">
      <c r="A15" s="190" t="s">
        <v>472</v>
      </c>
      <c r="B15" s="81">
        <f t="shared" ref="B15:G15" si="1">+B6+B7+SUM(B10:B13)</f>
        <v>511478.52843830048</v>
      </c>
      <c r="C15" s="81">
        <f t="shared" si="1"/>
        <v>3503597.6013308857</v>
      </c>
      <c r="D15" s="81">
        <f t="shared" si="1"/>
        <v>5723265.3961863127</v>
      </c>
      <c r="E15" s="81">
        <f t="shared" si="1"/>
        <v>5723265.3961863127</v>
      </c>
      <c r="F15" s="81">
        <f t="shared" si="1"/>
        <v>5723638.1215523127</v>
      </c>
      <c r="G15" s="115">
        <f t="shared" si="1"/>
        <v>5723638.1215523127</v>
      </c>
    </row>
    <row r="16" spans="1:8">
      <c r="A16" s="190" t="s">
        <v>473</v>
      </c>
      <c r="B16" s="107"/>
      <c r="C16" s="107"/>
      <c r="D16" s="107"/>
      <c r="E16" s="107"/>
      <c r="F16" s="107"/>
      <c r="G16" s="115"/>
    </row>
    <row r="17" spans="1:9">
      <c r="A17" s="193" t="s">
        <v>474</v>
      </c>
      <c r="B17" s="81">
        <v>0</v>
      </c>
      <c r="C17" s="81">
        <f>'E-Costos'!B29</f>
        <v>53.432021074050461</v>
      </c>
      <c r="D17" s="81">
        <f>'E-Costos'!C29</f>
        <v>33.851313174259047</v>
      </c>
      <c r="E17" s="81">
        <f>'E-Costos'!D29</f>
        <v>33.851313174259047</v>
      </c>
      <c r="F17" s="81">
        <f>'E-Costos'!E29</f>
        <v>32.824478915409493</v>
      </c>
      <c r="G17" s="115">
        <f>'E-Costos'!F29</f>
        <v>32.824478915409493</v>
      </c>
    </row>
    <row r="18" spans="1:9">
      <c r="A18" s="193" t="s">
        <v>475</v>
      </c>
      <c r="B18" s="81">
        <v>0</v>
      </c>
      <c r="C18" s="81">
        <f>('E-Costos'!B10-'E-InvAT'!C17+'E-InvAT'!B17)/'E-InvAT (Cálculos y links)'!D21*'E-InvAT (Cálculos y links)'!D23</f>
        <v>107.8403412161565</v>
      </c>
      <c r="D18" s="81">
        <f>('E-Costos'!C10-'E-InvAT'!D17+'E-InvAT'!C17)/'E-InvAT (Cálculos y links)'!E21*'E-InvAT (Cálculos y links)'!E23</f>
        <v>68.324704404194691</v>
      </c>
      <c r="E18" s="81">
        <f>('E-Costos'!C10-'E-InvAT'!E17+'E-InvAT'!D17)/'E-InvAT (Cálculos y links)'!E21*'E-InvAT (Cálculos y links)'!E23</f>
        <v>68.32375136088983</v>
      </c>
      <c r="F18" s="81">
        <f>('E-Costos'!C10-'E-InvAT'!F17+'E-InvAT'!E17)/'E-InvAT (Cálculos y links)'!E21*'E-InvAT (Cálculos y links)'!E23</f>
        <v>68.323801339548439</v>
      </c>
      <c r="G18" s="115">
        <f>('E-Costos'!C10-'E-InvAT'!G17+'E-InvAT'!F17)/'E-InvAT (Cálculos y links)'!E21*'E-InvAT (Cálculos y links)'!E23</f>
        <v>68.32375136088983</v>
      </c>
    </row>
    <row r="19" spans="1:9">
      <c r="A19" s="193" t="s">
        <v>476</v>
      </c>
      <c r="B19" s="81">
        <v>0</v>
      </c>
      <c r="C19" s="81">
        <f>C7*'E-Costos'!B122</f>
        <v>257516.48725479457</v>
      </c>
      <c r="D19" s="81">
        <f>D7*'E-Costos'!C122</f>
        <v>559082.01013254654</v>
      </c>
      <c r="E19" s="81">
        <f>E7*'E-Costos'!D122</f>
        <v>559694.85970326117</v>
      </c>
      <c r="F19" s="81">
        <f>F7*'E-Costos'!E122</f>
        <v>561721.0892340719</v>
      </c>
      <c r="G19" s="115">
        <f>G7*'E-Costos'!F122</f>
        <v>561740.78646907036</v>
      </c>
    </row>
    <row r="20" spans="1:9">
      <c r="A20" s="193" t="s">
        <v>477</v>
      </c>
      <c r="B20" s="465">
        <v>0</v>
      </c>
      <c r="C20" s="465">
        <f>('E-Inv AF y Am'!$D$56-C17-C18+B17+B18)*(30/365)</f>
        <v>115362.84292584738</v>
      </c>
      <c r="D20" s="465">
        <f>('E-Inv AF y Am'!$D$56-D17-D18+C17+C18)*(30/365)</f>
        <v>115380.95542231329</v>
      </c>
      <c r="E20" s="465">
        <f>('E-Inv AF y Am'!$D$56-E17-E18+D17+D18)*(30/365)</f>
        <v>115376.09826683369</v>
      </c>
      <c r="F20" s="465">
        <f>('E-Inv AF y Am'!$E$56-F17-F18+E17+E18)*(30/365)</f>
        <v>111876.40312967508</v>
      </c>
      <c r="G20" s="465">
        <f>('E-Inv AF y Am'!$E$56-G17-G18+F17+F18)*(30/365)</f>
        <v>111876.31874055442</v>
      </c>
      <c r="H20" s="468" t="s">
        <v>775</v>
      </c>
      <c r="I20" s="472"/>
    </row>
    <row r="21" spans="1:9">
      <c r="A21" s="193"/>
      <c r="B21" s="107"/>
      <c r="C21" s="107"/>
      <c r="D21" s="107"/>
      <c r="E21" s="107"/>
      <c r="F21" s="107"/>
      <c r="G21" s="115"/>
    </row>
    <row r="22" spans="1:9">
      <c r="A22" s="190" t="s">
        <v>478</v>
      </c>
      <c r="B22" s="81">
        <f t="shared" ref="B22:G22" si="2">B15-SUM(B17:B20)</f>
        <v>511478.52843830048</v>
      </c>
      <c r="C22" s="81">
        <f t="shared" si="2"/>
        <v>3130556.9987879535</v>
      </c>
      <c r="D22" s="81">
        <f t="shared" si="2"/>
        <v>5048700.2546138745</v>
      </c>
      <c r="E22" s="81">
        <f t="shared" si="2"/>
        <v>5048092.2631516829</v>
      </c>
      <c r="F22" s="81">
        <f t="shared" si="2"/>
        <v>5049939.480908311</v>
      </c>
      <c r="G22" s="115">
        <f t="shared" si="2"/>
        <v>5049919.8681124114</v>
      </c>
    </row>
    <row r="23" spans="1:9">
      <c r="A23" s="193"/>
      <c r="B23" s="107"/>
      <c r="C23" s="107"/>
      <c r="D23" s="107"/>
      <c r="E23" s="107"/>
      <c r="F23" s="107"/>
      <c r="G23" s="115"/>
    </row>
    <row r="24" spans="1:9">
      <c r="A24" s="190" t="s">
        <v>479</v>
      </c>
      <c r="B24" s="81">
        <f>+B22</f>
        <v>511478.52843830048</v>
      </c>
      <c r="C24" s="81">
        <f>C15-B15</f>
        <v>2992119.0728925853</v>
      </c>
      <c r="D24" s="81">
        <f>D15-C15</f>
        <v>2219667.794855427</v>
      </c>
      <c r="E24" s="81">
        <f>E15-D15</f>
        <v>0</v>
      </c>
      <c r="F24" s="81">
        <f>F15-E15</f>
        <v>372.72536600008607</v>
      </c>
      <c r="G24" s="115">
        <f>G15-F15</f>
        <v>0</v>
      </c>
    </row>
    <row r="25" spans="1:9">
      <c r="A25" s="190" t="s">
        <v>480</v>
      </c>
      <c r="B25" s="81">
        <f>+B22</f>
        <v>511478.52843830048</v>
      </c>
      <c r="C25" s="81">
        <f>C22-B22</f>
        <v>2619078.4703496532</v>
      </c>
      <c r="D25" s="81">
        <f>D22-C22</f>
        <v>1918143.255825921</v>
      </c>
      <c r="E25" s="81">
        <f>E22-D22</f>
        <v>-607.99146219156682</v>
      </c>
      <c r="F25" s="81">
        <f>F22-E22</f>
        <v>1847.2177566280589</v>
      </c>
      <c r="G25" s="115">
        <f>G22-F22</f>
        <v>-19.612795899622142</v>
      </c>
    </row>
    <row r="26" spans="1:9">
      <c r="A26" s="193"/>
      <c r="B26" s="107"/>
      <c r="C26" s="107"/>
      <c r="D26" s="107"/>
      <c r="E26" s="107"/>
      <c r="F26" s="107"/>
      <c r="G26" s="115"/>
    </row>
    <row r="27" spans="1:9">
      <c r="A27" s="190" t="s">
        <v>481</v>
      </c>
      <c r="B27" s="107"/>
      <c r="C27" s="107"/>
      <c r="D27" s="107"/>
      <c r="E27" s="107"/>
      <c r="F27" s="107"/>
      <c r="G27" s="115"/>
    </row>
    <row r="28" spans="1:9">
      <c r="A28" s="193" t="s">
        <v>482</v>
      </c>
      <c r="B28" s="81"/>
      <c r="C28" s="81"/>
      <c r="D28" s="81"/>
      <c r="E28" s="81"/>
      <c r="F28" s="81"/>
      <c r="G28" s="115"/>
    </row>
    <row r="29" spans="1:9">
      <c r="A29" s="193" t="s">
        <v>483</v>
      </c>
      <c r="B29" s="81"/>
      <c r="C29" s="81"/>
      <c r="D29" s="81"/>
      <c r="E29" s="81"/>
      <c r="F29" s="81"/>
      <c r="G29" s="115"/>
    </row>
    <row r="30" spans="1:9">
      <c r="A30" s="193" t="s">
        <v>484</v>
      </c>
      <c r="B30" s="81">
        <f>B10*InfoInicial!B3</f>
        <v>51197.414759529231</v>
      </c>
      <c r="C30" s="81">
        <f>(C10-B10)*InfoInicial!$B$3</f>
        <v>364187.15903129539</v>
      </c>
      <c r="D30" s="81">
        <f>(D10-C10)*InfoInicial!$B$3</f>
        <v>282481.27275040618</v>
      </c>
      <c r="E30" s="81">
        <f>(E10-D10)*InfoInicial!$B$3</f>
        <v>0</v>
      </c>
      <c r="F30" s="81">
        <f>(F10-E10)*InfoInicial!$B$3</f>
        <v>0</v>
      </c>
      <c r="G30" s="115">
        <f>(G10-F10)*InfoInicial!$B$3</f>
        <v>0</v>
      </c>
    </row>
    <row r="31" spans="1:9">
      <c r="A31" s="193" t="s">
        <v>485</v>
      </c>
      <c r="B31" s="81">
        <f>B11*InfoInicial!B4</f>
        <v>14728.460354189794</v>
      </c>
      <c r="C31" s="81">
        <f>(C11-B11)*InfoInicial!$B$3</f>
        <v>2209.2690531284693</v>
      </c>
      <c r="D31" s="81">
        <f>(D11-C11)*InfoInicial!$B$3</f>
        <v>1227.3716961824828</v>
      </c>
      <c r="E31" s="81">
        <f>(E11-D11)*InfoInicial!$B$3</f>
        <v>0</v>
      </c>
      <c r="F31" s="81">
        <f>(F11-E11)*InfoInicial!$B$3</f>
        <v>78.272326859999737</v>
      </c>
      <c r="G31" s="115">
        <f>(G11-F11)*InfoInicial!$B$3</f>
        <v>0</v>
      </c>
    </row>
    <row r="32" spans="1:9">
      <c r="A32" s="193" t="s">
        <v>486</v>
      </c>
      <c r="B32" s="81">
        <v>0</v>
      </c>
      <c r="C32" s="81">
        <f>('E-Costos'!B26+'E-Costos'!B31+'E-Costos'!B32+'E-Costos'!B33)*InfoInicial!B3</f>
        <v>35.224816162465878</v>
      </c>
      <c r="D32" s="81">
        <f>('E-Costos'!C26+'E-Costos'!C31+'E-Costos'!C32+'E-Costos'!C33-'E-Costos'!B26-'E-Costos'!B31-'E-Costos'!B32-'E-Costos'!B33)*InfoInicial!$B$3</f>
        <v>-3.7303493627405258E-16</v>
      </c>
      <c r="E32" s="81">
        <f>('E-Costos'!D26+'E-Costos'!D31+'E-Costos'!D32+'E-Costos'!D33-'E-Costos'!C26-'E-Costos'!C31-'E-Costos'!C32-'E-Costos'!C33)*InfoInicial!$B$3</f>
        <v>-3.7303493627405258E-16</v>
      </c>
      <c r="F32" s="81">
        <f>('E-Costos'!E26+'E-Costos'!E31+'E-Costos'!E32+'E-Costos'!E33-'E-Costos'!D26-'E-Costos'!D31-'E-Costos'!D32-'E-Costos'!D33)*InfoInicial!$B$3</f>
        <v>-3.7303493627405258E-16</v>
      </c>
      <c r="G32" s="115">
        <f>('E-Costos'!F26+'E-Costos'!F31+'E-Costos'!F32+'E-Costos'!F33-'E-Costos'!E26-'E-Costos'!E31-'E-Costos'!E32-'E-Costos'!E33)*InfoInicial!$B$3</f>
        <v>-3.7303493627405258E-16</v>
      </c>
    </row>
    <row r="33" spans="1:7">
      <c r="A33" s="193" t="s">
        <v>487</v>
      </c>
      <c r="B33" s="94">
        <v>0</v>
      </c>
      <c r="C33" s="94">
        <f>+'E-InvAT (Cálculos y links)'!C39</f>
        <v>7887.6887657950383</v>
      </c>
      <c r="D33" s="94">
        <f>+'E-InvAT (Cálculos y links)'!D39</f>
        <v>25.860396568144097</v>
      </c>
      <c r="E33" s="94">
        <f>+'E-InvAT (Cálculos y links)'!E39</f>
        <v>0</v>
      </c>
      <c r="F33" s="94">
        <f>+'E-InvAT (Cálculos y links)'!F39</f>
        <v>1.5051837722730852</v>
      </c>
      <c r="G33" s="115">
        <f>+'E-InvAT (Cálculos y links)'!G39</f>
        <v>0</v>
      </c>
    </row>
    <row r="34" spans="1:7">
      <c r="A34" s="190" t="s">
        <v>488</v>
      </c>
      <c r="B34" s="195">
        <f t="shared" ref="B34:G34" si="3">+SUM(B30:B33)</f>
        <v>65925.875113719027</v>
      </c>
      <c r="C34" s="195">
        <f t="shared" si="3"/>
        <v>374319.3416663814</v>
      </c>
      <c r="D34" s="195">
        <f t="shared" si="3"/>
        <v>283734.50484315678</v>
      </c>
      <c r="E34" s="195">
        <f t="shared" si="3"/>
        <v>-3.7303493627405258E-16</v>
      </c>
      <c r="F34" s="195">
        <f t="shared" si="3"/>
        <v>79.777510632272822</v>
      </c>
      <c r="G34" s="115">
        <f t="shared" si="3"/>
        <v>-3.7303493627405258E-16</v>
      </c>
    </row>
    <row r="35" spans="1:7">
      <c r="A35" s="193"/>
      <c r="B35" s="84"/>
      <c r="C35" s="84"/>
      <c r="D35" s="84"/>
      <c r="E35" s="84"/>
      <c r="F35" s="84"/>
      <c r="G35" s="115"/>
    </row>
    <row r="36" spans="1:7">
      <c r="A36" s="196" t="s">
        <v>489</v>
      </c>
      <c r="B36" s="96">
        <f t="shared" ref="B36:G36" si="4">+B25+B34</f>
        <v>577404.4035520195</v>
      </c>
      <c r="C36" s="96">
        <f t="shared" si="4"/>
        <v>2993397.8120160345</v>
      </c>
      <c r="D36" s="96">
        <f t="shared" si="4"/>
        <v>2201877.7606690777</v>
      </c>
      <c r="E36" s="96">
        <f t="shared" si="4"/>
        <v>-607.99146219156682</v>
      </c>
      <c r="F36" s="96">
        <f t="shared" si="4"/>
        <v>1926.9952672603317</v>
      </c>
      <c r="G36" s="197">
        <f t="shared" si="4"/>
        <v>-19.612795899622142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39"/>
  <sheetViews>
    <sheetView zoomScaleNormal="100" workbookViewId="0">
      <selection activeCell="G2" sqref="G2"/>
    </sheetView>
  </sheetViews>
  <sheetFormatPr defaultColWidth="10.85546875" defaultRowHeight="12.75"/>
  <cols>
    <col min="1" max="1" width="10.85546875" style="198" customWidth="1"/>
    <col min="2" max="2" width="27.140625" style="198" customWidth="1"/>
    <col min="3" max="3" width="21.85546875" style="198" customWidth="1"/>
    <col min="4" max="4" width="17.85546875" style="198" customWidth="1"/>
    <col min="5" max="5" width="13.28515625" style="198" customWidth="1"/>
    <col min="6" max="6" width="19.140625" style="198" customWidth="1"/>
    <col min="7" max="16384" width="10.85546875" style="198"/>
  </cols>
  <sheetData>
    <row r="2" spans="2:8">
      <c r="B2" s="199" t="s">
        <v>490</v>
      </c>
      <c r="C2" s="200" t="s">
        <v>491</v>
      </c>
      <c r="D2" s="201">
        <v>0.02</v>
      </c>
      <c r="F2" s="198" t="s">
        <v>57</v>
      </c>
      <c r="G2" s="201">
        <v>0.8</v>
      </c>
      <c r="H2" s="198" t="s">
        <v>492</v>
      </c>
    </row>
    <row r="3" spans="2:8">
      <c r="B3" s="202" t="s">
        <v>493</v>
      </c>
      <c r="C3" s="198" t="s">
        <v>494</v>
      </c>
    </row>
    <row r="5" spans="2:8" ht="30.95" customHeight="1">
      <c r="B5" s="203" t="s">
        <v>206</v>
      </c>
      <c r="C5" s="204" t="s">
        <v>495</v>
      </c>
      <c r="D5" s="205" t="s">
        <v>496</v>
      </c>
      <c r="E5" s="204" t="s">
        <v>497</v>
      </c>
      <c r="F5" s="206" t="s">
        <v>346</v>
      </c>
      <c r="G5" s="202" t="s">
        <v>111</v>
      </c>
    </row>
    <row r="6" spans="2:8">
      <c r="B6" s="207" t="s">
        <v>347</v>
      </c>
      <c r="C6" s="208">
        <v>1.0107999999999999</v>
      </c>
      <c r="D6" s="208">
        <f>400*[2]InfoInicial!B32</f>
        <v>15160</v>
      </c>
      <c r="E6" s="209">
        <f t="shared" ref="E6:E8" si="0">+C6*D6/1000</f>
        <v>15.323727999999999</v>
      </c>
      <c r="F6" s="210"/>
      <c r="G6" s="202" t="s">
        <v>111</v>
      </c>
      <c r="H6" s="211"/>
    </row>
    <row r="7" spans="2:8">
      <c r="B7" s="212" t="s">
        <v>349</v>
      </c>
      <c r="C7" s="213">
        <v>0.90990000000000004</v>
      </c>
      <c r="D7" s="213">
        <f>400*[2]InfoInicial!B32</f>
        <v>15160</v>
      </c>
      <c r="E7" s="214">
        <f t="shared" si="0"/>
        <v>13.794084000000002</v>
      </c>
      <c r="F7" s="215"/>
      <c r="G7" s="202" t="s">
        <v>111</v>
      </c>
      <c r="H7" s="211"/>
    </row>
    <row r="8" spans="2:8">
      <c r="B8" s="212" t="s">
        <v>350</v>
      </c>
      <c r="C8" s="213">
        <v>1.4961</v>
      </c>
      <c r="D8" s="213">
        <v>21700</v>
      </c>
      <c r="E8" s="214">
        <f t="shared" si="0"/>
        <v>32.46537</v>
      </c>
      <c r="F8" s="215" t="s">
        <v>351</v>
      </c>
      <c r="G8" s="202" t="s">
        <v>111</v>
      </c>
      <c r="H8" s="211"/>
    </row>
    <row r="9" spans="2:8">
      <c r="B9" s="212" t="s">
        <v>352</v>
      </c>
      <c r="C9" s="213">
        <v>4</v>
      </c>
      <c r="D9" s="213">
        <v>686</v>
      </c>
      <c r="E9" s="214">
        <f>+D9*C9/1000</f>
        <v>2.7440000000000002</v>
      </c>
      <c r="F9" s="216" t="s">
        <v>353</v>
      </c>
      <c r="G9" s="202" t="s">
        <v>111</v>
      </c>
      <c r="H9" s="211"/>
    </row>
    <row r="10" spans="2:8">
      <c r="B10" s="212" t="s">
        <v>498</v>
      </c>
      <c r="C10" s="213">
        <v>2</v>
      </c>
      <c r="D10" s="213"/>
      <c r="E10" s="214">
        <f>+D10*C10</f>
        <v>0</v>
      </c>
      <c r="F10" s="215"/>
      <c r="G10" s="202" t="s">
        <v>111</v>
      </c>
      <c r="H10" s="211"/>
    </row>
    <row r="11" spans="2:8">
      <c r="B11" s="212" t="s">
        <v>354</v>
      </c>
      <c r="C11" s="213">
        <v>2</v>
      </c>
      <c r="D11" s="213">
        <v>3400</v>
      </c>
      <c r="E11" s="214">
        <f t="shared" ref="E11:E12" si="1">+D11*C11/1000</f>
        <v>6.8</v>
      </c>
      <c r="F11" s="215" t="s">
        <v>355</v>
      </c>
      <c r="G11" s="202" t="s">
        <v>111</v>
      </c>
      <c r="H11" s="211"/>
    </row>
    <row r="12" spans="2:8">
      <c r="B12" s="212" t="s">
        <v>356</v>
      </c>
      <c r="C12" s="213">
        <v>4</v>
      </c>
      <c r="D12" s="213">
        <v>1320</v>
      </c>
      <c r="E12" s="214">
        <f t="shared" si="1"/>
        <v>5.28</v>
      </c>
      <c r="F12" s="215" t="s">
        <v>357</v>
      </c>
      <c r="G12" s="202" t="s">
        <v>111</v>
      </c>
      <c r="H12" s="211"/>
    </row>
    <row r="13" spans="2:8">
      <c r="B13" s="212" t="s">
        <v>358</v>
      </c>
      <c r="C13" s="213">
        <v>1</v>
      </c>
      <c r="D13" s="213"/>
      <c r="E13" s="214">
        <f>+D13*C13</f>
        <v>0</v>
      </c>
      <c r="F13" s="215"/>
      <c r="G13" s="202" t="s">
        <v>111</v>
      </c>
      <c r="H13" s="211"/>
    </row>
    <row r="14" spans="2:8">
      <c r="B14" s="212" t="s">
        <v>360</v>
      </c>
      <c r="C14" s="213">
        <v>4.2999999999999997E-2</v>
      </c>
      <c r="D14" s="213">
        <f>280*10</f>
        <v>2800</v>
      </c>
      <c r="E14" s="214">
        <f>+C14*D14/1040</f>
        <v>0.11576923076923076</v>
      </c>
      <c r="F14" s="215" t="s">
        <v>361</v>
      </c>
      <c r="G14" s="202" t="s">
        <v>111</v>
      </c>
      <c r="H14" s="211"/>
    </row>
    <row r="15" spans="2:8">
      <c r="B15" s="217" t="s">
        <v>362</v>
      </c>
      <c r="C15" s="218">
        <v>1</v>
      </c>
      <c r="D15" s="218">
        <f>10*2+1.81+16.71+16*2</f>
        <v>70.52</v>
      </c>
      <c r="E15" s="219">
        <f>+D15*C15</f>
        <v>70.52</v>
      </c>
      <c r="F15" s="220" t="s">
        <v>363</v>
      </c>
      <c r="G15" s="202" t="s">
        <v>111</v>
      </c>
      <c r="H15" s="211"/>
    </row>
    <row r="16" spans="2:8">
      <c r="B16" s="221"/>
      <c r="C16" s="222"/>
      <c r="D16" s="222" t="s">
        <v>267</v>
      </c>
      <c r="E16" s="223">
        <f>+SUM(E6:E15)</f>
        <v>147.04295123076923</v>
      </c>
      <c r="F16" s="224"/>
      <c r="G16" s="60"/>
      <c r="H16" s="60"/>
    </row>
    <row r="18" spans="2:5">
      <c r="B18" s="225"/>
      <c r="C18" s="226" t="s">
        <v>57</v>
      </c>
      <c r="D18" s="226" t="s">
        <v>332</v>
      </c>
      <c r="E18" s="227" t="s">
        <v>333</v>
      </c>
    </row>
    <row r="19" spans="2:5">
      <c r="B19" s="228" t="s">
        <v>334</v>
      </c>
      <c r="C19" s="229"/>
      <c r="D19" s="229">
        <v>14100</v>
      </c>
      <c r="E19" s="230">
        <v>22600</v>
      </c>
    </row>
    <row r="20" spans="2:5">
      <c r="B20" s="231" t="s">
        <v>499</v>
      </c>
      <c r="C20" s="232"/>
      <c r="D20" s="232">
        <v>217</v>
      </c>
      <c r="E20" s="233">
        <v>217.3</v>
      </c>
    </row>
    <row r="21" spans="2:5">
      <c r="B21" s="231" t="s">
        <v>337</v>
      </c>
      <c r="C21" s="232"/>
      <c r="D21" s="232">
        <v>14318</v>
      </c>
      <c r="E21" s="233">
        <v>22600</v>
      </c>
    </row>
    <row r="22" spans="2:5">
      <c r="B22" s="231" t="s">
        <v>500</v>
      </c>
      <c r="C22" s="232"/>
      <c r="D22" s="232">
        <v>791.5</v>
      </c>
      <c r="E22" s="233">
        <v>0</v>
      </c>
    </row>
    <row r="23" spans="2:5">
      <c r="B23" s="231" t="s">
        <v>339</v>
      </c>
      <c r="C23" s="232"/>
      <c r="D23" s="232">
        <v>1.1000000000000001</v>
      </c>
      <c r="E23" s="233">
        <v>1.1000000000000001</v>
      </c>
    </row>
    <row r="24" spans="2:5">
      <c r="B24" s="231" t="s">
        <v>340</v>
      </c>
      <c r="C24" s="232" t="s">
        <v>209</v>
      </c>
      <c r="D24" s="232">
        <v>15110</v>
      </c>
      <c r="E24" s="233">
        <v>22600</v>
      </c>
    </row>
    <row r="25" spans="2:5">
      <c r="B25" s="231" t="s">
        <v>341</v>
      </c>
      <c r="C25" s="232">
        <v>1658</v>
      </c>
      <c r="D25" s="232">
        <v>217.3</v>
      </c>
      <c r="E25" s="233">
        <v>217.3</v>
      </c>
    </row>
    <row r="26" spans="2:5">
      <c r="B26" s="234" t="s">
        <v>342</v>
      </c>
      <c r="C26" s="235">
        <v>1658</v>
      </c>
      <c r="D26" s="235">
        <v>13452</v>
      </c>
      <c r="E26" s="236">
        <v>22600</v>
      </c>
    </row>
    <row r="28" spans="2:5">
      <c r="B28" s="237" t="s">
        <v>501</v>
      </c>
      <c r="C28" s="516" t="s">
        <v>502</v>
      </c>
      <c r="D28" s="516"/>
    </row>
    <row r="29" spans="2:5">
      <c r="B29" s="238" t="s">
        <v>302</v>
      </c>
      <c r="C29" s="239">
        <v>6</v>
      </c>
      <c r="D29" s="240" t="s">
        <v>503</v>
      </c>
    </row>
    <row r="30" spans="2:5">
      <c r="B30" s="241" t="s">
        <v>504</v>
      </c>
      <c r="C30" s="231">
        <v>1</v>
      </c>
      <c r="D30" s="242" t="s">
        <v>503</v>
      </c>
    </row>
    <row r="31" spans="2:5">
      <c r="B31" s="243" t="s">
        <v>505</v>
      </c>
      <c r="C31" s="234">
        <v>1</v>
      </c>
      <c r="D31" s="244" t="s">
        <v>503</v>
      </c>
    </row>
    <row r="33" spans="2:7">
      <c r="B33" s="245" t="s">
        <v>506</v>
      </c>
      <c r="C33" s="246" t="s">
        <v>277</v>
      </c>
      <c r="D33" s="246" t="s">
        <v>507</v>
      </c>
      <c r="E33" s="246" t="s">
        <v>508</v>
      </c>
      <c r="F33" s="246" t="s">
        <v>509</v>
      </c>
      <c r="G33" s="247" t="s">
        <v>278</v>
      </c>
    </row>
    <row r="34" spans="2:7">
      <c r="B34" s="248" t="s">
        <v>206</v>
      </c>
      <c r="C34" s="249">
        <f>('E-Costos'!B7-'E-Costos'!B26-'E-Costos'!G26)*InfoInicial!$B$3*'E-InvAT (Cálculos y links)'!$D$20/'E-InvAT (Cálculos y links)'!$D$21</f>
        <v>6905.8122875861536</v>
      </c>
      <c r="D34" s="250">
        <f>('E-Costos'!C7-'E-Costos'!C26)*InfoInicial!$B$3*'E-InvAT (Cálculos y links)'!$E$20/'E-InvAT (Cálculos y links)'!$E$21</f>
        <v>6915.025965113342</v>
      </c>
      <c r="E34" s="250">
        <f>('E-Costos'!D7-'E-Costos'!D26)*InfoInicial!$B$3*'E-InvAT (Cálculos y links)'!$E$20/'E-InvAT (Cálculos y links)'!$E$21</f>
        <v>6915.025965113342</v>
      </c>
      <c r="F34" s="250">
        <f>('E-Costos'!E7-'E-Costos'!E26)*InfoInicial!$B$3*'E-InvAT (Cálculos y links)'!$E$20/'E-InvAT (Cálculos y links)'!$E$21</f>
        <v>6915.025965113342</v>
      </c>
      <c r="G34" s="251">
        <f>('E-Costos'!F7-'E-Costos'!F26)*InfoInicial!$B$3*'E-InvAT (Cálculos y links)'!$E$20/'E-InvAT (Cálculos y links)'!$E$21</f>
        <v>6915.025965113342</v>
      </c>
    </row>
    <row r="35" spans="2:7">
      <c r="B35" s="248" t="s">
        <v>212</v>
      </c>
      <c r="C35" s="252">
        <f>('E-Costos'!B12-'E-Costos'!B31-'E-Costos'!G31)*InfoInicial!$B$3*'E-InvAT (Cálculos y links)'!$D$20/'E-InvAT (Cálculos y links)'!$D$21</f>
        <v>213.66919960768254</v>
      </c>
      <c r="D35" s="253">
        <f>('E-Costos'!C12-'E-Costos'!C31)*InfoInicial!$B$3*'E-InvAT (Cálculos y links)'!$E$20/'E-InvAT (Cálculos y links)'!$E$21</f>
        <v>212.45425127656958</v>
      </c>
      <c r="E35" s="253">
        <f>('E-Costos'!D12-'E-Costos'!D31)*InfoInicial!$B$3*'E-InvAT (Cálculos y links)'!$E$20/'E-InvAT (Cálculos y links)'!$E$21</f>
        <v>212.45425127656958</v>
      </c>
      <c r="F35" s="253">
        <f>('E-Costos'!E12-'E-Costos'!E31)*InfoInicial!$B$3*'E-InvAT (Cálculos y links)'!$E$20/'E-InvAT (Cálculos y links)'!$E$21</f>
        <v>213.95943504884195</v>
      </c>
      <c r="G35" s="254">
        <f>('E-Costos'!F12-'E-Costos'!F31)*InfoInicial!$B$3*'E-InvAT (Cálculos y links)'!$E$20/'E-InvAT (Cálculos y links)'!$E$21</f>
        <v>213.95943504884195</v>
      </c>
    </row>
    <row r="36" spans="2:7">
      <c r="B36" s="248" t="s">
        <v>213</v>
      </c>
      <c r="C36" s="252">
        <f>('E-Costos'!B13-'E-Costos'!B32-'E-Costos'!G32)*InfoInicial!$B$3*'E-InvAT (Cálculos y links)'!$D$20/'E-InvAT (Cálculos y links)'!$D$21</f>
        <v>768.20727860120235</v>
      </c>
      <c r="D36" s="253">
        <f>('E-Costos'!C13-'E-Costos'!C32)*InfoInicial!$B$3*'E-InvAT (Cálculos y links)'!$E$20/'E-InvAT (Cálculos y links)'!$E$21</f>
        <v>786.06894597327084</v>
      </c>
      <c r="E36" s="253">
        <f>('E-Costos'!D13-'E-Costos'!D32)*InfoInicial!$B$3*'E-InvAT (Cálculos y links)'!$E$20/'E-InvAT (Cálculos y links)'!$E$21</f>
        <v>786.06894597327084</v>
      </c>
      <c r="F36" s="253">
        <f>('E-Costos'!E13-'E-Costos'!E32)*InfoInicial!$B$3*'E-InvAT (Cálculos y links)'!$E$20/'E-InvAT (Cálculos y links)'!$E$21</f>
        <v>786.06894597327084</v>
      </c>
      <c r="G36" s="254">
        <f>('E-Costos'!F13-'E-Costos'!F32)*InfoInicial!$B$3*'E-InvAT (Cálculos y links)'!$E$20/'E-InvAT (Cálculos y links)'!$E$21</f>
        <v>786.06894597327084</v>
      </c>
    </row>
    <row r="37" spans="2:7">
      <c r="B37" s="248" t="s">
        <v>214</v>
      </c>
      <c r="C37" s="252">
        <f>('E-Costos'!B14-'E-Costos'!B33-'E-Costos'!G33)*InfoInicial!$B$3*'E-InvAT (Cálculos y links)'!$D$20/'E-InvAT (Cálculos y links)'!$D$21</f>
        <v>0</v>
      </c>
      <c r="D37" s="253">
        <f>('E-Costos'!C14-'E-Costos'!C33)*InfoInicial!$B$3*'E-InvAT (Cálculos y links)'!$E$20/'E-InvAT (Cálculos y links)'!$E$21</f>
        <v>0</v>
      </c>
      <c r="E37" s="253">
        <f>('E-Costos'!D14-'E-Costos'!D33)*InfoInicial!$B$3*'E-InvAT (Cálculos y links)'!$E$20/'E-InvAT (Cálculos y links)'!$E$21</f>
        <v>0</v>
      </c>
      <c r="F37" s="253">
        <f>('E-Costos'!E14-'E-Costos'!E33)*InfoInicial!$B$3*'E-InvAT (Cálculos y links)'!$E$20/'E-InvAT (Cálculos y links)'!$E$21</f>
        <v>0</v>
      </c>
      <c r="G37" s="254">
        <f>('E-Costos'!F14-'E-Costos'!F33)*InfoInicial!$B$3*'E-InvAT (Cálculos y links)'!$E$20/'E-InvAT (Cálculos y links)'!$E$21</f>
        <v>0</v>
      </c>
    </row>
    <row r="38" spans="2:7">
      <c r="B38" s="248" t="s">
        <v>267</v>
      </c>
      <c r="C38" s="252">
        <f>+SUM(C34:C37)</f>
        <v>7887.6887657950383</v>
      </c>
      <c r="D38" s="253">
        <f>+SUM(D34:D37)</f>
        <v>7913.5491623631824</v>
      </c>
      <c r="E38" s="253">
        <f>+SUM(E34:E37)</f>
        <v>7913.5491623631824</v>
      </c>
      <c r="F38" s="253">
        <f>+SUM(F34:F37)</f>
        <v>7915.0543461354555</v>
      </c>
      <c r="G38" s="254">
        <f>+SUM(G34:G37)</f>
        <v>7915.0543461354555</v>
      </c>
    </row>
    <row r="39" spans="2:7">
      <c r="B39" s="255" t="s">
        <v>510</v>
      </c>
      <c r="C39" s="256">
        <f>+C38</f>
        <v>7887.6887657950383</v>
      </c>
      <c r="D39" s="257">
        <f>+D38-C38</f>
        <v>25.860396568144097</v>
      </c>
      <c r="E39" s="257">
        <f>+E38-D38</f>
        <v>0</v>
      </c>
      <c r="F39" s="257">
        <f>+F38-E38</f>
        <v>1.5051837722730852</v>
      </c>
      <c r="G39" s="257">
        <f>+G38-F38</f>
        <v>0</v>
      </c>
    </row>
  </sheetData>
  <sheetProtection selectLockedCells="1" selectUnlockedCells="1"/>
  <mergeCells count="1">
    <mergeCell ref="C28:D28"/>
  </mergeCells>
  <hyperlinks>
    <hyperlink ref="F9" r:id="rId1" xr:uid="{00000000-0004-0000-0600-000000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J25"/>
  <sheetViews>
    <sheetView zoomScale="85" zoomScaleNormal="85" workbookViewId="0">
      <selection activeCell="F14" sqref="F14"/>
    </sheetView>
  </sheetViews>
  <sheetFormatPr defaultColWidth="11.28515625" defaultRowHeight="12.75"/>
  <cols>
    <col min="1" max="1" width="28" style="17" customWidth="1"/>
    <col min="2" max="2" width="13.85546875" style="17" customWidth="1"/>
    <col min="3" max="3" width="17.140625" style="17" customWidth="1"/>
    <col min="4" max="8" width="13.85546875" style="17" customWidth="1"/>
    <col min="9" max="9" width="17.140625" style="17" customWidth="1"/>
    <col min="10" max="10" width="17.28515625" style="17" customWidth="1"/>
    <col min="11" max="16384" width="11.28515625" style="17"/>
  </cols>
  <sheetData>
    <row r="1" spans="1:10">
      <c r="A1" s="1" t="s">
        <v>0</v>
      </c>
      <c r="B1"/>
      <c r="C1"/>
      <c r="D1"/>
      <c r="G1" s="2">
        <f>InfoInicial!E1</f>
        <v>7</v>
      </c>
    </row>
    <row r="3" spans="1:10" ht="15.75">
      <c r="A3" s="73" t="s">
        <v>511</v>
      </c>
      <c r="B3" s="74"/>
      <c r="C3" s="74"/>
      <c r="D3" s="74"/>
      <c r="E3" s="74"/>
      <c r="F3" s="74"/>
      <c r="G3" s="74"/>
      <c r="H3" s="74"/>
      <c r="I3" s="75"/>
    </row>
    <row r="4" spans="1:10" ht="25.5">
      <c r="A4" s="76" t="s">
        <v>201</v>
      </c>
      <c r="B4" s="258" t="s">
        <v>512</v>
      </c>
      <c r="C4" s="258" t="s">
        <v>513</v>
      </c>
      <c r="D4" s="22" t="s">
        <v>58</v>
      </c>
      <c r="E4" s="22" t="s">
        <v>202</v>
      </c>
      <c r="F4" s="22" t="s">
        <v>203</v>
      </c>
      <c r="G4" s="22" t="s">
        <v>204</v>
      </c>
      <c r="H4" s="259" t="s">
        <v>205</v>
      </c>
      <c r="I4" s="23" t="s">
        <v>514</v>
      </c>
    </row>
    <row r="5" spans="1:10">
      <c r="A5" s="190" t="s">
        <v>515</v>
      </c>
      <c r="B5" s="191"/>
      <c r="C5" s="191"/>
      <c r="D5" s="191"/>
      <c r="E5" s="191"/>
      <c r="F5" s="191"/>
      <c r="G5" s="191"/>
      <c r="H5" s="260"/>
      <c r="I5" s="192"/>
    </row>
    <row r="6" spans="1:10">
      <c r="A6" s="261" t="s">
        <v>516</v>
      </c>
      <c r="B6" s="81"/>
      <c r="C6" s="81">
        <f>'E-Inv AF y Am'!B20+'E-Inv AF y Am'!D20</f>
        <v>22588903.718550503</v>
      </c>
      <c r="D6" s="81"/>
      <c r="E6" s="81"/>
      <c r="F6" s="81"/>
      <c r="G6" s="81"/>
      <c r="H6" s="262"/>
      <c r="I6" s="82">
        <f t="shared" ref="I6:I8" si="0">SUM(B6:H6)</f>
        <v>22588903.718550503</v>
      </c>
    </row>
    <row r="7" spans="1:10">
      <c r="A7" s="261" t="s">
        <v>517</v>
      </c>
      <c r="B7" s="81">
        <f>'E-Inv AF y Am'!B23+'E-Inv AF y Am'!B23*InfoInicial!B15</f>
        <v>160950</v>
      </c>
      <c r="C7" s="81">
        <f>SUM('E-Inv AF y Am'!B24:B28)+SUM('E-Inv AF y Am'!B24:B28)*InfoInicial!B15</f>
        <v>1180300</v>
      </c>
      <c r="D7" s="81">
        <f>'E-Inv AF y Am'!C31</f>
        <v>160950</v>
      </c>
      <c r="E7" s="81"/>
      <c r="F7" s="81"/>
      <c r="G7" s="81"/>
      <c r="H7" s="262"/>
      <c r="I7" s="82">
        <f t="shared" si="0"/>
        <v>1502200</v>
      </c>
    </row>
    <row r="8" spans="1:10">
      <c r="A8" s="190" t="s">
        <v>518</v>
      </c>
      <c r="B8" s="81">
        <f>SUM(B6:B7)</f>
        <v>160950</v>
      </c>
      <c r="C8" s="81">
        <f>SUM(C6:C7)</f>
        <v>23769203.718550503</v>
      </c>
      <c r="D8" s="81">
        <f>SUM(D6:D7)</f>
        <v>160950</v>
      </c>
      <c r="E8" s="81"/>
      <c r="F8" s="81"/>
      <c r="G8" s="81"/>
      <c r="H8" s="262"/>
      <c r="I8" s="82">
        <f t="shared" si="0"/>
        <v>24091103.718550503</v>
      </c>
    </row>
    <row r="9" spans="1:10">
      <c r="A9" s="261"/>
      <c r="B9" s="107"/>
      <c r="C9" s="107"/>
      <c r="D9" s="107"/>
      <c r="E9" s="107"/>
      <c r="F9" s="107"/>
      <c r="G9" s="107"/>
      <c r="H9" s="263"/>
      <c r="I9" s="115"/>
    </row>
    <row r="10" spans="1:10">
      <c r="A10" s="190" t="s">
        <v>519</v>
      </c>
      <c r="B10" s="81"/>
      <c r="C10" s="81"/>
      <c r="D10" s="81"/>
      <c r="E10" s="81"/>
      <c r="F10" s="81"/>
      <c r="G10" s="81"/>
      <c r="H10" s="262"/>
      <c r="I10" s="82"/>
    </row>
    <row r="11" spans="1:10">
      <c r="A11" s="464" t="s">
        <v>520</v>
      </c>
      <c r="B11" s="465"/>
      <c r="C11" s="465">
        <f>'E-InvAT'!B6</f>
        <v>225600</v>
      </c>
      <c r="D11" s="465">
        <f>'E-InvAT'!C6-'E-InvAT'!B6</f>
        <v>56400</v>
      </c>
      <c r="E11" s="465">
        <f>'E-InvAT'!D6-'E-InvAT'!C6</f>
        <v>170000</v>
      </c>
      <c r="F11" s="465">
        <f>'E-InvAT'!E6-'E-InvAT'!D6</f>
        <v>0</v>
      </c>
      <c r="G11" s="465">
        <f>'E-InvAT'!F6-'E-InvAT'!E6</f>
        <v>0</v>
      </c>
      <c r="H11" s="466">
        <f>'E-InvAT'!G6-'E-InvAT'!F6</f>
        <v>0</v>
      </c>
      <c r="I11" s="467">
        <f t="shared" ref="I11:I12" si="1">SUM(B11:H11)</f>
        <v>452000</v>
      </c>
      <c r="J11" s="468" t="s">
        <v>773</v>
      </c>
    </row>
    <row r="12" spans="1:10">
      <c r="A12" s="261" t="s">
        <v>521</v>
      </c>
      <c r="B12" s="81">
        <v>0</v>
      </c>
      <c r="C12" s="81">
        <v>0</v>
      </c>
      <c r="D12" s="81">
        <f>+'E-InvAT'!C7-'E-InvAT'!C19-'E-InvAT'!C20</f>
        <v>786024.77940839902</v>
      </c>
      <c r="E12" s="81">
        <f>+'E-InvAT'!C19+'E-InvAT'!C20-'E-InvAT'!D19-'E-InvAT'!D20</f>
        <v>-301583.63537421788</v>
      </c>
      <c r="F12" s="81">
        <f>+'E-InvAT'!D19+'E-InvAT'!D20-'E-InvAT'!E19-'E-InvAT'!E20</f>
        <v>-607.9924152350286</v>
      </c>
      <c r="G12" s="81">
        <f>+'E-InvAT'!E19+'E-InvAT'!E20-'E-InvAT'!F19-'E-InvAT'!F20</f>
        <v>1473.4656063478906</v>
      </c>
      <c r="H12" s="81">
        <f>+'E-InvAT'!F19+'E-InvAT'!F20-'E-InvAT'!G19-'E-InvAT'!G20</f>
        <v>-19.612845877796644</v>
      </c>
      <c r="I12" s="82">
        <f t="shared" si="1"/>
        <v>485287.00437941623</v>
      </c>
    </row>
    <row r="13" spans="1:10">
      <c r="A13" s="190" t="s">
        <v>522</v>
      </c>
      <c r="B13" s="81"/>
      <c r="C13" s="81"/>
      <c r="D13" s="81"/>
      <c r="E13" s="81"/>
      <c r="F13" s="81"/>
      <c r="G13" s="81"/>
      <c r="H13" s="262"/>
      <c r="I13" s="82"/>
    </row>
    <row r="14" spans="1:10">
      <c r="A14" s="261" t="s">
        <v>523</v>
      </c>
      <c r="B14" s="81"/>
      <c r="C14" s="81">
        <f>'E-InvAT'!B10</f>
        <v>243797.21314061538</v>
      </c>
      <c r="D14" s="81">
        <f>'E-InvAT'!C10-'E-InvAT'!B10</f>
        <v>1734224.5668156925</v>
      </c>
      <c r="E14" s="81">
        <f>'E-InvAT'!D10-'E-InvAT'!C10</f>
        <v>1345148.917859077</v>
      </c>
      <c r="F14" s="81">
        <f>'E-InvAT'!E10-'E-InvAT'!D10</f>
        <v>0</v>
      </c>
      <c r="G14" s="81">
        <f>'E-InvAT'!F10-'E-InvAT'!E10</f>
        <v>0</v>
      </c>
      <c r="H14" s="262">
        <f>'E-InvAT'!G10-'E-InvAT'!F10</f>
        <v>0</v>
      </c>
      <c r="I14" s="82">
        <f t="shared" ref="I14:I17" si="2">SUM(B14:H14)</f>
        <v>3323170.6978153847</v>
      </c>
    </row>
    <row r="15" spans="1:10">
      <c r="A15" s="261" t="s">
        <v>524</v>
      </c>
      <c r="B15" s="81"/>
      <c r="C15" s="81">
        <f>'E-InvAT'!B11</f>
        <v>42081.315297685127</v>
      </c>
      <c r="D15" s="81">
        <f>'E-InvAT'!C11-'E-InvAT'!B11</f>
        <v>10520.328824421282</v>
      </c>
      <c r="E15" s="81">
        <f>'E-InvAT'!D11-'E-InvAT'!C11</f>
        <v>5844.6271246784891</v>
      </c>
      <c r="F15" s="81">
        <f>'E-InvAT'!E11-'E-InvAT'!D11</f>
        <v>0</v>
      </c>
      <c r="G15" s="81">
        <f>'E-InvAT'!F11-'E-InvAT'!E11</f>
        <v>372.72536599999876</v>
      </c>
      <c r="H15" s="262">
        <f>'E-InvAT'!G11-'E-InvAT'!F11</f>
        <v>0</v>
      </c>
      <c r="I15" s="82">
        <f t="shared" si="2"/>
        <v>58818.996612784897</v>
      </c>
    </row>
    <row r="16" spans="1:10">
      <c r="A16" s="261" t="s">
        <v>525</v>
      </c>
      <c r="B16" s="81"/>
      <c r="C16" s="81">
        <f>'E-InvAT'!B12</f>
        <v>0</v>
      </c>
      <c r="D16" s="81">
        <f>'E-InvAT'!C12-'E-InvAT'!B12</f>
        <v>161.74724635384618</v>
      </c>
      <c r="E16" s="81">
        <f>'E-InvAT'!D12-'E-InvAT'!C12</f>
        <v>0</v>
      </c>
      <c r="F16" s="81">
        <f>'E-InvAT'!E12-'E-InvAT'!D12</f>
        <v>0</v>
      </c>
      <c r="G16" s="81">
        <f>'E-InvAT'!F12-'E-InvAT'!E12</f>
        <v>0</v>
      </c>
      <c r="H16" s="262">
        <f>'E-InvAT'!G12-'E-InvAT'!F12</f>
        <v>0</v>
      </c>
      <c r="I16" s="82">
        <f t="shared" si="2"/>
        <v>161.74724635384618</v>
      </c>
    </row>
    <row r="17" spans="1:9">
      <c r="A17" s="261" t="s">
        <v>526</v>
      </c>
      <c r="B17" s="81"/>
      <c r="C17" s="81">
        <f>'E-InvAT'!B13</f>
        <v>0</v>
      </c>
      <c r="D17" s="81">
        <f>'E-InvAT'!C13-'E-InvAT'!B13</f>
        <v>31908.320417076924</v>
      </c>
      <c r="E17" s="81">
        <f>'E-InvAT'!D13-'E-InvAT'!C13</f>
        <v>44.112885369231662</v>
      </c>
      <c r="F17" s="81">
        <f>'E-InvAT'!E13-'E-InvAT'!D13</f>
        <v>0</v>
      </c>
      <c r="G17" s="81">
        <f>'E-InvAT'!F13-'E-InvAT'!E13</f>
        <v>0</v>
      </c>
      <c r="H17" s="262">
        <f>'E-InvAT'!G13-'E-InvAT'!F13</f>
        <v>0</v>
      </c>
      <c r="I17" s="82">
        <f t="shared" si="2"/>
        <v>31952.433302446156</v>
      </c>
    </row>
    <row r="18" spans="1:9">
      <c r="A18" s="190" t="s">
        <v>527</v>
      </c>
      <c r="B18" s="81"/>
      <c r="C18" s="81">
        <f t="shared" ref="C18:I18" si="3">SUM(C11:C17)</f>
        <v>511478.52843830048</v>
      </c>
      <c r="D18" s="81">
        <f t="shared" si="3"/>
        <v>2619239.7427119436</v>
      </c>
      <c r="E18" s="81">
        <f t="shared" si="3"/>
        <v>1219454.022494907</v>
      </c>
      <c r="F18" s="81">
        <f t="shared" si="3"/>
        <v>-607.9924152350286</v>
      </c>
      <c r="G18" s="81">
        <f t="shared" si="3"/>
        <v>1846.1909723478893</v>
      </c>
      <c r="H18" s="81">
        <f t="shared" si="3"/>
        <v>-19.612845877796644</v>
      </c>
      <c r="I18" s="81">
        <f t="shared" si="3"/>
        <v>4351390.8793563852</v>
      </c>
    </row>
    <row r="19" spans="1:9">
      <c r="A19" s="261"/>
      <c r="B19" s="107"/>
      <c r="C19" s="107"/>
      <c r="D19" s="107"/>
      <c r="E19" s="107"/>
      <c r="F19" s="107"/>
      <c r="G19" s="107"/>
      <c r="H19" s="263"/>
      <c r="I19" s="115"/>
    </row>
    <row r="20" spans="1:9">
      <c r="A20" s="190" t="s">
        <v>528</v>
      </c>
      <c r="B20" s="107"/>
      <c r="C20" s="107"/>
      <c r="D20" s="107"/>
      <c r="E20" s="107"/>
      <c r="F20" s="107"/>
      <c r="G20" s="107"/>
      <c r="H20" s="263"/>
      <c r="I20" s="115"/>
    </row>
    <row r="21" spans="1:9">
      <c r="A21" s="261" t="s">
        <v>529</v>
      </c>
      <c r="B21" s="81">
        <f>B8*InfoInicial!B3</f>
        <v>33799.5</v>
      </c>
      <c r="C21" s="81">
        <f>C8*InfoInicial!B3</f>
        <v>4991532.7808956057</v>
      </c>
      <c r="D21" s="81">
        <f>D8*InfoInicial!B3</f>
        <v>33799.5</v>
      </c>
      <c r="E21" s="81"/>
      <c r="F21" s="81"/>
      <c r="G21" s="81"/>
      <c r="H21" s="262"/>
      <c r="I21" s="82">
        <f>SUM(B21:H21)</f>
        <v>5059131.7808956057</v>
      </c>
    </row>
    <row r="22" spans="1:9">
      <c r="A22" s="261" t="s">
        <v>530</v>
      </c>
      <c r="B22" s="81">
        <f>InfoInicial!$B$3*'E-Cal Inv.'!B18</f>
        <v>0</v>
      </c>
      <c r="C22" s="81">
        <f>(C14+C15)*0.21</f>
        <v>60034.490972043095</v>
      </c>
      <c r="D22" s="81">
        <f t="shared" ref="D22:I22" si="4">(D14+D15+D16+D17)*0.21</f>
        <v>373131.14229374437</v>
      </c>
      <c r="E22" s="81">
        <f t="shared" si="4"/>
        <v>283717.90815251617</v>
      </c>
      <c r="F22" s="81">
        <f t="shared" si="4"/>
        <v>0</v>
      </c>
      <c r="G22" s="81">
        <f t="shared" si="4"/>
        <v>78.272326859999737</v>
      </c>
      <c r="H22" s="81">
        <f t="shared" si="4"/>
        <v>0</v>
      </c>
      <c r="I22" s="81">
        <f t="shared" si="4"/>
        <v>716961.81374516361</v>
      </c>
    </row>
    <row r="23" spans="1:9">
      <c r="A23" s="190" t="s">
        <v>531</v>
      </c>
      <c r="B23" s="81">
        <f t="shared" ref="B23:H23" si="5">SUM(B21:B22)</f>
        <v>33799.5</v>
      </c>
      <c r="C23" s="81">
        <f t="shared" si="5"/>
        <v>5051567.2718676487</v>
      </c>
      <c r="D23" s="81">
        <f t="shared" si="5"/>
        <v>406930.64229374437</v>
      </c>
      <c r="E23" s="81">
        <f t="shared" si="5"/>
        <v>283717.90815251617</v>
      </c>
      <c r="F23" s="81">
        <f t="shared" si="5"/>
        <v>0</v>
      </c>
      <c r="G23" s="81">
        <f t="shared" si="5"/>
        <v>78.272326859999737</v>
      </c>
      <c r="H23" s="81">
        <f t="shared" si="5"/>
        <v>0</v>
      </c>
      <c r="I23" s="82">
        <f>SUM(B23:H23)</f>
        <v>5776093.5946407691</v>
      </c>
    </row>
    <row r="24" spans="1:9">
      <c r="A24" s="190"/>
      <c r="B24" s="107"/>
      <c r="C24" s="107"/>
      <c r="D24" s="107"/>
      <c r="E24" s="107"/>
      <c r="F24" s="107"/>
      <c r="G24" s="107"/>
      <c r="H24" s="263"/>
      <c r="I24" s="115"/>
    </row>
    <row r="25" spans="1:9">
      <c r="A25" s="196" t="s">
        <v>532</v>
      </c>
      <c r="B25" s="96">
        <f t="shared" ref="B25:H25" si="6">B23+B18+B8</f>
        <v>194749.5</v>
      </c>
      <c r="C25" s="96">
        <f t="shared" si="6"/>
        <v>29332249.518856451</v>
      </c>
      <c r="D25" s="96">
        <f t="shared" si="6"/>
        <v>3187120.3850056878</v>
      </c>
      <c r="E25" s="96">
        <f t="shared" si="6"/>
        <v>1503171.9306474233</v>
      </c>
      <c r="F25" s="96">
        <f t="shared" si="6"/>
        <v>-607.9924152350286</v>
      </c>
      <c r="G25" s="96">
        <f t="shared" si="6"/>
        <v>1924.4632992078891</v>
      </c>
      <c r="H25" s="96">
        <f t="shared" si="6"/>
        <v>-19.612845877796644</v>
      </c>
      <c r="I25" s="264">
        <f>SUM(B25:H25)</f>
        <v>34218588.192547657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  <pageSetUpPr fitToPage="1"/>
  </sheetPr>
  <dimension ref="A1:I30"/>
  <sheetViews>
    <sheetView topLeftCell="A4" zoomScale="85" zoomScaleNormal="85" workbookViewId="0">
      <selection activeCell="D16" sqref="D16"/>
    </sheetView>
  </sheetViews>
  <sheetFormatPr defaultColWidth="11.28515625" defaultRowHeight="12.75"/>
  <cols>
    <col min="1" max="1" width="28" style="17" customWidth="1"/>
    <col min="2" max="2" width="16.140625" style="17" customWidth="1"/>
    <col min="3" max="3" width="16" style="17" customWidth="1"/>
    <col min="4" max="5" width="16.7109375" style="17" customWidth="1"/>
    <col min="6" max="7" width="16.140625" style="17" customWidth="1"/>
    <col min="8" max="8" width="24.5703125" style="17" customWidth="1"/>
    <col min="9" max="9" width="15" style="17" customWidth="1"/>
    <col min="10" max="16384" width="11.28515625" style="17"/>
  </cols>
  <sheetData>
    <row r="1" spans="1:9">
      <c r="A1" s="1" t="s">
        <v>0</v>
      </c>
      <c r="B1"/>
      <c r="C1"/>
      <c r="D1"/>
      <c r="G1" s="2">
        <f>InfoInicial!E1</f>
        <v>7</v>
      </c>
    </row>
    <row r="2" spans="1:9" ht="15.75">
      <c r="A2" s="265" t="s">
        <v>533</v>
      </c>
      <c r="B2" s="74"/>
      <c r="C2" s="74"/>
      <c r="D2" s="74"/>
      <c r="E2" s="74"/>
      <c r="F2" s="74"/>
      <c r="G2" s="75"/>
    </row>
    <row r="3" spans="1:9" ht="15.75">
      <c r="A3" s="266"/>
      <c r="B3" s="267" t="s">
        <v>534</v>
      </c>
      <c r="C3" s="267"/>
      <c r="D3" s="267"/>
      <c r="E3" s="267"/>
      <c r="F3" s="267"/>
      <c r="G3" s="268"/>
    </row>
    <row r="4" spans="1:9">
      <c r="A4" s="269" t="s">
        <v>201</v>
      </c>
      <c r="B4" s="258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9">
      <c r="A5" s="270" t="s">
        <v>535</v>
      </c>
      <c r="B5" s="271"/>
      <c r="C5" s="191"/>
      <c r="D5" s="191"/>
      <c r="E5" s="191"/>
      <c r="F5" s="191"/>
      <c r="G5" s="192"/>
    </row>
    <row r="6" spans="1:9">
      <c r="A6" s="272" t="s">
        <v>536</v>
      </c>
      <c r="C6" s="273">
        <f>'E-Costos'!B7*0.21</f>
        <v>480860.93855035381</v>
      </c>
      <c r="D6" s="273">
        <f>'E-Costos'!C7*0.21</f>
        <v>719222.8465412308</v>
      </c>
      <c r="E6" s="273">
        <f>'E-Costos'!D7*0.21</f>
        <v>719222.8465412308</v>
      </c>
      <c r="F6" s="273">
        <f>'E-Costos'!E7*0.21</f>
        <v>719222.8465412308</v>
      </c>
      <c r="G6" s="273">
        <f>'E-Costos'!F7*0.21</f>
        <v>719222.8465412308</v>
      </c>
    </row>
    <row r="7" spans="1:9">
      <c r="A7" s="272" t="s">
        <v>212</v>
      </c>
      <c r="B7" s="273"/>
      <c r="C7" s="81">
        <f>'E-Costos'!B12*0.21</f>
        <v>19886.904834786845</v>
      </c>
      <c r="D7" s="81">
        <f>'E-Costos'!C12*0.21</f>
        <v>22096.560927540941</v>
      </c>
      <c r="E7" s="81">
        <f>'E-Costos'!D12*0.21</f>
        <v>22096.560927540941</v>
      </c>
      <c r="F7" s="81">
        <f>'E-Costos'!E12*0.21</f>
        <v>22253.105581260937</v>
      </c>
      <c r="G7" s="81">
        <f>'E-Costos'!F12*0.21</f>
        <v>22253.105581260937</v>
      </c>
    </row>
    <row r="8" spans="1:9">
      <c r="A8" s="272" t="s">
        <v>213</v>
      </c>
      <c r="B8" s="273"/>
      <c r="C8" s="81">
        <f>'E-Costos'!B13*0.21</f>
        <v>50687.519884847999</v>
      </c>
      <c r="D8" s="81">
        <f>'E-Costos'!C13*0.21</f>
        <v>81754.064330400011</v>
      </c>
      <c r="E8" s="81">
        <f>'E-Costos'!D13*0.21</f>
        <v>81754.064330400011</v>
      </c>
      <c r="F8" s="81">
        <f>'E-Costos'!E13*0.21</f>
        <v>81754.064330400011</v>
      </c>
      <c r="G8" s="81">
        <f>'E-Costos'!F13*0.21</f>
        <v>81754.064330400011</v>
      </c>
    </row>
    <row r="9" spans="1:9">
      <c r="A9" s="272" t="s">
        <v>214</v>
      </c>
      <c r="B9" s="273"/>
      <c r="C9" s="81" t="s">
        <v>209</v>
      </c>
      <c r="D9" s="81" t="s">
        <v>209</v>
      </c>
      <c r="E9" s="81" t="s">
        <v>209</v>
      </c>
      <c r="F9" s="81" t="s">
        <v>209</v>
      </c>
      <c r="G9" s="81" t="s">
        <v>209</v>
      </c>
    </row>
    <row r="10" spans="1:9">
      <c r="A10" s="274" t="s">
        <v>537</v>
      </c>
      <c r="B10" s="275"/>
      <c r="C10" s="276">
        <f>+'E-Costos'!B16*InfoInicial!$B$3</f>
        <v>0</v>
      </c>
      <c r="D10" s="276">
        <f>+'E-Costos'!C16*InfoInicial!$B$3</f>
        <v>0</v>
      </c>
      <c r="E10" s="276">
        <f>+'E-Costos'!D16*InfoInicial!$B$3</f>
        <v>0</v>
      </c>
      <c r="F10" s="276">
        <f>+'E-Costos'!E16*InfoInicial!$B$3</f>
        <v>0</v>
      </c>
      <c r="G10" s="276">
        <f>+'E-Costos'!F16*InfoInicial!$B$3</f>
        <v>0</v>
      </c>
    </row>
    <row r="11" spans="1:9">
      <c r="A11" s="274" t="s">
        <v>239</v>
      </c>
      <c r="B11" s="275"/>
      <c r="C11" s="276">
        <f>+'E-Costos'!B15*InfoInicial!$B$3</f>
        <v>56250.788579999993</v>
      </c>
      <c r="D11" s="276">
        <f>+'E-Costos'!C15*InfoInicial!$B$3</f>
        <v>56250.788579999993</v>
      </c>
      <c r="E11" s="276">
        <f>+'E-Costos'!D15*InfoInicial!$B$3</f>
        <v>56250.788579999993</v>
      </c>
      <c r="F11" s="276">
        <f>+'E-Costos'!E15*InfoInicial!$B$3</f>
        <v>56250.788579999993</v>
      </c>
      <c r="G11" s="276">
        <f>+'E-Costos'!F15*InfoInicial!$B$3</f>
        <v>56250.788579999993</v>
      </c>
    </row>
    <row r="12" spans="1:9">
      <c r="A12" s="277" t="s">
        <v>93</v>
      </c>
      <c r="B12" s="273"/>
      <c r="C12" s="81">
        <f>SUM(C6:C9)</f>
        <v>551435.36326998868</v>
      </c>
      <c r="D12" s="81">
        <f>SUM(D6:D9)</f>
        <v>823073.47179917176</v>
      </c>
      <c r="E12" s="81">
        <f>SUM(E6:E9)</f>
        <v>823073.47179917176</v>
      </c>
      <c r="F12" s="81">
        <f>SUM(F6:F9)</f>
        <v>823230.01645289175</v>
      </c>
      <c r="G12" s="81">
        <f>SUM(G6:G9)</f>
        <v>823230.01645289175</v>
      </c>
    </row>
    <row r="13" spans="1:9">
      <c r="A13" s="272" t="s">
        <v>538</v>
      </c>
      <c r="B13" s="273"/>
      <c r="C13" s="81">
        <f>-I13*0.21</f>
        <v>-30958.075095976616</v>
      </c>
      <c r="D13" s="81" t="s">
        <v>209</v>
      </c>
      <c r="E13" s="81" t="s">
        <v>209</v>
      </c>
      <c r="F13" s="81" t="s">
        <v>209</v>
      </c>
      <c r="G13" s="81" t="s">
        <v>209</v>
      </c>
      <c r="H13" s="272" t="s">
        <v>539</v>
      </c>
      <c r="I13" s="17">
        <f>SUM('E-Costos'!G26,'E-Costos'!G31)</f>
        <v>147419.40521893627</v>
      </c>
    </row>
    <row r="14" spans="1:9">
      <c r="A14" s="272" t="s">
        <v>540</v>
      </c>
      <c r="B14" s="278"/>
      <c r="C14" s="107"/>
      <c r="D14" s="107"/>
      <c r="E14" s="107"/>
      <c r="F14" s="107"/>
      <c r="G14" s="115"/>
      <c r="H14" s="272" t="s">
        <v>540</v>
      </c>
    </row>
    <row r="15" spans="1:9">
      <c r="A15" s="272" t="s">
        <v>541</v>
      </c>
      <c r="B15" s="273"/>
      <c r="C15" s="81">
        <f>-'E-IVA (Cálculos)'!B20</f>
        <v>-34.688181536723079</v>
      </c>
      <c r="D15" s="81">
        <f>-'E-IVA (Cálculos)'!C20</f>
        <v>-0.53663462574279919</v>
      </c>
      <c r="E15" s="81">
        <f>-'E-IVA (Cálculos)'!D20</f>
        <v>0</v>
      </c>
      <c r="F15" s="81">
        <f>-'E-IVA (Cálculos)'!E20</f>
        <v>0</v>
      </c>
      <c r="G15" s="81">
        <f>-'E-IVA (Cálculos)'!F20</f>
        <v>0</v>
      </c>
    </row>
    <row r="16" spans="1:9">
      <c r="A16" s="272" t="s">
        <v>542</v>
      </c>
      <c r="B16" s="273"/>
      <c r="C16" s="81">
        <f>-'E-IVA (Cálculos)'!B29</f>
        <v>-1656.4146408169581</v>
      </c>
      <c r="D16" s="81">
        <f>-'E-IVA (Cálculos)'!C30</f>
        <v>-5.4306832793101876</v>
      </c>
      <c r="E16" s="81">
        <f>-'E-IVA (Cálculos)'!D30</f>
        <v>0</v>
      </c>
      <c r="F16" s="81">
        <f>-'E-IVA (Cálculos)'!E30</f>
        <v>-0.31608859217726604</v>
      </c>
      <c r="G16" s="81">
        <f>-'E-IVA (Cálculos)'!F30</f>
        <v>0</v>
      </c>
    </row>
    <row r="17" spans="1:7">
      <c r="A17" s="277" t="s">
        <v>543</v>
      </c>
      <c r="B17" s="273"/>
      <c r="C17" s="116">
        <f>SUM(C12:C16)</f>
        <v>518786.18535165838</v>
      </c>
      <c r="D17" s="116">
        <f>SUM(D12:D16)</f>
        <v>823067.50448126672</v>
      </c>
      <c r="E17" s="116">
        <f>SUM(E12:E16)</f>
        <v>823073.47179917176</v>
      </c>
      <c r="F17" s="116">
        <f>SUM(F12:F16)</f>
        <v>823229.70036429958</v>
      </c>
      <c r="G17" s="116">
        <f>SUM(G12:G16)</f>
        <v>823230.01645289175</v>
      </c>
    </row>
    <row r="18" spans="1:7">
      <c r="A18" s="277" t="s">
        <v>544</v>
      </c>
      <c r="B18" s="273"/>
      <c r="C18" s="116">
        <f>'E-IVA (Cálculos)'!I16</f>
        <v>40062.514742732048</v>
      </c>
      <c r="D18" s="116">
        <f>'E-IVA (Cálculos)'!J16</f>
        <v>50184.580945915608</v>
      </c>
      <c r="E18" s="116">
        <f>'E-IVA (Cálculos)'!K16</f>
        <v>50184.580945915608</v>
      </c>
      <c r="F18" s="116">
        <f>'E-IVA (Cálculos)'!L16</f>
        <v>50184.580945915608</v>
      </c>
      <c r="G18" s="116">
        <f>'E-IVA (Cálculos)'!M16</f>
        <v>50184.580945915608</v>
      </c>
    </row>
    <row r="19" spans="1:7">
      <c r="A19" s="277" t="s">
        <v>545</v>
      </c>
      <c r="B19" s="273"/>
      <c r="C19" s="116">
        <f>'E-IVA (Cálculos)'!I34</f>
        <v>44163.892488591031</v>
      </c>
      <c r="D19" s="116">
        <f>'E-IVA (Cálculos)'!J34</f>
        <v>53925.000663536703</v>
      </c>
      <c r="E19" s="116">
        <f>'E-IVA (Cálculos)'!K34</f>
        <v>53925.000663536703</v>
      </c>
      <c r="F19" s="116">
        <f>'E-IVA (Cálculos)'!L34</f>
        <v>53925.000663536703</v>
      </c>
      <c r="G19" s="116">
        <f>'E-IVA (Cálculos)'!M34</f>
        <v>53925.000663536703</v>
      </c>
    </row>
    <row r="20" spans="1:7">
      <c r="A20" s="277"/>
      <c r="B20" s="278"/>
      <c r="C20" s="107"/>
      <c r="D20" s="107"/>
      <c r="E20" s="107"/>
      <c r="F20" s="107"/>
      <c r="G20" s="115"/>
    </row>
    <row r="21" spans="1:7">
      <c r="A21" s="272" t="s">
        <v>546</v>
      </c>
      <c r="B21" s="273"/>
      <c r="C21" s="81">
        <f>SUM(C17:C19)</f>
        <v>603012.59258298145</v>
      </c>
      <c r="D21" s="81">
        <f>SUM(D17:D19)</f>
        <v>927177.08609071909</v>
      </c>
      <c r="E21" s="81">
        <f>SUM(E17:E19)</f>
        <v>927183.05340862414</v>
      </c>
      <c r="F21" s="81">
        <f>SUM(F17:F19)</f>
        <v>927339.28197375196</v>
      </c>
      <c r="G21" s="81">
        <f>SUM(G17:G19)</f>
        <v>927339.59806234413</v>
      </c>
    </row>
    <row r="22" spans="1:7">
      <c r="A22" s="272" t="s">
        <v>547</v>
      </c>
      <c r="B22" s="273"/>
      <c r="C22" s="81">
        <f>+'E-Costos'!B89*InfoInicial!$B$3</f>
        <v>2961000</v>
      </c>
      <c r="D22" s="81">
        <f>+'E-Costos'!C89*InfoInicial!$B$3</f>
        <v>4746000</v>
      </c>
      <c r="E22" s="81">
        <f>+'E-Costos'!D89*InfoInicial!$B$3</f>
        <v>4746000</v>
      </c>
      <c r="F22" s="81">
        <f>+'E-Costos'!E89*InfoInicial!$B$3</f>
        <v>4746000</v>
      </c>
      <c r="G22" s="81">
        <f>+'E-Costos'!F89*InfoInicial!$B$3</f>
        <v>4746000</v>
      </c>
    </row>
    <row r="23" spans="1:7">
      <c r="A23" s="277" t="s">
        <v>548</v>
      </c>
      <c r="B23" s="273"/>
      <c r="C23" s="81">
        <f>+C22-C21</f>
        <v>2357987.4074170184</v>
      </c>
      <c r="D23" s="81">
        <f>+D22-D21</f>
        <v>3818822.9139092807</v>
      </c>
      <c r="E23" s="81">
        <f>+E22-E21</f>
        <v>3818816.9465913759</v>
      </c>
      <c r="F23" s="81">
        <f>+F22-F21</f>
        <v>3818660.7180262478</v>
      </c>
      <c r="G23" s="81">
        <f>+G22-G21</f>
        <v>3818660.4019376561</v>
      </c>
    </row>
    <row r="24" spans="1:7">
      <c r="A24" s="272"/>
      <c r="B24" s="278"/>
      <c r="C24" s="107"/>
      <c r="D24" s="107"/>
      <c r="E24" s="107"/>
      <c r="F24" s="107"/>
      <c r="G24" s="115"/>
    </row>
    <row r="25" spans="1:7">
      <c r="A25" s="279" t="s">
        <v>549</v>
      </c>
      <c r="B25" s="273"/>
      <c r="C25" s="81">
        <f>B27</f>
        <v>5085366.7718676487</v>
      </c>
      <c r="D25" s="81">
        <f>C27</f>
        <v>3134310.006744375</v>
      </c>
      <c r="E25" s="81">
        <f>D27</f>
        <v>0</v>
      </c>
      <c r="F25" s="81">
        <f>E27</f>
        <v>0</v>
      </c>
      <c r="G25" s="81">
        <f>F27</f>
        <v>0</v>
      </c>
    </row>
    <row r="26" spans="1:7">
      <c r="A26" s="279" t="s">
        <v>550</v>
      </c>
      <c r="B26" s="273">
        <f>'E-Cal Inv.'!B23+'E-Cal Inv.'!C23</f>
        <v>5085366.7718676487</v>
      </c>
      <c r="C26" s="81">
        <f>'E-Cal Inv.'!D23</f>
        <v>406930.64229374437</v>
      </c>
      <c r="D26" s="81">
        <f>'E-Cal Inv.'!E23</f>
        <v>283717.90815251617</v>
      </c>
      <c r="E26" s="81">
        <f>'E-Cal Inv.'!F23</f>
        <v>0</v>
      </c>
      <c r="F26" s="81">
        <f>'E-Cal Inv.'!G23</f>
        <v>78.272326859999737</v>
      </c>
      <c r="G26" s="81">
        <f>'E-Cal Inv.'!H23</f>
        <v>0</v>
      </c>
    </row>
    <row r="27" spans="1:7">
      <c r="A27" s="277" t="s">
        <v>551</v>
      </c>
      <c r="B27" s="273">
        <f>B26</f>
        <v>5085366.7718676487</v>
      </c>
      <c r="C27" s="280">
        <f>IF(C23&lt;SUM(C25:C26),SUM(C25:C26)-C23,0)</f>
        <v>3134310.006744375</v>
      </c>
      <c r="D27" s="280">
        <f>IF(D23&lt;SUM(D25:D26),SUM(D25:D26)-D23,0)</f>
        <v>0</v>
      </c>
      <c r="E27" s="280">
        <f>IF(E23&lt;SUM(E25:E26),SUM(E25:E26)-E23,0)</f>
        <v>0</v>
      </c>
      <c r="F27" s="280">
        <f>IF(F23&lt;SUM(F25:F26),SUM(F25:F26)-F23,0)</f>
        <v>0</v>
      </c>
      <c r="G27" s="280">
        <f>IF(G23&lt;SUM(G25:G26),SUM(G25:G26)-G23,0)</f>
        <v>0</v>
      </c>
    </row>
    <row r="28" spans="1:7">
      <c r="A28" s="277" t="s">
        <v>552</v>
      </c>
      <c r="B28" s="273">
        <v>0</v>
      </c>
      <c r="C28" s="81">
        <f>+C25+C26-C27</f>
        <v>2357987.4074170184</v>
      </c>
      <c r="D28" s="81">
        <f>+D25+D26-D27</f>
        <v>3418027.914896891</v>
      </c>
      <c r="E28" s="81">
        <f>+E25+E26-E27</f>
        <v>0</v>
      </c>
      <c r="F28" s="81">
        <f>+F25+F26-F27</f>
        <v>78.272326859999737</v>
      </c>
      <c r="G28" s="81">
        <f>+G25+G26-G27</f>
        <v>0</v>
      </c>
    </row>
    <row r="29" spans="1:7">
      <c r="A29" s="272"/>
      <c r="B29" s="278"/>
      <c r="C29" s="107"/>
      <c r="D29" s="107"/>
      <c r="E29" s="107"/>
      <c r="F29" s="107"/>
      <c r="G29" s="115"/>
    </row>
    <row r="30" spans="1:7">
      <c r="A30" s="281" t="s">
        <v>553</v>
      </c>
      <c r="B30" s="282">
        <f t="shared" ref="B30:G30" si="0">+B23-B28</f>
        <v>0</v>
      </c>
      <c r="C30" s="282">
        <f t="shared" si="0"/>
        <v>0</v>
      </c>
      <c r="D30" s="282">
        <f t="shared" si="0"/>
        <v>400794.99901238969</v>
      </c>
      <c r="E30" s="282">
        <f t="shared" si="0"/>
        <v>3818816.9465913759</v>
      </c>
      <c r="F30" s="282">
        <f t="shared" si="0"/>
        <v>3818582.4456993877</v>
      </c>
      <c r="G30" s="282">
        <f t="shared" si="0"/>
        <v>3818660.4019376561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InfoInicial</vt:lpstr>
      <vt:lpstr>E-Inv AF y Am</vt:lpstr>
      <vt:lpstr>E-Inv AF y Am(Cálculos y links)</vt:lpstr>
      <vt:lpstr>E-Costos</vt:lpstr>
      <vt:lpstr>E-Costos (Cálculos y links)</vt:lpstr>
      <vt:lpstr>E-InvAT</vt:lpstr>
      <vt:lpstr>E-InvAT (Cálculos y links)</vt:lpstr>
      <vt:lpstr>E-Cal Inv.</vt:lpstr>
      <vt:lpstr>E-IVA </vt:lpstr>
      <vt:lpstr>E-IVA (Cálculos)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Adjunto Créditos</vt:lpstr>
      <vt:lpstr>'E-Costos'!Print_Area</vt:lpstr>
      <vt:lpstr>'F- CFyU'!Print_Area</vt:lpstr>
      <vt:lpstr>'F-Balance'!Print_Area</vt:lpstr>
      <vt:lpstr>'F-Cred'!Print_Area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 Tettamanti</dc:creator>
  <cp:lastModifiedBy>Rama</cp:lastModifiedBy>
  <dcterms:created xsi:type="dcterms:W3CDTF">2018-11-23T17:11:27Z</dcterms:created>
  <dcterms:modified xsi:type="dcterms:W3CDTF">2018-11-25T20:19:52Z</dcterms:modified>
</cp:coreProperties>
</file>