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foInicial" sheetId="1" r:id="rId3"/>
    <sheet state="visible" name="Calculos auxiliares" sheetId="2" r:id="rId4"/>
    <sheet state="visible" name="E-Costos" sheetId="3" r:id="rId5"/>
    <sheet state="visible" name="E-Inv AF y Am" sheetId="4" r:id="rId6"/>
    <sheet state="visible" name="E-InvAT" sheetId="5" r:id="rId7"/>
    <sheet state="visible" name="E-IVA " sheetId="6" r:id="rId8"/>
    <sheet state="visible" name="E-Cal Inv." sheetId="7" r:id="rId9"/>
    <sheet state="visible" name="E-Form" sheetId="8" r:id="rId10"/>
    <sheet state="visible" name="Apertura Financiera" sheetId="9" r:id="rId11"/>
    <sheet state="visible" name="F-Cred" sheetId="10" r:id="rId12"/>
    <sheet state="visible" name="F-CRes" sheetId="11" r:id="rId13"/>
    <sheet state="visible" name="F-2 Estructura" sheetId="12" r:id="rId14"/>
    <sheet state="visible" name="F-IVA" sheetId="13" r:id="rId15"/>
    <sheet state="visible" name="F- CFyU" sheetId="14" r:id="rId16"/>
    <sheet state="visible" name="F-Balance" sheetId="15" r:id="rId17"/>
    <sheet state="visible" name="F- Form" sheetId="16" r:id="rId18"/>
  </sheets>
  <definedNames/>
  <calcPr/>
</workbook>
</file>

<file path=xl/sharedStrings.xml><?xml version="1.0" encoding="utf-8"?>
<sst xmlns="http://schemas.openxmlformats.org/spreadsheetml/2006/main" count="1201" uniqueCount="726">
  <si>
    <t>ESTA PLANILLA PUEDE SER UTILIZADA SOLAMENTE PARA EL TRABAJO PRACTICO:</t>
  </si>
  <si>
    <t>Bienes de Uso</t>
  </si>
  <si>
    <t>Reglas y consideraciones a tener en cuenta antes de entregar para corregir</t>
  </si>
  <si>
    <t>Terreno</t>
  </si>
  <si>
    <t>Valor USD</t>
  </si>
  <si>
    <t>Tasa porcentual de IVA</t>
  </si>
  <si>
    <t>Valor $</t>
  </si>
  <si>
    <t>Terreno. Tres de Feb.</t>
  </si>
  <si>
    <r>
      <rPr>
        <rFont val="Arial"/>
        <color rgb="FFFFFFFF"/>
        <sz val="10.0"/>
      </rPr>
      <t xml:space="preserve">1. TODAS las celdas que tomen datos de otra parte del archivo deben estar referenciadas con una </t>
    </r>
    <r>
      <rPr>
        <rFont val="Arial"/>
        <b/>
        <color rgb="FFFFFFFF"/>
        <sz val="10.0"/>
      </rPr>
      <t>FÓRMULA</t>
    </r>
    <r>
      <rPr>
        <rFont val="Arial"/>
        <color rgb="FFFFFFFF"/>
        <sz val="10.0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</si>
  <si>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</si>
  <si>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https://www.argenprop.com/Propiedades/Detalles/9567066--Terreno-en-Venta-en-Pdo.-de-Tres-De-Febrero?ViewNameResult=VistaResultados</t>
  </si>
  <si>
    <t>Honorarios al Directorio</t>
  </si>
  <si>
    <t>Variable sobre Utilidad económica antes de HD e IG</t>
  </si>
  <si>
    <t>Edificio</t>
  </si>
  <si>
    <t>Valor $/m2</t>
  </si>
  <si>
    <t>Tiempo de Amortización Activos Fijos:</t>
  </si>
  <si>
    <t>Se considera una depreciación lineal y un valor residual nulo</t>
  </si>
  <si>
    <r>
      <rPr>
        <rFont val="Arial"/>
        <b/>
        <color rgb="FFFFFFFF"/>
        <sz val="10.0"/>
      </rPr>
      <t>2. TODOS</t>
    </r>
    <r>
      <rPr>
        <rFont val="Arial"/>
        <color rgb="FFFFFFFF"/>
        <sz val="10.0"/>
      </rPr>
      <t xml:space="preserve"> los valores que se ingresen al archivo por primera vez deben tener su respectiva referencia o </t>
    </r>
    <r>
      <rPr>
        <rFont val="Arial"/>
        <b/>
        <color rgb="FFFFFFFF"/>
        <sz val="10.0"/>
      </rPr>
      <t>FUENTE</t>
    </r>
    <r>
      <rPr>
        <rFont val="Arial"/>
        <color rgb="FFFFFFFF"/>
        <sz val="10.0"/>
      </rPr>
      <t xml:space="preserve"> (ej. cálculos auxiliares en otra hoja, links, etc.)</t>
    </r>
  </si>
  <si>
    <t xml:space="preserve">    edificios y obras complementarias</t>
  </si>
  <si>
    <t>http://www.copaipa.org.ar/costos-de-la-construccion/</t>
  </si>
  <si>
    <t>Maquinarias</t>
  </si>
  <si>
    <t>Cantidad</t>
  </si>
  <si>
    <t>Valor Total</t>
  </si>
  <si>
    <t>Cortadora</t>
  </si>
  <si>
    <t>años</t>
  </si>
  <si>
    <t xml:space="preserve">    instalaciones industriales</t>
  </si>
  <si>
    <r>
      <rPr>
        <rFont val="Arial"/>
        <b/>
        <color rgb="FFFFFFFF"/>
        <sz val="10.0"/>
      </rPr>
      <t>3.</t>
    </r>
    <r>
      <rPr>
        <rFont val="Arial"/>
        <color rgb="FFFFFFFF"/>
        <sz val="10.0"/>
      </rPr>
      <t xml:space="preserve"> Los datos utilizados tienen que tener concordancia con los dimensionamientos anteriores.</t>
    </r>
  </si>
  <si>
    <t xml:space="preserve">    máquinas, equipos y accesorios</t>
  </si>
  <si>
    <r>
      <rPr>
        <rFont val="Arial"/>
        <b/>
        <color rgb="FFFFFFFF"/>
        <sz val="10.0"/>
      </rPr>
      <t>4.</t>
    </r>
    <r>
      <rPr>
        <rFont val="Arial"/>
        <color rgb="FFFFFFFF"/>
        <sz val="10.0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</si>
  <si>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</si>
  <si>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</si>
  <si>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rFont val="Arial"/>
        <b/>
        <color rgb="FFFFFFFF"/>
        <sz val="10.0"/>
      </rPr>
      <t xml:space="preserve">5. </t>
    </r>
    <r>
      <rPr>
        <rFont val="Arial"/>
        <color rgb="FFFFFFFF"/>
        <sz val="10.0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</si>
  <si>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</si>
  <si>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</si>
  <si>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</si>
  <si>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</si>
  <si>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Cuadresa (Hamburguesa cuadrada)</t>
  </si>
  <si>
    <t>https://articulo.mercadolibre.com.ar/MLA-677029584-sierra-carnicera-carnic-2400-p-_JM</t>
  </si>
  <si>
    <t xml:space="preserve">Picadora </t>
  </si>
  <si>
    <t>Ventas Anuales Promedio</t>
  </si>
  <si>
    <t>https://articulo.mercadolibre.com.ar/MLA-616070065-picadora-de-carne-industrial-fineschi-n42-3hp-trifasica-_JM</t>
  </si>
  <si>
    <t xml:space="preserve">Mezcladora </t>
  </si>
  <si>
    <t>en Unidades</t>
  </si>
  <si>
    <t>(Referenica Dim. Comercial)</t>
  </si>
  <si>
    <t>Precio Promedio</t>
  </si>
  <si>
    <t>en $</t>
  </si>
  <si>
    <t xml:space="preserve">Cantidad de personal total </t>
  </si>
  <si>
    <t>en Producción</t>
  </si>
  <si>
    <t>personas</t>
  </si>
  <si>
    <t>(Referencia Dim. Tecnico)</t>
  </si>
  <si>
    <t>en Comercialización</t>
  </si>
  <si>
    <t>en Administración</t>
  </si>
  <si>
    <t>Tamaño de la planta en metros cuadrados</t>
  </si>
  <si>
    <t>m2</t>
  </si>
  <si>
    <t>(Referencia Dim. Tecnico, calculo area planta)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</si>
  <si>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</si>
  <si>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</si>
  <si>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</si>
  <si>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</si>
  <si>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</si>
  <si>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</si>
  <si>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</si>
  <si>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https://articulo.mercadolibre.com.ar/MLA-622785435-mezcladora-de-carne-190-lts-fineschi-acero-2-eje-trifasica-_JM</t>
  </si>
  <si>
    <t>Formadora</t>
  </si>
  <si>
    <t>anual</t>
  </si>
  <si>
    <t>Año 6</t>
  </si>
  <si>
    <t>Rubro a financiar</t>
  </si>
  <si>
    <t>Rodados, Máquinas y Edificio</t>
  </si>
  <si>
    <t>https://articulo.mercadolibre.com.ar/MLA-718928314-formadora-de-hamburguesas-gesame-mh-100-_JM</t>
  </si>
  <si>
    <t>Empaquetadora</t>
  </si>
  <si>
    <t>% sobre el total del Rubro</t>
  </si>
  <si>
    <t>Dias de Financiación de Proveedores</t>
  </si>
  <si>
    <t>% sobre Compras</t>
  </si>
  <si>
    <t>https://articulo.mercadolibre.com.ar/MLA-603509546-envasadora-flow-pack-jake-sd-_JM</t>
  </si>
  <si>
    <t>Camara Frigorifica</t>
  </si>
  <si>
    <t>Tasa de financiación</t>
  </si>
  <si>
    <t>https://articulo.mercadolibre.com.ar/MLA-746043948-camara-frigorifica-2x4x25-paneles-de-33-puerta-3hp-frances-_JM</t>
  </si>
  <si>
    <t xml:space="preserve">Rodados </t>
  </si>
  <si>
    <t>camiones</t>
  </si>
  <si>
    <t>https://vehiculo.mercadolibre.com.ar/MLA-721406783-mercedes-benz-1215-furgon-termico-1995-forcam-_JM</t>
  </si>
  <si>
    <t>Consumo combustible</t>
  </si>
  <si>
    <t>Año 2 a 5</t>
  </si>
  <si>
    <t>Considerando que el 6l de nafta rinden 50km y cuestan $33</t>
  </si>
  <si>
    <t>Año 1</t>
  </si>
  <si>
    <t>año 1:20000km aprox, del 2 al 5: 30000km</t>
  </si>
  <si>
    <t>Muebles y útiles</t>
  </si>
  <si>
    <t>Sector Admin</t>
  </si>
  <si>
    <t>Sector Comercial</t>
  </si>
  <si>
    <t>Sector Producción</t>
  </si>
  <si>
    <t>Escritorios</t>
  </si>
  <si>
    <t>ESTA PLANILLA PUEDE SER UTILIZADA SOLAMENTE PARA EL TRABAJO PRACTICO</t>
  </si>
  <si>
    <t>Inversión Inicial en Activo Fijo</t>
  </si>
  <si>
    <t>Gasto interno (en $)</t>
  </si>
  <si>
    <t>Sillas</t>
  </si>
  <si>
    <t>Gasto Externo (en $)</t>
  </si>
  <si>
    <t>Año 0</t>
  </si>
  <si>
    <t>Computadora</t>
  </si>
  <si>
    <t>Aire acondicionado</t>
  </si>
  <si>
    <t>a) Bienes de Uso</t>
  </si>
  <si>
    <t>Cesto de basura</t>
  </si>
  <si>
    <t>Terreno y sus mejoras</t>
  </si>
  <si>
    <t xml:space="preserve">Pizzara </t>
  </si>
  <si>
    <t>Edificio y obras complementarias</t>
  </si>
  <si>
    <t>Matafuego</t>
  </si>
  <si>
    <t>Instalaciones industriales</t>
  </si>
  <si>
    <t>Máquinas operativas</t>
  </si>
  <si>
    <t xml:space="preserve">    importadas, valor FOB, con repuestos</t>
  </si>
  <si>
    <t>Botiquin primeros auxilios</t>
  </si>
  <si>
    <t xml:space="preserve">    nacionales, precio en fábrica del proveedor</t>
  </si>
  <si>
    <t>Gastos conexos a la importación de maquinaria</t>
  </si>
  <si>
    <t>Señalizaciones varias</t>
  </si>
  <si>
    <t xml:space="preserve">Reloj de pared </t>
  </si>
  <si>
    <t>Transporte y montaje de la maquinaria</t>
  </si>
  <si>
    <t>Caja de herramientas</t>
  </si>
  <si>
    <t>Rodados y equipos auxiliares</t>
  </si>
  <si>
    <t>Infraestructura en predio propio</t>
  </si>
  <si>
    <t xml:space="preserve">Articulos de limpieza </t>
  </si>
  <si>
    <t xml:space="preserve">Articulos de higiene </t>
  </si>
  <si>
    <t>Calzado de seguridad</t>
  </si>
  <si>
    <t>Total Bienes de uso</t>
  </si>
  <si>
    <t>Indumentaria de trabajo</t>
  </si>
  <si>
    <t>Guantes de manipulación</t>
  </si>
  <si>
    <t>Kit proteccion auditivo</t>
  </si>
  <si>
    <t>Lentes de proteccion</t>
  </si>
  <si>
    <t>Zorras</t>
  </si>
  <si>
    <t>b) Gastos asimilables o cargos diferidos</t>
  </si>
  <si>
    <t>Banco para operarios</t>
  </si>
  <si>
    <t>Impresora</t>
  </si>
  <si>
    <t>Investigaciones y estudios</t>
  </si>
  <si>
    <t>24 Lucas da 5 lotes (800kilos)</t>
  </si>
  <si>
    <t>Constitución y organización de la empresa</t>
  </si>
  <si>
    <t>Gastos de Admin. e Ing. En en período de Instalación</t>
  </si>
  <si>
    <t xml:space="preserve">Cofia </t>
  </si>
  <si>
    <t>Gastos de puesta en marcha (AL AÑO 1)</t>
  </si>
  <si>
    <t>Barbijos</t>
  </si>
  <si>
    <t>Patentes y Licencias</t>
  </si>
  <si>
    <t>Estanteria archivadora</t>
  </si>
  <si>
    <t>http://www.anmat.gov.ar/boletin_anmat/BO/Disposicion_1607-2016.pdf</t>
  </si>
  <si>
    <t>Infraestructura en predio ajeno</t>
  </si>
  <si>
    <t xml:space="preserve">Articulos librería </t>
  </si>
  <si>
    <t>Fichadores</t>
  </si>
  <si>
    <t>Total gastos asimilables o cargos diferidos</t>
  </si>
  <si>
    <t>c) Total Inversiones iniciales Activo Fijo, sin IVA</t>
  </si>
  <si>
    <t xml:space="preserve">d) IVA </t>
  </si>
  <si>
    <t>Repuestos</t>
  </si>
  <si>
    <t xml:space="preserve">Tornillos </t>
  </si>
  <si>
    <t>e) TOTAL INVERSIONES INICIALES ACTIVO FIJO</t>
  </si>
  <si>
    <t>Tuercas</t>
  </si>
  <si>
    <t>Bolsas</t>
  </si>
  <si>
    <t>Luces de heladera</t>
  </si>
  <si>
    <t>Aceite de máquinas</t>
  </si>
  <si>
    <t>Filtros</t>
  </si>
  <si>
    <t>Rubro</t>
  </si>
  <si>
    <t>Guantes Latex</t>
  </si>
  <si>
    <t>Inversión</t>
  </si>
  <si>
    <t>Coeficiente</t>
  </si>
  <si>
    <t>Alícuotas de amortización</t>
  </si>
  <si>
    <t>Valor residual</t>
  </si>
  <si>
    <t>% producción</t>
  </si>
  <si>
    <t>% administración</t>
  </si>
  <si>
    <t>% comercial</t>
  </si>
  <si>
    <t>Mangueras</t>
  </si>
  <si>
    <t>original</t>
  </si>
  <si>
    <t>Años 1/3</t>
  </si>
  <si>
    <t>Años 4/5</t>
  </si>
  <si>
    <t>Distribución de Superficie por Departamento</t>
  </si>
  <si>
    <r>
      <t>m</t>
    </r>
    <r>
      <rPr>
        <rFont val="Calibri"/>
        <b/>
        <sz val="10.0"/>
        <vertAlign val="superscript"/>
      </rPr>
      <t>2</t>
    </r>
  </si>
  <si>
    <t>%</t>
  </si>
  <si>
    <t>Área de Producción</t>
  </si>
  <si>
    <t>Área de Administración</t>
  </si>
  <si>
    <t>Área de Comercialización</t>
  </si>
  <si>
    <t>Área Total</t>
  </si>
  <si>
    <t>Materia Prima</t>
  </si>
  <si>
    <t>AÑO 1</t>
  </si>
  <si>
    <t>Nro de componente</t>
  </si>
  <si>
    <t>Componente</t>
  </si>
  <si>
    <t>Cantidad/KG</t>
  </si>
  <si>
    <t>Unidad</t>
  </si>
  <si>
    <t>Precio unitario</t>
  </si>
  <si>
    <t>Costo Variable Total</t>
  </si>
  <si>
    <t>Carne</t>
  </si>
  <si>
    <t>kg</t>
  </si>
  <si>
    <t>www.ipcva.com.ar/.../1486_1456326140_informemensualdepreciosn117.pdf</t>
  </si>
  <si>
    <t>Sal</t>
  </si>
  <si>
    <t>Subtotal</t>
  </si>
  <si>
    <t>https://articulo.mercadolibre.com.ar/MLA-625958382-sal-fina-celusal-x-25-kg-_JM</t>
  </si>
  <si>
    <t>Conservantes</t>
  </si>
  <si>
    <t>(Contacto frigorifico. 3u$d x KG diluyendose en agua relacion 3 a 1)</t>
  </si>
  <si>
    <t xml:space="preserve">Saborizantes </t>
  </si>
  <si>
    <t>Colorantes</t>
  </si>
  <si>
    <t>Total</t>
  </si>
  <si>
    <t xml:space="preserve">Cargos Diferidos </t>
  </si>
  <si>
    <t>AÑO 2 a 5</t>
  </si>
  <si>
    <t>Totales, s/IVA</t>
  </si>
  <si>
    <t>Mano de Obra Directa</t>
  </si>
  <si>
    <t>Sueldo básico x hora</t>
  </si>
  <si>
    <t>Sueldos básicos anualizados</t>
  </si>
  <si>
    <t>Cargas Sociales (23%)</t>
  </si>
  <si>
    <t>Adicionales (25%)</t>
  </si>
  <si>
    <t>Sueldo Bruto 
y Cargas Sociales</t>
  </si>
  <si>
    <t>Días de trabajo al año</t>
  </si>
  <si>
    <t>PPM - Horas (-)</t>
  </si>
  <si>
    <t>Horas diarias</t>
  </si>
  <si>
    <t>Horas totales</t>
  </si>
  <si>
    <t>Mano de Obra Indirecta (Producción)</t>
  </si>
  <si>
    <t>MOI</t>
  </si>
  <si>
    <t>Sueldo Básico mensual</t>
  </si>
  <si>
    <t>Costo laboral mensual</t>
  </si>
  <si>
    <t>Supervisor de planta</t>
  </si>
  <si>
    <t>Limpieza</t>
  </si>
  <si>
    <t>Seguridad</t>
  </si>
  <si>
    <t>Totales</t>
  </si>
  <si>
    <t>MC y SE</t>
  </si>
  <si>
    <t>Año 2 a 3</t>
  </si>
  <si>
    <t>Año 4 a 5</t>
  </si>
  <si>
    <t>Gasto específico MOI</t>
  </si>
  <si>
    <t>Personal indirecto imputado</t>
  </si>
  <si>
    <t>Mano de Obra Indirecta (Administración)</t>
  </si>
  <si>
    <t xml:space="preserve">Gerente General </t>
  </si>
  <si>
    <t>Gerente Adm y Ventas</t>
  </si>
  <si>
    <t>Admin Junior</t>
  </si>
  <si>
    <t>Gerente Logistica</t>
  </si>
  <si>
    <t>Mano de Obra Indirecta (Comercial)</t>
  </si>
  <si>
    <t>COSTO TOTAL DE PRODUCCION</t>
  </si>
  <si>
    <t>Atención Cliente</t>
  </si>
  <si>
    <t>Gastos en el Area de Producción</t>
  </si>
  <si>
    <t>Chofer 1</t>
  </si>
  <si>
    <t>Rubros</t>
  </si>
  <si>
    <t>Año 2</t>
  </si>
  <si>
    <t>Año 3</t>
  </si>
  <si>
    <t>Año 4</t>
  </si>
  <si>
    <t>Año 5</t>
  </si>
  <si>
    <t>Materia prima</t>
  </si>
  <si>
    <t>Chofer 2</t>
  </si>
  <si>
    <t>Mano de obra directa</t>
  </si>
  <si>
    <t>Materiales</t>
  </si>
  <si>
    <t>Producción</t>
  </si>
  <si>
    <t>Valores de referencia</t>
  </si>
  <si>
    <t>Gastos de fabricación:</t>
  </si>
  <si>
    <t>Costo de los materiales</t>
  </si>
  <si>
    <t>Origen</t>
  </si>
  <si>
    <t>Amortizaciones</t>
  </si>
  <si>
    <t>Año 2 y 3</t>
  </si>
  <si>
    <t>Año 4 y 5</t>
  </si>
  <si>
    <t>Personal indirecto</t>
  </si>
  <si>
    <t>Energía eléctrica</t>
  </si>
  <si>
    <t>Personal</t>
  </si>
  <si>
    <t>Combustibles</t>
  </si>
  <si>
    <t>Tasas e impuestos</t>
  </si>
  <si>
    <t>Costo de Materiales por año</t>
  </si>
  <si>
    <t>Gastos Total de Producción</t>
  </si>
  <si>
    <t>Debido al PPM en el año 1 se estima menor importe en consumo de materiales de mantenimento y repuestos</t>
  </si>
  <si>
    <t>Los últimos 2 años tienen un aumento del 5% los gastos relacionados al consumo de repuestos y mantenimiento</t>
  </si>
  <si>
    <t>Gasto específico materiales</t>
  </si>
  <si>
    <t>% Gasto Constante</t>
  </si>
  <si>
    <t>Materiales imputado</t>
  </si>
  <si>
    <t>Administración</t>
  </si>
  <si>
    <t>% Gasto Variable</t>
  </si>
  <si>
    <t>Mantenimiento</t>
  </si>
  <si>
    <t>Gastos a activar</t>
  </si>
  <si>
    <t>Mercadería en Curso y Semielaborada</t>
  </si>
  <si>
    <t>Puesta en marcha</t>
  </si>
  <si>
    <t>Papelería y útiles</t>
  </si>
  <si>
    <t>Limpieza e Higiene</t>
  </si>
  <si>
    <t>Criterio utilizado para distribución de Papelería: Porcentaje de MOD.</t>
  </si>
  <si>
    <t>Comercialización</t>
  </si>
  <si>
    <t xml:space="preserve">  Energía eléctrica</t>
  </si>
  <si>
    <t>(Materiales)</t>
  </si>
  <si>
    <t>Concepto</t>
  </si>
  <si>
    <t xml:space="preserve">  Combustibles</t>
  </si>
  <si>
    <t>Cant</t>
  </si>
  <si>
    <t>Potencia</t>
  </si>
  <si>
    <t>(Energia electrica)</t>
  </si>
  <si>
    <t xml:space="preserve">  Tasas e impuestos</t>
  </si>
  <si>
    <t>Horas Año</t>
  </si>
  <si>
    <t>Consumo Anual</t>
  </si>
  <si>
    <t>Horas por dia</t>
  </si>
  <si>
    <t>Consumo Eléctrico</t>
  </si>
  <si>
    <t xml:space="preserve">  Imprevistos</t>
  </si>
  <si>
    <t>kW</t>
  </si>
  <si>
    <t>Hs</t>
  </si>
  <si>
    <t>kWh</t>
  </si>
  <si>
    <t>Total gastos a activar</t>
  </si>
  <si>
    <t>Cargo Fijo</t>
  </si>
  <si>
    <t>Costo en el Area de Producción</t>
  </si>
  <si>
    <t>Cargo Pot Convenida</t>
  </si>
  <si>
    <t>Picadora</t>
  </si>
  <si>
    <t>Menos:</t>
  </si>
  <si>
    <t>Gasto de puesta en marcha</t>
  </si>
  <si>
    <t>Cargo Variable</t>
  </si>
  <si>
    <t>Mezcladora</t>
  </si>
  <si>
    <t>Total anual</t>
  </si>
  <si>
    <t>Variación Mercadería en proceso</t>
  </si>
  <si>
    <t>Costo de producción anual</t>
  </si>
  <si>
    <t>Costo de prod. Unitario Promedio</t>
  </si>
  <si>
    <t>Frigorifico</t>
  </si>
  <si>
    <t>Iluminacion Led</t>
  </si>
  <si>
    <t>Total mensual</t>
  </si>
  <si>
    <t>Extractores</t>
  </si>
  <si>
    <t>http://www.edesur.com.ar/cuadro_tarifario.pdf</t>
  </si>
  <si>
    <t>Potencia inst. convenida</t>
  </si>
  <si>
    <t>Gastos en el Area de Administración</t>
  </si>
  <si>
    <t>Prorrateo mens (kWh)</t>
  </si>
  <si>
    <t>Amortizaciones de A. Fijo</t>
  </si>
  <si>
    <t>Gasto específico energía</t>
  </si>
  <si>
    <t>Electricidad</t>
  </si>
  <si>
    <t>Energía eléctrica imputado</t>
  </si>
  <si>
    <t>INVERSIONES EN ACTIVO DE TRABAJO</t>
  </si>
  <si>
    <t>Combustible</t>
  </si>
  <si>
    <r>
      <rPr>
        <rFont val="Arial"/>
        <b/>
        <sz val="10.0"/>
      </rPr>
      <t xml:space="preserve">1. Activo de Trabajo: </t>
    </r>
    <r>
      <rPr>
        <rFont val="Arial"/>
        <sz val="10.0"/>
      </rPr>
      <t>(valor contable)</t>
    </r>
  </si>
  <si>
    <t>Varios</t>
  </si>
  <si>
    <t>Administración y Comercial</t>
  </si>
  <si>
    <t xml:space="preserve">   a) Disponibilidad Mínima en Caja y Bancos:</t>
  </si>
  <si>
    <t>hs de uso diario</t>
  </si>
  <si>
    <t xml:space="preserve">   b) Crédito por Ventas</t>
  </si>
  <si>
    <t>Kw</t>
  </si>
  <si>
    <t>Computadoras mas hardware</t>
  </si>
  <si>
    <t>Costo total de Admistración</t>
  </si>
  <si>
    <t xml:space="preserve">   c) Bienes de cambio:</t>
  </si>
  <si>
    <t xml:space="preserve">    Stock de materias prima:</t>
  </si>
  <si>
    <t>Gastos en el Area de Comercialización</t>
  </si>
  <si>
    <t>Heladera</t>
  </si>
  <si>
    <t xml:space="preserve">   Stock de materiales:</t>
  </si>
  <si>
    <t>Microondas</t>
  </si>
  <si>
    <t>Pava eléctrica</t>
  </si>
  <si>
    <t>Televisor</t>
  </si>
  <si>
    <t xml:space="preserve">   Mercadería en curso y semielaborada</t>
  </si>
  <si>
    <t>Ventiladores</t>
  </si>
  <si>
    <t xml:space="preserve">   Stock de elaborados</t>
  </si>
  <si>
    <t>Lamparas</t>
  </si>
  <si>
    <t>Telefono</t>
  </si>
  <si>
    <t>Energía Eléctrica</t>
  </si>
  <si>
    <t>Modem</t>
  </si>
  <si>
    <t xml:space="preserve">   d) Total Activo de Trabajo, sin IVA:</t>
  </si>
  <si>
    <t>ADM</t>
  </si>
  <si>
    <t>COM</t>
  </si>
  <si>
    <t>2. Menos:</t>
  </si>
  <si>
    <t xml:space="preserve">    Amortizaciones en Mercadería en proceso</t>
  </si>
  <si>
    <t xml:space="preserve">    Amortizaciones en Stock de elaborado</t>
  </si>
  <si>
    <t>Distribución*</t>
  </si>
  <si>
    <t xml:space="preserve">    Utilidades en Crédito por ventas</t>
  </si>
  <si>
    <t xml:space="preserve">    Amortizaciones en Crédito por ventas</t>
  </si>
  <si>
    <t>Costo total de Comercialización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</si>
  <si>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</si>
  <si>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</si>
  <si>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</si>
  <si>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</si>
  <si>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</si>
  <si>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</si>
  <si>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</si>
  <si>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>* Según Porcentaje MyU</t>
  </si>
  <si>
    <t>COSTO TOTAL Y RESULTADO A NIVEL ECONOMICO</t>
  </si>
  <si>
    <t xml:space="preserve">               Stock de materiales</t>
  </si>
  <si>
    <t xml:space="preserve">               Mercadería en proceso</t>
  </si>
  <si>
    <t>Stock promedio de MP</t>
  </si>
  <si>
    <t xml:space="preserve">               Stock de elaborados</t>
  </si>
  <si>
    <t>Venta anual, en Unidades Producto 1</t>
  </si>
  <si>
    <t xml:space="preserve">Año 0 </t>
  </si>
  <si>
    <t>Precio de venta Producto 1</t>
  </si>
  <si>
    <t>VENTAS ANUALES</t>
  </si>
  <si>
    <t xml:space="preserve">   Total incrementos IVA sobre inversiones</t>
  </si>
  <si>
    <t xml:space="preserve">Año 1 a 5 </t>
  </si>
  <si>
    <t xml:space="preserve">Consumo de materia prima </t>
  </si>
  <si>
    <t>6. Incrementos Inversiones en Activo de Trabajo</t>
  </si>
  <si>
    <t>Stock de PT</t>
  </si>
  <si>
    <t>Gastos de fabricación</t>
  </si>
  <si>
    <t>Año 1 a 5</t>
  </si>
  <si>
    <t>Gastos de Producción</t>
  </si>
  <si>
    <t>5. - Mercadería en Proceso</t>
  </si>
  <si>
    <t>Se ha aplicado el 21% sobre los rubros de la mercadería en proceso, con el siguiente resultado:</t>
  </si>
  <si>
    <t>Producción Año 1 (unid)</t>
  </si>
  <si>
    <t>COSTO DE PRODUCCION ANUAL</t>
  </si>
  <si>
    <t>Producción anual en Unidades</t>
  </si>
  <si>
    <t>Costo de producción unitario Promedio</t>
  </si>
  <si>
    <t>Producción Año 1 (kgs)</t>
  </si>
  <si>
    <t>Stock elaborado al principio del periodo</t>
  </si>
  <si>
    <t>Producción Año 2 a 5 (unid)</t>
  </si>
  <si>
    <t>Stock elaborado al final del periodo</t>
  </si>
  <si>
    <t>Producción Año 2 a 5 (kgs)</t>
  </si>
  <si>
    <t>Variación de Stock de Elaborado</t>
  </si>
  <si>
    <t>COSTO DE PRODUCCION DE LO VENDIDO</t>
  </si>
  <si>
    <t>Demanda PT (kg) Año 1</t>
  </si>
  <si>
    <t>Incrementos</t>
  </si>
  <si>
    <t>Alimentación MP (kg) Año 1</t>
  </si>
  <si>
    <t>GASTO DE ADMINISTRACION</t>
  </si>
  <si>
    <t>Consumo especifico Año 1</t>
  </si>
  <si>
    <t>5. - Stock de Elaborados</t>
  </si>
  <si>
    <t xml:space="preserve">GASTO DE COMERCIALIZACION </t>
  </si>
  <si>
    <t>COSTO ANUAL DE LO VENDIDO</t>
  </si>
  <si>
    <t>Demanda PT (kg) Año 2 a 5</t>
  </si>
  <si>
    <t>Alimentación MP (kg) Año 2 a 5</t>
  </si>
  <si>
    <t>Del Dim Tecnico</t>
  </si>
  <si>
    <t>Costo total unitario promedio</t>
  </si>
  <si>
    <t>Consumo especifico Año 2 a 5</t>
  </si>
  <si>
    <t xml:space="preserve"> </t>
  </si>
  <si>
    <t>UTILIDAD ECONOMICA (a/H. D. e Impuesto)</t>
  </si>
  <si>
    <t>Mercaderia en curso y Semi elaborado</t>
  </si>
  <si>
    <t>Nro</t>
  </si>
  <si>
    <t>Ítem</t>
  </si>
  <si>
    <t xml:space="preserve">Impuesto a la ganancia </t>
  </si>
  <si>
    <t>Alimentación (U.O.)</t>
  </si>
  <si>
    <t>Un. Origen(U.O)</t>
  </si>
  <si>
    <t>Stock MC y SE</t>
  </si>
  <si>
    <t>Costo MC Y SE</t>
  </si>
  <si>
    <t>carne</t>
  </si>
  <si>
    <t>UTILIDAD ECONOMICA (d/H.D. e Impuesto)</t>
  </si>
  <si>
    <t>KG</t>
  </si>
  <si>
    <t>% sobre VENTAS</t>
  </si>
  <si>
    <t>FONDOS AUTOGENERADOS</t>
  </si>
  <si>
    <t>Utilidad Económica (d/H.D. e Impuesto)</t>
  </si>
  <si>
    <t>Amortización anual</t>
  </si>
  <si>
    <t>sal</t>
  </si>
  <si>
    <t>Costo Constante Sector de Producción</t>
  </si>
  <si>
    <t>conservantes</t>
  </si>
  <si>
    <t>Costo Variable Sector de Producción</t>
  </si>
  <si>
    <t>saborizantes</t>
  </si>
  <si>
    <t>colorantes</t>
  </si>
  <si>
    <t>Costo Constante Sector de Administración</t>
  </si>
  <si>
    <t>Costo Variable Sector de Administración</t>
  </si>
  <si>
    <t>Costo Constante Sector de Comercialización</t>
  </si>
  <si>
    <t>Total DEMANDA kg</t>
  </si>
  <si>
    <t>Costo Variable Sector de Comercialización</t>
  </si>
  <si>
    <t>MC Y SE</t>
  </si>
  <si>
    <t>UTILIDAD MARGINAL</t>
  </si>
  <si>
    <t>PUNTO DE EQUILIBRIO</t>
  </si>
  <si>
    <t>HACER DIAGRAMA DE PUNTO DE EQUILIBRIO PARA EL AÑO 1 Y PARA EL AÑO 5</t>
  </si>
  <si>
    <t>Desperdicio operativo real</t>
  </si>
  <si>
    <t>Gasto específico</t>
  </si>
  <si>
    <t>$/kg PT</t>
  </si>
  <si>
    <t>MC Y SE sin desperdicio</t>
  </si>
  <si>
    <t>Costo Fijo</t>
  </si>
  <si>
    <t>Costo Variable</t>
  </si>
  <si>
    <t>Costo Total</t>
  </si>
  <si>
    <t>Ventas</t>
  </si>
  <si>
    <t>Costo MOD en MC y SE</t>
  </si>
  <si>
    <t>Desperdicio No Recuperable</t>
  </si>
  <si>
    <t>Importe imputable a MCySE</t>
  </si>
  <si>
    <t>Gasto especifico a MCySE</t>
  </si>
  <si>
    <t>Amortización imputada</t>
  </si>
  <si>
    <t>Gasto de Puesta en Marcha</t>
  </si>
  <si>
    <t>Gasto específico MP Año 1</t>
  </si>
  <si>
    <t>MP</t>
  </si>
  <si>
    <t>Gasto específico MP Año 2 a 5</t>
  </si>
  <si>
    <t>Consumo excedente MP</t>
  </si>
  <si>
    <t>Kg</t>
  </si>
  <si>
    <t>Consumo TOT MP (Ej 9)</t>
  </si>
  <si>
    <t>Gasto específico MOD Año 1</t>
  </si>
  <si>
    <t xml:space="preserve">Consumo Específico </t>
  </si>
  <si>
    <t>Exceso Gasto MOD</t>
  </si>
  <si>
    <t>Consumo MP por PT (Ej 6)</t>
  </si>
  <si>
    <t>Punto de equilibrio</t>
  </si>
  <si>
    <t>Gasto especifico Materiales</t>
  </si>
  <si>
    <t>Consumo MP en MCySE (Ej 9)</t>
  </si>
  <si>
    <t>Exceso Gasto Materiales</t>
  </si>
  <si>
    <t>unidades</t>
  </si>
  <si>
    <t>Gasto especifico Energía</t>
  </si>
  <si>
    <t>Exceso de MP en Puesta en Marcha</t>
  </si>
  <si>
    <t>Exceso Gasto Energía</t>
  </si>
  <si>
    <t>Tasas e Impuestos</t>
  </si>
  <si>
    <t xml:space="preserve">Tasa municipal anual </t>
  </si>
  <si>
    <t>Impuesto inmobiliario anual</t>
  </si>
  <si>
    <t>Impuesto a los sellos</t>
  </si>
  <si>
    <t>Imp. A los Deb y Cred Bancarios</t>
  </si>
  <si>
    <t>Impuesto automotor</t>
  </si>
  <si>
    <t>Ingresos Brutos Año 1 (3%)</t>
  </si>
  <si>
    <t>Ingresos Brutos Año 2 a 5 (3%)</t>
  </si>
  <si>
    <t>Gastos Varios</t>
  </si>
  <si>
    <t>Anàlisis bacteriologico</t>
  </si>
  <si>
    <t>Dato extraido del labo</t>
  </si>
  <si>
    <t>Gastos de Representación</t>
  </si>
  <si>
    <t>Gastos de oficina</t>
  </si>
  <si>
    <t>IVA plan de Explotación, Cancelación del Credito Fiscal y pago al Fisco por IVA</t>
  </si>
  <si>
    <t>TOTALES PARA LAS TRES AREAS</t>
  </si>
  <si>
    <t>Rubros que abonan IVA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</si>
  <si>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</si>
  <si>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</si>
  <si>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</si>
  <si>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</si>
  <si>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</si>
  <si>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</si>
  <si>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</si>
  <si>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</si>
  <si>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</si>
  <si>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</si>
  <si>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</si>
  <si>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</si>
  <si>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</si>
  <si>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</si>
  <si>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Recupero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</si>
  <si>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</si>
  <si>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</si>
  <si>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</si>
  <si>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</si>
  <si>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</si>
  <si>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</si>
  <si>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</si>
  <si>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</si>
  <si>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</si>
  <si>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</si>
  <si>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</si>
  <si>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</si>
  <si>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</si>
  <si>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</si>
  <si>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</si>
  <si>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</si>
  <si>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</si>
  <si>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</si>
  <si>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</si>
  <si>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</si>
  <si>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</si>
  <si>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</si>
  <si>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</si>
  <si>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</si>
  <si>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</si>
  <si>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</si>
  <si>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</si>
  <si>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</si>
  <si>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</si>
  <si>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</si>
  <si>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</si>
  <si>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</si>
  <si>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</si>
  <si>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</si>
  <si>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</si>
  <si>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</si>
  <si>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</si>
  <si>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</si>
  <si>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2 años y 68 dìas aproximadamente</t>
  </si>
  <si>
    <t>TIR</t>
  </si>
  <si>
    <t>Verificaciones</t>
  </si>
  <si>
    <t>Set A</t>
  </si>
  <si>
    <t>IVA</t>
  </si>
  <si>
    <t>VER</t>
  </si>
  <si>
    <t>AT</t>
  </si>
  <si>
    <t xml:space="preserve">Diferencia en comprobacion BN Proyecto </t>
  </si>
  <si>
    <t>BN Proyecto</t>
  </si>
  <si>
    <t>es la misma que dif entre INV AF y AMORT</t>
  </si>
  <si>
    <t>Compra MP</t>
  </si>
  <si>
    <t>Mensual</t>
  </si>
  <si>
    <t>Gto MP espec</t>
  </si>
  <si>
    <t>Monto compras</t>
  </si>
  <si>
    <t>% financiado</t>
  </si>
  <si>
    <t>Interés x compra</t>
  </si>
  <si>
    <t>cant compras</t>
  </si>
  <si>
    <t>Intereses anuales</t>
  </si>
  <si>
    <t>Crédito anual</t>
  </si>
  <si>
    <t>Banco otorgante del crédito</t>
  </si>
  <si>
    <t>Banco Provincia Bs As</t>
  </si>
  <si>
    <t>Destino</t>
  </si>
  <si>
    <t>Financiamiento Maquinas, Rodados y Edificio</t>
  </si>
  <si>
    <t>Préstamo</t>
  </si>
  <si>
    <t>Provincia Verde - Inversión</t>
  </si>
  <si>
    <t>Tipo de tasa</t>
  </si>
  <si>
    <t>Fija</t>
  </si>
  <si>
    <t>TNAV</t>
  </si>
  <si>
    <t>semestral</t>
  </si>
  <si>
    <t>Plazo</t>
  </si>
  <si>
    <t>meses</t>
  </si>
  <si>
    <t>Comisión mens (Gs. Bancario)</t>
  </si>
  <si>
    <t>Comision inicial</t>
  </si>
  <si>
    <t>Tope</t>
  </si>
  <si>
    <t>de inversión</t>
  </si>
  <si>
    <t>del importe total del Proyecto</t>
  </si>
  <si>
    <t>Sistema de Amortización</t>
  </si>
  <si>
    <t>Alemán</t>
  </si>
  <si>
    <t>Frecuencia de pago</t>
  </si>
  <si>
    <t>Medio de pago</t>
  </si>
  <si>
    <t>Debito en C/C</t>
  </si>
  <si>
    <t>Links</t>
  </si>
  <si>
    <t>https://www.bancoprovincia.com.ar/web/empresas_cap_trabajo_fija</t>
  </si>
  <si>
    <t>https://www.bancoprovincia.com.ar/CDN/Get/A5388_Banca_Empresa_tasas_costos_condiciones_vigentes</t>
  </si>
  <si>
    <t>CUADRO EVOLUCIÓN DEL PRÉSTAMO</t>
  </si>
  <si>
    <t>día/mes/año</t>
  </si>
  <si>
    <t>deuda</t>
  </si>
  <si>
    <t>amortización</t>
  </si>
  <si>
    <t>interés</t>
  </si>
  <si>
    <t>interes</t>
  </si>
  <si>
    <t>gasto</t>
  </si>
  <si>
    <t>bancario</t>
  </si>
  <si>
    <t>CUOTA</t>
  </si>
  <si>
    <t>30/12/-0</t>
  </si>
  <si>
    <t>-</t>
  </si>
  <si>
    <t>30/06/-1</t>
  </si>
  <si>
    <t>31/12/-1</t>
  </si>
  <si>
    <t>gastos preoperativos:</t>
  </si>
  <si>
    <t>PRIMERA ESTRUCTURA FINANCIERA</t>
  </si>
  <si>
    <t>Totales:</t>
  </si>
  <si>
    <t>Total Inversión</t>
  </si>
  <si>
    <t>CréditoS</t>
  </si>
  <si>
    <t>Capital Propio</t>
  </si>
  <si>
    <t>monto</t>
  </si>
  <si>
    <t xml:space="preserve">Activo Fijo </t>
  </si>
  <si>
    <t>CUADRO DEL CRÉDITO RENOVABLE</t>
  </si>
  <si>
    <t xml:space="preserve">Activo de Trabajo </t>
  </si>
  <si>
    <t>prom. anual</t>
  </si>
  <si>
    <t xml:space="preserve">IVA </t>
  </si>
  <si>
    <t>CUADRO RESUMEN DE CREDITOS</t>
  </si>
  <si>
    <t xml:space="preserve">deuda </t>
  </si>
  <si>
    <t>kd</t>
  </si>
  <si>
    <t>01/04/-1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</si>
  <si>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</si>
  <si>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</si>
  <si>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</si>
  <si>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</si>
  <si>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</si>
  <si>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</si>
  <si>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</si>
  <si>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Los primeros 3 años se absorben los gastos preoperativos en 3 alicuotas iguales.</t>
  </si>
  <si>
    <t>RESULTADO (a/Hon. e Imp.)</t>
  </si>
  <si>
    <t>Menos: Honorarios al Direct.</t>
  </si>
  <si>
    <t>Los honorarios al directorio y los impuestos a las ganancias se calculan con el nuevo resultado. No con el viejo de la tabla E-Costos</t>
  </si>
  <si>
    <t>Menos: Impuesto a la Ganancia</t>
  </si>
  <si>
    <t>RESULTADO (d/Hon. e Imp.)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</si>
  <si>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</si>
  <si>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</si>
  <si>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</si>
  <si>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</si>
  <si>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</si>
  <si>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</si>
  <si>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</si>
  <si>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</si>
  <si>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</si>
  <si>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</si>
  <si>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SEGUNDA ESTRUCTURA FINANCIERA</t>
  </si>
  <si>
    <t>f) Recupero Credito Fiscal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</si>
  <si>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</si>
  <si>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</si>
  <si>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</si>
  <si>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</si>
  <si>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</si>
  <si>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</si>
  <si>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</si>
  <si>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</si>
  <si>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</si>
  <si>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</si>
  <si>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</si>
  <si>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</si>
  <si>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</si>
  <si>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Se le suma los gastos preop / 3 debido a que se pagan en 3 alicuotas.</t>
  </si>
  <si>
    <t>Utilidades en crédito</t>
  </si>
  <si>
    <t>Inversión activo de trabajo, s/IVA</t>
  </si>
  <si>
    <t>IVA AÑO 1 RARO.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</si>
  <si>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</si>
  <si>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</si>
  <si>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</si>
  <si>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</si>
  <si>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</si>
  <si>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</si>
  <si>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</si>
  <si>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</si>
  <si>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</si>
  <si>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CUADRO DE FUENTES Y USOS</t>
  </si>
  <si>
    <t>Crédito no renovable</t>
  </si>
  <si>
    <t>FUENTES: Totales</t>
  </si>
  <si>
    <t>No comprendo porque el credito renovable no se carga en el año 1</t>
  </si>
  <si>
    <t>Capital propio</t>
  </si>
  <si>
    <t>Saldo ejercicio anterior</t>
  </si>
  <si>
    <t>Aporte de capital propio</t>
  </si>
  <si>
    <t>PUNTO DE EQUILIBRIO ECONOMICO FINANCIERO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</si>
  <si>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</si>
  <si>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</si>
  <si>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</si>
  <si>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</si>
  <si>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</si>
  <si>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</si>
  <si>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Gasto Financiero</t>
  </si>
  <si>
    <t>Costo de lo Vendido</t>
  </si>
  <si>
    <t>HACER DIAGRAMA DE PUNTO DE EQUILIBRIO PARA EL AÑO 1 Y PARA EL AÑO 10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</si>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</sst>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9">
    <numFmt numFmtId="164" formatCode="_(* #,##0_);_(* \(#,##0\);_(* \-??_);_(@_)"/>
    <numFmt numFmtId="165" formatCode="0.00\ %"/>
    <numFmt numFmtId="166" formatCode="_ &quot;$&quot;\ * #,##0_ ;_ &quot;$&quot;\ * \-#,##0_ ;_ &quot;$&quot;\ * &quot;-&quot;??_ ;_ @_ "/>
    <numFmt numFmtId="167" formatCode="_(\$* #,##0.00_);_(\$* \(#,##0.00\);_(\$* \-??_);_(@_)"/>
    <numFmt numFmtId="168" formatCode="_ &quot;$&quot;\ * #,##0.0_ ;_ &quot;$&quot;\ * \-#,##0.0_ ;_ &quot;$&quot;\ * &quot;-&quot;??_ ;_ @_ "/>
    <numFmt numFmtId="169" formatCode="_(\$* #,##0_);_(\$* \(#,##0\);_(\$* \-??_);_(@_)"/>
    <numFmt numFmtId="170" formatCode="_(* #,##0.000000_);_(* \(#,##0.000000\);_(* \-??.000000_);_(@_)"/>
    <numFmt numFmtId="171" formatCode="_ [$$-2C0A]\ * #,##0_ ;_ [$$-2C0A]\ * \-#,##0_ ;_ [$$-2C0A]\ * &quot;-&quot;??_ ;_ @_ "/>
    <numFmt numFmtId="172" formatCode="_(* #,##0.000000000_);_(* \(#,##0.000000000\);_(* \-??.000000000_);_(@_)"/>
    <numFmt numFmtId="173" formatCode="_ [$$-2C0A]\ * #,##0.00_ ;_ [$$-2C0A]\ * \-#,##0.00_ ;_ [$$-2C0A]\ * &quot;-&quot;??_ ;_ @_ "/>
    <numFmt numFmtId="174" formatCode="_(* #,##0.0000000_);_(* \(#,##0.0000000\);_(* \-??.0000000_);_(@_)"/>
    <numFmt numFmtId="175" formatCode="0.0"/>
    <numFmt numFmtId="176" formatCode="&quot;$&quot;\ #,##0.00"/>
    <numFmt numFmtId="177" formatCode="_ * #,##0.00_ ;_ * \-#,##0.00_ ;_ * &quot;-&quot;??_ ;_ @_ "/>
    <numFmt numFmtId="178" formatCode="0.0%"/>
    <numFmt numFmtId="179" formatCode="&quot;$&quot;\ #,##0"/>
    <numFmt numFmtId="180" formatCode="&quot;$&quot;#,##0.00"/>
    <numFmt numFmtId="181" formatCode="0.000"/>
    <numFmt numFmtId="182" formatCode="_-* #,##0\ _€_-;\-* #,##0\ _€_-;_-* &quot;-&quot;??\ _€_-;_-@"/>
    <numFmt numFmtId="183" formatCode="_(* #,##0.00_);_(* \(#,##0.00\);_(* \-??_);_(@_)"/>
    <numFmt numFmtId="184" formatCode="_ * #,##0_ ;_ * \-#,##0_ ;_ * &quot;-&quot;??_ ;_ @_ "/>
    <numFmt numFmtId="185" formatCode="0.000%"/>
    <numFmt numFmtId="186" formatCode="_ [$$-2C0A]\ * #,##0.00_ ;_ [$$-2C0A]\ * \-#,##0.00_ ;_ [$$-2C0A]\ * &quot;-&quot;??.00_ ;_ @_ "/>
    <numFmt numFmtId="187" formatCode="0.00000%"/>
    <numFmt numFmtId="188" formatCode="0.0000"/>
    <numFmt numFmtId="189" formatCode="_(\$* #,##0.000_);_(\$* \(#,##0.000\);_(\$* \-??_);_(@_)"/>
    <numFmt numFmtId="190" formatCode="dd-mm-yy"/>
    <numFmt numFmtId="191" formatCode="d-m-yy"/>
    <numFmt numFmtId="192" formatCode="d&quot; de &quot;mmm&quot; de &quot;yy"/>
  </numFmts>
  <fonts count="65">
    <font>
      <sz val="10.0"/>
      <color rgb="FF000000"/>
      <name val="Arial"/>
    </font>
    <font>
      <sz val="10.0"/>
      <name val="Calibri"/>
    </font>
    <font>
      <b/>
      <i/>
      <sz val="10.0"/>
      <name val="Arial"/>
    </font>
    <font>
      <b/>
      <u/>
      <sz val="12.0"/>
      <color rgb="FF000000"/>
      <name val="Calibri"/>
    </font>
    <font>
      <b/>
      <sz val="10.0"/>
      <name val="Arial"/>
    </font>
    <font>
      <sz val="10.0"/>
      <color rgb="FF000000"/>
      <name val="Calibri"/>
    </font>
    <font>
      <b/>
      <sz val="11.0"/>
      <color rgb="FFFFFFFF"/>
      <name val="Arial"/>
    </font>
    <font/>
    <font>
      <b/>
      <sz val="10.0"/>
      <color rgb="FF000000"/>
      <name val="Calibri"/>
    </font>
    <font>
      <b/>
      <sz val="10.0"/>
      <name val="Calibri"/>
    </font>
    <font>
      <sz val="10.0"/>
      <color rgb="FFFFFFFF"/>
      <name val="Arial"/>
    </font>
    <font>
      <sz val="11.0"/>
      <name val="Calibri"/>
    </font>
    <font>
      <sz val="10.0"/>
      <name val="Arial"/>
    </font>
    <font>
      <b/>
      <sz val="10.0"/>
      <color rgb="FFFFFFFF"/>
      <name val="Arial"/>
    </font>
    <font>
      <u/>
      <sz val="10.0"/>
      <color rgb="FF0563C1"/>
      <name val="Arial"/>
    </font>
    <font>
      <u/>
      <sz val="10.0"/>
      <color rgb="FF0000FF"/>
      <name val="Calibri"/>
    </font>
    <font>
      <u/>
      <sz val="10.0"/>
      <color rgb="FF0563C1"/>
      <name val="Arial"/>
    </font>
    <font>
      <b/>
      <sz val="12.0"/>
      <name val="Arial"/>
    </font>
    <font>
      <sz val="11.0"/>
      <color rgb="FF000000"/>
      <name val="Inconsolata"/>
    </font>
    <font>
      <u/>
      <sz val="11.0"/>
      <color rgb="FF000000"/>
      <name val="Inconsolata"/>
    </font>
    <font>
      <b/>
      <name val="Arial"/>
    </font>
    <font>
      <b/>
      <u/>
      <sz val="10.0"/>
      <color rgb="FF000000"/>
      <name val="Calibri"/>
    </font>
    <font>
      <name val="Arial"/>
    </font>
    <font>
      <b/>
      <u/>
      <sz val="10.0"/>
      <name val="Calibri"/>
    </font>
    <font>
      <b/>
      <u/>
      <sz val="10.0"/>
      <name val="Calibri"/>
    </font>
    <font>
      <u/>
      <color rgb="FF0000FF"/>
    </font>
    <font>
      <b/>
      <sz val="11.0"/>
      <color rgb="FF000000"/>
      <name val="Inconsolata"/>
    </font>
    <font>
      <i/>
      <sz val="9.0"/>
      <name val="Calibri"/>
    </font>
    <font>
      <u/>
      <sz val="10.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b/>
      <u/>
      <sz val="10.0"/>
      <color rgb="FF000000"/>
      <name val="Calibri"/>
    </font>
    <font>
      <b/>
      <u/>
      <sz val="10.0"/>
      <name val="Calibri"/>
    </font>
    <font>
      <b/>
      <i/>
      <sz val="10.0"/>
      <name val="Calibri"/>
    </font>
    <font>
      <b/>
      <u/>
      <sz val="10.0"/>
      <color rgb="FF000000"/>
      <name val="Calibri"/>
    </font>
    <font>
      <sz val="10.0"/>
      <color rgb="FFFF0000"/>
      <name val="Arial"/>
    </font>
    <font>
      <b/>
      <u/>
      <sz val="10.0"/>
      <color rgb="FF000000"/>
      <name val="Calibri"/>
    </font>
    <font>
      <b/>
      <u/>
      <sz val="10.0"/>
      <color rgb="FF000000"/>
      <name val="Calibri"/>
    </font>
    <font>
      <b/>
      <u/>
      <sz val="10.0"/>
      <color rgb="FF000000"/>
      <name val="Calibri"/>
    </font>
    <font>
      <color rgb="FF000000"/>
      <name val="Calibri"/>
    </font>
    <font>
      <sz val="11.0"/>
      <color rgb="FF000000"/>
      <name val="Arial"/>
    </font>
    <font>
      <color rgb="FFFF0000"/>
      <name val="Calibri"/>
    </font>
    <font>
      <sz val="10.0"/>
      <color rgb="FFFF0000"/>
      <name val="Calibri"/>
    </font>
    <font>
      <sz val="11.0"/>
      <color rgb="FF000000"/>
      <name val="Sans-serif"/>
    </font>
    <font>
      <i/>
      <sz val="10.0"/>
      <color rgb="FF000000"/>
      <name val="Calibri"/>
    </font>
    <font>
      <b/>
      <sz val="11.0"/>
      <color rgb="FF000000"/>
      <name val="Sans-serif"/>
    </font>
    <font>
      <b/>
      <sz val="11.0"/>
      <color rgb="FF000000"/>
      <name val="Arial"/>
    </font>
    <font>
      <name val="Calibri"/>
    </font>
    <font>
      <b/>
      <color rgb="FF000000"/>
      <name val="Calibri"/>
    </font>
    <font>
      <b/>
      <u/>
      <sz val="10.0"/>
      <color rgb="FF000000"/>
      <name val="Calibri"/>
    </font>
    <font>
      <sz val="11.0"/>
      <color rgb="FF7E3794"/>
      <name val="Inconsolata"/>
    </font>
    <font>
      <b/>
      <sz val="13.0"/>
      <name val="Arial"/>
    </font>
    <font>
      <b/>
      <sz val="11.0"/>
      <name val="Arial"/>
    </font>
    <font>
      <u/>
      <sz val="10.0"/>
      <name val="Calibri"/>
    </font>
    <font>
      <b/>
      <u/>
      <sz val="10.0"/>
      <color rgb="FF000000"/>
      <name val="Calibri"/>
    </font>
    <font>
      <b/>
      <sz val="10.0"/>
      <color rgb="FF000000"/>
      <name val="Arial"/>
    </font>
    <font>
      <sz val="10.0"/>
      <color rgb="FF000000"/>
      <name val="Inconsolata"/>
    </font>
    <font>
      <sz val="11.0"/>
      <name val="Inconsolata"/>
    </font>
    <font>
      <sz val="11.0"/>
      <color rgb="FF11A9CC"/>
      <name val="Inconsolata"/>
    </font>
    <font>
      <b/>
      <u/>
      <name val="Arial"/>
    </font>
    <font>
      <u/>
      <color rgb="FF0563C1"/>
      <name val="Arial"/>
    </font>
    <font>
      <u/>
      <color rgb="FF0563C1"/>
      <name val="Arial"/>
    </font>
    <font>
      <sz val="11.0"/>
      <color rgb="FF000000"/>
    </font>
    <font>
      <sz val="11.0"/>
      <color rgb="FFF7981D"/>
      <name val="Inconsolata"/>
    </font>
    <font>
      <sz val="12.0"/>
      <name val="Noto Sans Symbols"/>
    </font>
  </fonts>
  <fills count="17">
    <fill>
      <patternFill patternType="none"/>
    </fill>
    <fill>
      <patternFill patternType="lightGray"/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62A73B"/>
        <bgColor rgb="FF62A73B"/>
      </patternFill>
    </fill>
    <fill>
      <patternFill patternType="solid">
        <fgColor rgb="FFF9F9F9"/>
        <bgColor rgb="FFF9F9F9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A6A6A6"/>
        <bgColor rgb="FFA6A6A6"/>
      </patternFill>
    </fill>
  </fills>
  <borders count="184">
    <border/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/>
      <right/>
      <top style="thin">
        <color rgb="FF3C3C3C"/>
      </top>
      <bottom style="thin">
        <color rgb="FF3C3C3C"/>
      </bottom>
    </border>
    <border>
      <left/>
      <right style="thin">
        <color rgb="FF3C3C3C"/>
      </right>
      <top style="thin">
        <color rgb="FF3C3C3C"/>
      </top>
      <bottom style="thin">
        <color rgb="FF3C3C3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 style="thin">
        <color rgb="FF3C3C3C"/>
      </left>
      <top style="thin">
        <color rgb="FF3C3C3C"/>
      </top>
      <bottom style="thin">
        <color rgb="FF3C3C3C"/>
      </bottom>
    </border>
    <border>
      <top style="thin">
        <color rgb="FF3C3C3C"/>
      </top>
      <bottom style="thin">
        <color rgb="FF3C3C3C"/>
      </bottom>
    </border>
    <border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/>
      <bottom style="thin">
        <color rgb="FF3C3C3C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</border>
    <border>
      <left style="thin">
        <color rgb="FF3C3C3C"/>
      </left>
      <top style="double">
        <color rgb="FF3C3C3C"/>
      </top>
      <bottom style="hair">
        <color rgb="FF3C3C3C"/>
      </bottom>
    </border>
    <border>
      <right style="thin">
        <color rgb="FF3C3C3C"/>
      </right>
      <top style="double">
        <color rgb="FF3C3C3C"/>
      </top>
      <bottom style="hair">
        <color rgb="FF3C3C3C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double">
        <color rgb="FF3C3C3C"/>
      </right>
      <top style="double">
        <color rgb="FF3C3C3C"/>
      </top>
      <bottom style="hair">
        <color rgb="FF3C3C3C"/>
      </bottom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</border>
    <border>
      <left style="double">
        <color rgb="FF3C3C3C"/>
      </left>
      <right style="thin">
        <color rgb="FF3C3C3C"/>
      </right>
      <bottom style="hair">
        <color rgb="FF3C3C3C"/>
      </bottom>
    </border>
    <border>
      <left style="thin">
        <color rgb="FF3C3C3C"/>
      </left>
      <right style="thin">
        <color rgb="FF3C3C3C"/>
      </right>
      <bottom style="hair">
        <color rgb="FF3C3C3C"/>
      </bottom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</border>
    <border>
      <left style="double">
        <color rgb="FF3C3C3C"/>
      </left>
      <right style="thin">
        <color rgb="FF3C3C3C"/>
      </right>
      <top style="hair">
        <color rgb="FF3C3C3C"/>
      </top>
    </border>
    <border>
      <left style="thin">
        <color rgb="FF3C3C3C"/>
      </left>
      <right style="thin">
        <color rgb="FF3C3C3C"/>
      </right>
      <top style="hair">
        <color rgb="FF3C3C3C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  <bottom style="thin">
        <color rgb="FF000000"/>
      </bottom>
    </border>
    <border>
      <right style="double">
        <color rgb="FF000000"/>
      </right>
      <bottom style="thin">
        <color rgb="FF000000"/>
      </bottom>
    </border>
    <border>
      <left style="thin">
        <color rgb="FF3C3C3C"/>
      </left>
      <right style="double">
        <color rgb="FF3C3C3C"/>
      </right>
      <bottom style="hair">
        <color rgb="FF3C3C3C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double">
        <color rgb="FF3C3C3C"/>
      </left>
      <top style="hair">
        <color rgb="FF3C3C3C"/>
      </top>
      <bottom style="hair">
        <color rgb="FF3C3C3C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3C3C3C"/>
      </right>
      <top style="hair">
        <color rgb="FF3C3C3C"/>
      </top>
      <bottom style="hair">
        <color rgb="FF3C3C3C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double">
        <color rgb="FF3C3C3C"/>
      </left>
      <top style="double">
        <color rgb="FF3C3C3C"/>
      </top>
      <bottom style="hair">
        <color rgb="FF3C3C3C"/>
      </bottom>
    </border>
    <border>
      <top style="double">
        <color rgb="FF3C3C3C"/>
      </top>
      <bottom style="hair">
        <color rgb="FF3C3C3C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3C3C3C"/>
      </left>
      <right style="double">
        <color rgb="FF3C3C3C"/>
      </right>
      <top style="hair">
        <color rgb="FF3C3C3C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3C3C3C"/>
      </left>
      <top style="hair">
        <color rgb="FF3C3C3C"/>
      </top>
      <bottom style="hair">
        <color rgb="FF3C3C3C"/>
      </bottom>
    </border>
    <border>
      <right style="thin">
        <color rgb="FF000000"/>
      </right>
      <bottom style="thin">
        <color rgb="FF000000"/>
      </bottom>
    </border>
    <border>
      <left style="thin">
        <color rgb="FF3C3C3C"/>
      </left>
      <top style="hair">
        <color rgb="FF3C3C3C"/>
      </top>
      <bottom style="double">
        <color rgb="FF3C3C3C"/>
      </bottom>
    </border>
    <border>
      <left style="thin">
        <color rgb="FF3C3C3C"/>
      </left>
      <bottom style="hair">
        <color rgb="FF3C3C3C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hair">
        <color rgb="FF3C3C3C"/>
      </top>
      <bottom style="hair">
        <color rgb="FF3C3C3C"/>
      </bottom>
    </border>
    <border>
      <left/>
      <right/>
      <bottom style="medium">
        <color rgb="FF000000"/>
      </bottom>
    </border>
    <border>
      <bottom style="medium">
        <color rgb="FF000000"/>
      </bottom>
    </border>
    <border>
      <top style="hair">
        <color rgb="FF3C3C3C"/>
      </top>
      <bottom style="double">
        <color rgb="FF3C3C3C"/>
      </bottom>
    </border>
    <border>
      <bottom style="thick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</border>
    <border>
      <top style="thin">
        <color rgb="FF000000"/>
      </top>
      <bottom style="thin">
        <color rgb="FF000000"/>
      </bottom>
    </border>
    <border>
      <top style="thick">
        <color rgb="FF000000"/>
      </top>
    </border>
    <border>
      <right style="thin">
        <color rgb="FF000000"/>
      </right>
    </border>
    <border>
      <right style="medium">
        <color rgb="FF000000"/>
      </right>
    </border>
    <border>
      <left style="double">
        <color rgb="FF3C3C3C"/>
      </left>
      <bottom style="hair">
        <color rgb="FF3C3C3C"/>
      </bottom>
    </border>
    <border>
      <right style="double">
        <color rgb="FF3C3C3C"/>
      </right>
      <top style="hair">
        <color rgb="FF3C3C3C"/>
      </top>
      <bottom style="hair">
        <color rgb="FF3C3C3C"/>
      </bottom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</border>
    <border>
      <right style="thin">
        <color rgb="FF3C3C3C"/>
      </right>
      <bottom style="hair">
        <color rgb="FF3C3C3C"/>
      </bottom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</border>
    <border>
      <right style="thin">
        <color rgb="FF3C3C3C"/>
      </right>
      <top style="hair">
        <color rgb="FF3C3C3C"/>
      </top>
      <bottom style="double">
        <color rgb="FF3C3C3C"/>
      </bottom>
    </border>
    <border>
      <right style="double">
        <color rgb="FF3C3C3C"/>
      </right>
      <top style="double">
        <color rgb="FF3C3C3C"/>
      </top>
    </border>
    <border>
      <top style="hair">
        <color rgb="FF3C3C3C"/>
      </top>
    </border>
    <border>
      <left style="thin">
        <color rgb="FF3C3C3C"/>
      </left>
      <top style="hair">
        <color rgb="FF3C3C3C"/>
      </top>
    </border>
    <border>
      <bottom style="hair">
        <color rgb="FF3C3C3C"/>
      </bottom>
    </border>
    <border>
      <left style="thin">
        <color rgb="FF000000"/>
      </left>
    </border>
    <border>
      <left style="thin">
        <color rgb="FF3C3C3C"/>
      </left>
      <right style="thin">
        <color rgb="FF3C3C3C"/>
      </right>
      <top style="thin">
        <color rgb="FF3C3C3C"/>
      </top>
    </border>
    <border>
      <left style="thin">
        <color rgb="FF3C3C3C"/>
      </left>
      <right style="thin">
        <color rgb="FF3C3C3C"/>
      </right>
      <bottom style="thin">
        <color rgb="FF3C3C3C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bottom style="thin">
        <color rgb="FF000000"/>
      </bottom>
    </border>
    <border>
      <right style="thin">
        <color rgb="FF3C3C3C"/>
      </right>
    </border>
    <border>
      <right/>
    </border>
    <border>
      <right style="thin">
        <color rgb="FF3C3C3C"/>
      </right>
      <bottom style="thin">
        <color rgb="FF3C3C3C"/>
      </bottom>
    </border>
    <border>
      <top style="thin">
        <color rgb="FF000000"/>
      </top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</border>
    <border>
      <right style="thin">
        <color rgb="FF3C3C3C"/>
      </right>
      <top style="double">
        <color rgb="FF3C3C3C"/>
      </top>
      <bottom style="thin">
        <color rgb="FF3C3C3C"/>
      </bottom>
    </border>
    <border>
      <left style="double">
        <color rgb="FF3C3C3C"/>
      </left>
      <right style="thin">
        <color rgb="FF3C3C3C"/>
      </right>
    </border>
    <border>
      <left style="double">
        <color rgb="FF3C3C3C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double">
        <color rgb="FF3C3C3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double">
        <color rgb="FF3C3C3C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double">
        <color rgb="FF3C3C3C"/>
      </bottom>
    </border>
    <border>
      <right style="thin">
        <color rgb="FF000000"/>
      </right>
      <top style="double">
        <color rgb="FF3C3C3C"/>
      </top>
      <bottom style="double">
        <color rgb="FF3C3C3C"/>
      </bottom>
    </border>
    <border>
      <left style="double">
        <color rgb="FF3C3C3C"/>
      </left>
      <right style="thin">
        <color rgb="FF000000"/>
      </right>
      <top style="double">
        <color rgb="FF3C3C3C"/>
      </top>
      <bottom style="double">
        <color rgb="FF3C3C3C"/>
      </bottom>
    </border>
    <border>
      <left style="thin">
        <color rgb="FF000000"/>
      </left>
      <right style="thin">
        <color rgb="FF000000"/>
      </right>
      <top style="double">
        <color rgb="FF3C3C3C"/>
      </top>
      <bottom style="double">
        <color rgb="FF3C3C3C"/>
      </bottom>
    </border>
    <border>
      <right style="double">
        <color rgb="FF3C3C3C"/>
      </right>
      <top style="double">
        <color rgb="FF3C3C3C"/>
      </top>
      <bottom style="thin">
        <color rgb="FF3C3C3C"/>
      </bottom>
    </border>
    <border>
      <right style="double">
        <color rgb="FF3C3C3C"/>
      </right>
    </border>
    <border>
      <left style="double">
        <color rgb="FF3C3C3C"/>
      </left>
      <right style="thin">
        <color rgb="FF3C3C3C"/>
      </right>
      <bottom style="thin">
        <color rgb="FF000000"/>
      </bottom>
    </border>
    <border>
      <right style="thin">
        <color rgb="FF3C3C3C"/>
      </right>
      <bottom style="thin">
        <color rgb="FF000000"/>
      </bottom>
    </border>
    <border>
      <right style="double">
        <color rgb="FF3C3C3C"/>
      </right>
      <bottom style="thin">
        <color rgb="FF000000"/>
      </bottom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</border>
    <border>
      <left style="thin">
        <color rgb="FF3C3C3C"/>
      </left>
      <right style="double">
        <color rgb="FF3C3C3C"/>
      </right>
    </border>
    <border>
      <left style="double">
        <color rgb="FF3C3C3C"/>
      </left>
      <right style="thin">
        <color rgb="FF3C3C3C"/>
      </right>
      <bottom style="double">
        <color rgb="FF3C3C3C"/>
      </bottom>
    </border>
    <border>
      <left style="thin">
        <color rgb="FF3C3C3C"/>
      </left>
      <right style="thin">
        <color rgb="FF3C3C3C"/>
      </right>
      <bottom style="double">
        <color rgb="FF3C3C3C"/>
      </bottom>
    </border>
    <border>
      <left style="thin">
        <color rgb="FF3C3C3C"/>
      </left>
      <right style="double">
        <color rgb="FF3C3C3C"/>
      </right>
      <bottom style="double">
        <color rgb="FF3C3C3C"/>
      </bottom>
    </border>
    <border>
      <left style="double">
        <color rgb="FF3C3C3C"/>
      </left>
      <right style="thin">
        <color rgb="FF3C3C3C"/>
      </right>
      <bottom style="thin">
        <color rgb="FF3C3C3C"/>
      </bottom>
    </border>
    <border>
      <left style="double">
        <color rgb="FF3C3C3C"/>
      </left>
      <right style="thin">
        <color rgb="FF000000"/>
      </right>
    </border>
    <border>
      <right style="double">
        <color rgb="FF3C3C3C"/>
      </righ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left style="thin">
        <color rgb="FF3C3C3C"/>
      </left>
      <right style="thin">
        <color rgb="FF3C3C3C"/>
      </right>
      <top style="thick">
        <color rgb="FF000000"/>
      </top>
      <bottom style="thick">
        <color rgb="FF000000"/>
      </bottom>
    </border>
    <border>
      <right style="double">
        <color rgb="FF3C3C3C"/>
      </right>
      <top style="double">
        <color rgb="FF3C3C3C"/>
      </top>
      <bottom style="double">
        <color rgb="FF3C3C3C"/>
      </bottom>
    </border>
    <border>
      <left style="thin">
        <color rgb="FF3C3C3C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double">
        <color rgb="FF3C3C3C"/>
      </left>
      <bottom style="double">
        <color rgb="FF3C3C3C"/>
      </bottom>
    </border>
  </borders>
  <cellStyleXfs count="1">
    <xf borderId="0" fillId="0" fontId="0" numFmtId="0" applyAlignment="1" applyFont="1"/>
  </cellStyleXfs>
  <cellXfs count="90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0" fontId="4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2" fillId="2" fontId="6" numFmtId="0" xfId="0" applyAlignment="1" applyBorder="1" applyFill="1" applyFont="1">
      <alignment horizontal="center" shrinkToFit="0" vertical="bottom" wrapText="0"/>
    </xf>
    <xf borderId="3" fillId="0" fontId="7" numFmtId="0" xfId="0" applyBorder="1" applyFont="1"/>
    <xf borderId="4" fillId="0" fontId="8" numFmtId="0" xfId="0" applyAlignment="1" applyBorder="1" applyFont="1">
      <alignment horizontal="center" shrinkToFit="0" vertical="bottom" wrapText="0"/>
    </xf>
    <xf borderId="5" fillId="0" fontId="7" numFmtId="0" xfId="0" applyBorder="1" applyFont="1"/>
    <xf borderId="6" fillId="0" fontId="9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right" shrinkToFit="0" vertical="bottom" wrapText="0"/>
    </xf>
    <xf borderId="7" fillId="0" fontId="9" numFmtId="0" xfId="0" applyAlignment="1" applyBorder="1" applyFont="1">
      <alignment horizontal="center" shrinkToFit="0" vertical="bottom" wrapText="0"/>
    </xf>
    <xf borderId="1" fillId="3" fontId="4" numFmtId="9" xfId="0" applyAlignment="1" applyBorder="1" applyFill="1" applyFont="1" applyNumberForma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9" fillId="2" fontId="10" numFmtId="0" xfId="0" applyAlignment="1" applyBorder="1" applyFont="1">
      <alignment horizontal="left" shrinkToFit="0" vertical="center" wrapText="1"/>
    </xf>
    <xf borderId="10" fillId="0" fontId="1" numFmtId="164" xfId="0" applyAlignment="1" applyBorder="1" applyFont="1" applyNumberFormat="1">
      <alignment shrinkToFit="0" vertical="bottom" wrapText="0"/>
    </xf>
    <xf borderId="11" fillId="0" fontId="7" numFmtId="0" xfId="0" applyBorder="1" applyFont="1"/>
    <xf borderId="12" fillId="0" fontId="7" numFmtId="0" xfId="0" applyBorder="1" applyFont="1"/>
    <xf borderId="13" fillId="0" fontId="7" numFmtId="0" xfId="0" applyBorder="1" applyFont="1"/>
    <xf borderId="14" fillId="0" fontId="1" numFmtId="164" xfId="0" applyAlignment="1" applyBorder="1" applyFont="1" applyNumberFormat="1">
      <alignment shrinkToFit="0" vertical="bottom" wrapText="0"/>
    </xf>
    <xf borderId="15" fillId="0" fontId="7" numFmtId="0" xfId="0" applyBorder="1" applyFont="1"/>
    <xf borderId="0" fillId="0" fontId="11" numFmtId="0" xfId="0" applyAlignment="1" applyFont="1">
      <alignment shrinkToFit="0" vertical="center" wrapText="0"/>
    </xf>
    <xf borderId="1" fillId="3" fontId="4" numFmtId="165" xfId="0" applyAlignment="1" applyBorder="1" applyFont="1" applyNumberForma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16" fillId="0" fontId="7" numFmtId="0" xfId="0" applyBorder="1" applyFont="1"/>
    <xf borderId="17" fillId="0" fontId="1" numFmtId="0" xfId="0" applyAlignment="1" applyBorder="1" applyFont="1">
      <alignment shrinkToFit="0" vertical="bottom" wrapText="0"/>
    </xf>
    <xf borderId="18" fillId="0" fontId="7" numFmtId="0" xfId="0" applyBorder="1" applyFont="1"/>
    <xf borderId="19" fillId="0" fontId="1" numFmtId="164" xfId="0" applyAlignment="1" applyBorder="1" applyFont="1" applyNumberFormat="1">
      <alignment shrinkToFit="0" vertical="bottom" wrapText="0"/>
    </xf>
    <xf borderId="20" fillId="0" fontId="7" numFmtId="0" xfId="0" applyBorder="1" applyFont="1"/>
    <xf borderId="21" fillId="0" fontId="1" numFmtId="164" xfId="0" applyAlignment="1" applyBorder="1" applyFont="1" applyNumberFormat="1">
      <alignment shrinkToFit="0" vertical="bottom" wrapText="0"/>
    </xf>
    <xf borderId="22" fillId="0" fontId="1" numFmtId="0" xfId="0" applyAlignment="1" applyBorder="1" applyFont="1">
      <alignment shrinkToFit="0" vertical="bottom" wrapText="0"/>
    </xf>
    <xf borderId="23" fillId="0" fontId="12" numFmtId="4" xfId="0" applyAlignment="1" applyBorder="1" applyFont="1" applyNumberFormat="1">
      <alignment shrinkToFit="0" vertical="bottom" wrapText="0"/>
    </xf>
    <xf borderId="9" fillId="2" fontId="13" numFmtId="0" xfId="0" applyAlignment="1" applyBorder="1" applyFont="1">
      <alignment horizontal="left" shrinkToFit="0" vertical="center" wrapText="1"/>
    </xf>
    <xf borderId="24" fillId="0" fontId="1" numFmtId="164" xfId="0" applyAlignment="1" applyBorder="1" applyFont="1" applyNumberFormat="1">
      <alignment shrinkToFit="0" vertical="bottom" wrapText="0"/>
    </xf>
    <xf borderId="0" fillId="0" fontId="12" numFmtId="0" xfId="0" applyAlignment="1" applyFont="1">
      <alignment horizontal="right" shrinkToFit="0" vertical="bottom" wrapText="0"/>
    </xf>
    <xf borderId="1" fillId="3" fontId="4" numFmtId="0" xfId="0" applyAlignment="1" applyBorder="1" applyFont="1">
      <alignment horizontal="center" shrinkToFit="0" vertical="bottom" wrapText="0"/>
    </xf>
    <xf borderId="25" fillId="0" fontId="5" numFmtId="0" xfId="0" applyAlignment="1" applyBorder="1" applyFont="1">
      <alignment shrinkToFit="0" vertical="bottom" wrapText="0"/>
    </xf>
    <xf borderId="2" fillId="2" fontId="13" numFmtId="0" xfId="0" applyAlignment="1" applyBorder="1" applyFont="1">
      <alignment horizontal="left" shrinkToFit="0" vertical="center" wrapText="0"/>
    </xf>
    <xf borderId="26" fillId="0" fontId="1" numFmtId="166" xfId="0" applyAlignment="1" applyBorder="1" applyFont="1" applyNumberFormat="1">
      <alignment shrinkToFit="0" vertical="bottom" wrapText="0"/>
    </xf>
    <xf borderId="26" fillId="0" fontId="1" numFmtId="0" xfId="0" applyAlignment="1" applyBorder="1" applyFont="1">
      <alignment horizontal="center" shrinkToFit="0" vertical="bottom" wrapText="0"/>
    </xf>
    <xf borderId="1" fillId="3" fontId="4" numFmtId="10" xfId="0" applyAlignment="1" applyBorder="1" applyFont="1" applyNumberFormat="1">
      <alignment horizontal="center" readingOrder="0" shrinkToFit="0" vertical="bottom" wrapText="0"/>
    </xf>
    <xf borderId="27" fillId="0" fontId="1" numFmtId="166" xfId="0" applyAlignment="1" applyBorder="1" applyFont="1" applyNumberFormat="1">
      <alignment shrinkToFit="0" vertical="bottom" wrapText="0"/>
    </xf>
    <xf borderId="28" fillId="4" fontId="12" numFmtId="0" xfId="0" applyAlignment="1" applyBorder="1" applyFill="1" applyFont="1">
      <alignment shrinkToFit="0" vertical="bottom" wrapText="0"/>
    </xf>
    <xf borderId="29" fillId="4" fontId="12" numFmtId="0" xfId="0" applyAlignment="1" applyBorder="1" applyFont="1">
      <alignment shrinkToFit="0" vertical="bottom" wrapText="0"/>
    </xf>
    <xf borderId="0" fillId="0" fontId="14" numFmtId="0" xfId="0" applyAlignment="1" applyFont="1">
      <alignment shrinkToFit="0" vertical="center" wrapText="0"/>
    </xf>
    <xf borderId="30" fillId="4" fontId="12" numFmtId="0" xfId="0" applyAlignment="1" applyBorder="1" applyFont="1">
      <alignment shrinkToFit="0" vertical="bottom" wrapText="0"/>
    </xf>
    <xf borderId="1" fillId="4" fontId="12" numFmtId="0" xfId="0" applyAlignment="1" applyBorder="1" applyFont="1">
      <alignment shrinkToFit="0" vertical="bottom" wrapText="0"/>
    </xf>
    <xf borderId="31" fillId="0" fontId="5" numFmtId="0" xfId="0" applyAlignment="1" applyBorder="1" applyFont="1">
      <alignment shrinkToFit="0" vertical="bottom" wrapText="0"/>
    </xf>
    <xf borderId="1" fillId="4" fontId="12" numFmtId="0" xfId="0" applyAlignment="1" applyBorder="1" applyFont="1">
      <alignment readingOrder="0" shrinkToFit="0" vertical="bottom" wrapText="0"/>
    </xf>
    <xf borderId="32" fillId="0" fontId="1" numFmtId="166" xfId="0" applyAlignment="1" applyBorder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32" fillId="0" fontId="1" numFmtId="0" xfId="0" applyAlignment="1" applyBorder="1" applyFont="1">
      <alignment horizontal="center" shrinkToFit="0" vertical="bottom" wrapText="0"/>
    </xf>
    <xf borderId="33" fillId="4" fontId="12" numFmtId="10" xfId="0" applyAlignment="1" applyBorder="1" applyFont="1" applyNumberFormat="1">
      <alignment readingOrder="0" shrinkToFit="0" vertical="bottom" wrapText="0"/>
    </xf>
    <xf borderId="0" fillId="0" fontId="10" numFmtId="0" xfId="0" applyAlignment="1" applyFont="1">
      <alignment shrinkToFit="0" vertical="bottom" wrapText="0"/>
    </xf>
    <xf borderId="32" fillId="0" fontId="1" numFmtId="0" xfId="0" applyAlignment="1" applyBorder="1" applyFont="1">
      <alignment horizontal="center" readingOrder="0" shrinkToFit="0" vertical="bottom" wrapText="0"/>
    </xf>
    <xf borderId="34" fillId="4" fontId="12" numFmtId="0" xfId="0" applyAlignment="1" applyBorder="1" applyFont="1">
      <alignment horizontal="center" readingOrder="0" shrinkToFit="0" vertical="bottom" wrapText="0"/>
    </xf>
    <xf borderId="35" fillId="0" fontId="7" numFmtId="0" xfId="0" applyBorder="1" applyFont="1"/>
    <xf borderId="32" fillId="0" fontId="1" numFmtId="166" xfId="0" applyAlignment="1" applyBorder="1" applyFont="1" applyNumberFormat="1">
      <alignment readingOrder="0" shrinkToFit="0" vertical="bottom" wrapText="0"/>
    </xf>
    <xf borderId="36" fillId="0" fontId="7" numFmtId="0" xfId="0" applyBorder="1" applyFont="1"/>
    <xf borderId="37" fillId="4" fontId="12" numFmtId="10" xfId="0" applyAlignment="1" applyBorder="1" applyFont="1" applyNumberFormat="1">
      <alignment readingOrder="0" shrinkToFit="0" vertical="bottom" wrapText="0"/>
    </xf>
    <xf borderId="1" fillId="4" fontId="12" numFmtId="10" xfId="0" applyAlignment="1" applyBorder="1" applyFont="1" applyNumberFormat="1">
      <alignment readingOrder="0" shrinkToFit="0" vertical="bottom" wrapText="0"/>
    </xf>
    <xf borderId="0" fillId="0" fontId="15" numFmtId="0" xfId="0" applyAlignment="1" applyFont="1">
      <alignment readingOrder="0" shrinkToFit="0" vertical="bottom" wrapText="0"/>
    </xf>
    <xf borderId="23" fillId="0" fontId="12" numFmtId="166" xfId="0" applyAlignment="1" applyBorder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25" fillId="0" fontId="5" numFmtId="0" xfId="0" applyAlignment="1" applyBorder="1" applyFont="1">
      <alignment readingOrder="0" shrinkToFit="0" vertical="bottom" wrapText="0"/>
    </xf>
    <xf borderId="26" fillId="0" fontId="1" numFmtId="166" xfId="0" applyAlignment="1" applyBorder="1" applyFont="1" applyNumberFormat="1">
      <alignment readingOrder="0" shrinkToFit="0" vertical="bottom" wrapText="0"/>
    </xf>
    <xf borderId="0" fillId="0" fontId="16" numFmtId="0" xfId="0" applyFont="1"/>
    <xf borderId="0" fillId="5" fontId="8" numFmtId="0" xfId="0" applyAlignment="1" applyFill="1" applyFont="1">
      <alignment readingOrder="0" shrinkToFit="0" vertical="bottom" wrapText="0"/>
    </xf>
    <xf borderId="0" fillId="0" fontId="9" numFmtId="167" xfId="0" applyAlignment="1" applyFont="1" applyNumberFormat="1">
      <alignment shrinkToFit="0" vertical="bottom" wrapText="0"/>
    </xf>
    <xf borderId="17" fillId="0" fontId="8" numFmtId="0" xfId="0" applyAlignment="1" applyBorder="1" applyFont="1">
      <alignment shrinkToFit="0" vertical="bottom" wrapText="0"/>
    </xf>
    <xf borderId="21" fillId="0" fontId="9" numFmtId="167" xfId="0" applyAlignment="1" applyBorder="1" applyFont="1" applyNumberForma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22" fillId="0" fontId="8" numFmtId="0" xfId="0" applyAlignment="1" applyBorder="1" applyFont="1">
      <alignment shrinkToFit="0" vertical="bottom" wrapText="0"/>
    </xf>
    <xf borderId="38" fillId="0" fontId="9" numFmtId="167" xfId="0" applyAlignment="1" applyBorder="1" applyFont="1" applyNumberFormat="1">
      <alignment readingOrder="0" shrinkToFit="0" vertical="bottom" wrapText="0"/>
    </xf>
    <xf borderId="39" fillId="0" fontId="9" numFmtId="0" xfId="0" applyAlignment="1" applyBorder="1" applyFont="1">
      <alignment horizontal="center" shrinkToFit="0" vertical="bottom" wrapText="0"/>
    </xf>
    <xf borderId="4" fillId="0" fontId="9" numFmtId="0" xfId="0" applyAlignment="1" applyBorder="1" applyFont="1">
      <alignment horizontal="center" shrinkToFit="0" vertical="bottom" wrapText="0"/>
    </xf>
    <xf borderId="25" fillId="0" fontId="1" numFmtId="0" xfId="0" applyAlignment="1" applyBorder="1" applyFont="1">
      <alignment horizontal="left" shrinkToFit="0" vertical="center" wrapText="0"/>
    </xf>
    <xf borderId="26" fillId="0" fontId="1" numFmtId="0" xfId="0" applyAlignment="1" applyBorder="1" applyFont="1">
      <alignment horizontal="center" readingOrder="0" shrinkToFit="0" vertical="bottom" wrapText="0"/>
    </xf>
    <xf borderId="40" fillId="0" fontId="1" numFmtId="166" xfId="0" applyAlignment="1" applyBorder="1" applyFont="1" applyNumberFormat="1">
      <alignment shrinkToFit="0" vertical="bottom" wrapText="0"/>
    </xf>
    <xf borderId="0" fillId="0" fontId="12" numFmtId="0" xfId="0" applyAlignment="1" applyFont="1">
      <alignment shrinkToFit="0" vertical="bottom" wrapText="0"/>
    </xf>
    <xf borderId="31" fillId="0" fontId="1" numFmtId="166" xfId="0" applyAlignment="1" applyBorder="1" applyFont="1" applyNumberFormat="1">
      <alignment readingOrder="0" shrinkToFit="0" vertical="bottom" wrapText="0"/>
    </xf>
    <xf borderId="41" fillId="0" fontId="17" numFmtId="0" xfId="0" applyAlignment="1" applyBorder="1" applyFont="1">
      <alignment shrinkToFit="0" vertical="bottom" wrapText="0"/>
    </xf>
    <xf borderId="42" fillId="0" fontId="4" numFmtId="0" xfId="0" applyAlignment="1" applyBorder="1" applyFont="1">
      <alignment horizontal="center" shrinkToFit="0" vertical="bottom" wrapText="0"/>
    </xf>
    <xf borderId="31" fillId="0" fontId="1" numFmtId="0" xfId="0" applyAlignment="1" applyBorder="1" applyFont="1">
      <alignment horizontal="left" shrinkToFit="0" vertical="center" wrapText="0"/>
    </xf>
    <xf borderId="43" fillId="0" fontId="7" numFmtId="0" xfId="0" applyBorder="1" applyFont="1"/>
    <xf borderId="44" fillId="0" fontId="1" numFmtId="166" xfId="0" applyAlignment="1" applyBorder="1" applyFont="1" applyNumberFormat="1">
      <alignment shrinkToFit="0" vertical="bottom" wrapText="0"/>
    </xf>
    <xf borderId="45" fillId="0" fontId="7" numFmtId="0" xfId="0" applyBorder="1" applyFont="1"/>
    <xf borderId="31" fillId="0" fontId="1" numFmtId="166" xfId="0" applyAlignment="1" applyBorder="1" applyFont="1" applyNumberFormat="1">
      <alignment shrinkToFit="0" vertical="bottom" wrapText="0"/>
    </xf>
    <xf borderId="46" fillId="0" fontId="17" numFmtId="0" xfId="0" applyAlignment="1" applyBorder="1" applyFont="1">
      <alignment shrinkToFit="0" vertical="bottom" wrapText="0"/>
    </xf>
    <xf borderId="47" fillId="0" fontId="1" numFmtId="166" xfId="0" applyAlignment="1" applyBorder="1" applyFont="1" applyNumberFormat="1">
      <alignment shrinkToFit="0" vertical="bottom" wrapText="0"/>
    </xf>
    <xf borderId="48" fillId="0" fontId="4" numFmtId="0" xfId="0" applyAlignment="1" applyBorder="1" applyFont="1">
      <alignment horizontal="center" shrinkToFit="0" vertical="bottom" wrapText="0"/>
    </xf>
    <xf borderId="49" fillId="0" fontId="4" numFmtId="0" xfId="0" applyAlignment="1" applyBorder="1" applyFont="1">
      <alignment horizontal="center" shrinkToFit="0" vertical="bottom" wrapText="0"/>
    </xf>
    <xf borderId="50" fillId="0" fontId="12" numFmtId="0" xfId="0" applyAlignment="1" applyBorder="1" applyFont="1">
      <alignment shrinkToFit="0" vertical="bottom" wrapText="0"/>
    </xf>
    <xf borderId="51" fillId="0" fontId="12" numFmtId="0" xfId="0" applyAlignment="1" applyBorder="1" applyFont="1">
      <alignment shrinkToFit="0" vertical="bottom" wrapText="0"/>
    </xf>
    <xf borderId="52" fillId="0" fontId="4" numFmtId="0" xfId="0" applyAlignment="1" applyBorder="1" applyFont="1">
      <alignment shrinkToFit="0" vertical="bottom" wrapText="0"/>
    </xf>
    <xf borderId="53" fillId="0" fontId="12" numFmtId="0" xfId="0" applyAlignment="1" applyBorder="1" applyFont="1">
      <alignment shrinkToFit="0" vertical="bottom" wrapText="0"/>
    </xf>
    <xf borderId="52" fillId="0" fontId="12" numFmtId="0" xfId="0" applyAlignment="1" applyBorder="1" applyFont="1">
      <alignment shrinkToFit="0" vertical="bottom" wrapText="0"/>
    </xf>
    <xf borderId="53" fillId="0" fontId="12" numFmtId="167" xfId="0" applyAlignment="1" applyBorder="1" applyFont="1" applyNumberFormat="1">
      <alignment shrinkToFit="0" vertical="bottom" wrapText="0"/>
    </xf>
    <xf borderId="47" fillId="0" fontId="1" numFmtId="166" xfId="0" applyAlignment="1" applyBorder="1" applyFont="1" applyNumberFormat="1">
      <alignment readingOrder="0" shrinkToFit="0" vertical="bottom" wrapText="0"/>
    </xf>
    <xf borderId="52" fillId="0" fontId="12" numFmtId="0" xfId="0" applyAlignment="1" applyBorder="1" applyFont="1">
      <alignment horizontal="left" shrinkToFit="0" vertical="bottom" wrapText="0"/>
    </xf>
    <xf borderId="53" fillId="0" fontId="12" numFmtId="167" xfId="0" applyAlignment="1" applyBorder="1" applyFont="1" applyNumberFormat="1">
      <alignment readingOrder="0" shrinkToFit="0" vertical="bottom" wrapText="0"/>
    </xf>
    <xf borderId="54" fillId="0" fontId="12" numFmtId="0" xfId="0" applyAlignment="1" applyBorder="1" applyFont="1">
      <alignment shrinkToFit="0" vertical="bottom" wrapText="0"/>
    </xf>
    <xf borderId="55" fillId="0" fontId="12" numFmtId="167" xfId="0" applyAlignment="1" applyBorder="1" applyFont="1" applyNumberFormat="1">
      <alignment shrinkToFit="0" vertical="bottom" wrapText="0"/>
    </xf>
    <xf borderId="23" fillId="0" fontId="4" numFmtId="0" xfId="0" applyAlignment="1" applyBorder="1" applyFont="1">
      <alignment shrinkToFit="0" vertical="bottom" wrapText="0"/>
    </xf>
    <xf borderId="23" fillId="0" fontId="4" numFmtId="167" xfId="0" applyAlignment="1" applyBorder="1" applyFont="1" applyNumberFormat="1">
      <alignment shrinkToFit="0" vertical="bottom" wrapText="0"/>
    </xf>
    <xf borderId="51" fillId="0" fontId="12" numFmtId="167" xfId="0" applyAlignment="1" applyBorder="1" applyFont="1" applyNumberFormat="1">
      <alignment shrinkToFit="0" vertical="bottom" wrapText="0"/>
    </xf>
    <xf borderId="0" fillId="6" fontId="18" numFmtId="0" xfId="0" applyAlignment="1" applyFill="1" applyFont="1">
      <alignment readingOrder="0"/>
    </xf>
    <xf borderId="0" fillId="6" fontId="19" numFmtId="0" xfId="0" applyAlignment="1" applyFont="1">
      <alignment readingOrder="0"/>
    </xf>
    <xf borderId="56" fillId="0" fontId="9" numFmtId="166" xfId="0" applyAlignment="1" applyBorder="1" applyFont="1" applyNumberFormat="1">
      <alignment shrinkToFit="0" vertical="bottom" wrapText="0"/>
    </xf>
    <xf borderId="57" fillId="0" fontId="9" numFmtId="166" xfId="0" applyAlignment="1" applyBorder="1" applyFont="1" applyNumberFormat="1">
      <alignment shrinkToFit="0" vertical="bottom" wrapText="0"/>
    </xf>
    <xf borderId="53" fillId="0" fontId="4" numFmtId="167" xfId="0" applyAlignment="1" applyBorder="1" applyFont="1" applyNumberFormat="1">
      <alignment shrinkToFit="0" vertical="bottom" wrapText="0"/>
    </xf>
    <xf borderId="32" fillId="0" fontId="1" numFmtId="10" xfId="0" applyAlignment="1" applyBorder="1" applyFont="1" applyNumberFormat="1">
      <alignment shrinkToFit="0" vertical="bottom" wrapText="0"/>
    </xf>
    <xf borderId="32" fillId="0" fontId="12" numFmtId="9" xfId="0" applyAlignment="1" applyBorder="1" applyFont="1" applyNumberFormat="1">
      <alignment shrinkToFit="0" vertical="bottom" wrapText="0"/>
    </xf>
    <xf borderId="31" fillId="0" fontId="1" numFmtId="0" xfId="0" applyAlignment="1" applyBorder="1" applyFont="1">
      <alignment horizontal="left" readingOrder="0" shrinkToFit="0" vertical="center" wrapText="0"/>
    </xf>
    <xf borderId="46" fillId="0" fontId="4" numFmtId="0" xfId="0" applyAlignment="1" applyBorder="1" applyFont="1">
      <alignment horizontal="left" shrinkToFit="0" vertical="bottom" wrapText="0"/>
    </xf>
    <xf borderId="48" fillId="0" fontId="4" numFmtId="167" xfId="0" applyAlignment="1" applyBorder="1" applyFont="1" applyNumberFormat="1">
      <alignment shrinkToFit="0" vertical="bottom" wrapText="0"/>
    </xf>
    <xf borderId="48" fillId="0" fontId="12" numFmtId="167" xfId="0" applyAlignment="1" applyBorder="1" applyFont="1" applyNumberFormat="1">
      <alignment shrinkToFit="0" vertical="bottom" wrapText="0"/>
    </xf>
    <xf borderId="32" fillId="0" fontId="1" numFmtId="168" xfId="0" applyAlignment="1" applyBorder="1" applyFont="1" applyNumberFormat="1">
      <alignment readingOrder="0" shrinkToFit="0" vertical="bottom" wrapText="0"/>
    </xf>
    <xf borderId="41" fillId="0" fontId="4" numFmtId="0" xfId="0" applyAlignment="1" applyBorder="1" applyFont="1">
      <alignment horizontal="center" shrinkToFit="0" vertical="bottom" wrapText="0"/>
    </xf>
    <xf borderId="58" fillId="0" fontId="1" numFmtId="0" xfId="0" applyAlignment="1" applyBorder="1" applyFont="1">
      <alignment horizontal="left" readingOrder="0" shrinkToFit="0" vertical="center" wrapText="0"/>
    </xf>
    <xf borderId="59" fillId="0" fontId="4" numFmtId="0" xfId="0" applyAlignment="1" applyBorder="1" applyFont="1">
      <alignment horizontal="center" shrinkToFit="0" vertical="bottom" wrapText="0"/>
    </xf>
    <xf borderId="60" fillId="0" fontId="1" numFmtId="166" xfId="0" applyAlignment="1" applyBorder="1" applyFont="1" applyNumberFormat="1">
      <alignment readingOrder="0" shrinkToFit="0" vertical="bottom" wrapText="0"/>
    </xf>
    <xf borderId="61" fillId="0" fontId="4" numFmtId="0" xfId="0" applyAlignment="1" applyBorder="1" applyFont="1">
      <alignment shrinkToFit="0" vertical="bottom" wrapText="0"/>
    </xf>
    <xf borderId="62" fillId="0" fontId="20" numFmtId="0" xfId="0" applyAlignment="1" applyBorder="1" applyFont="1">
      <alignment horizontal="center" readingOrder="0" vertical="bottom"/>
    </xf>
    <xf borderId="60" fillId="0" fontId="1" numFmtId="0" xfId="0" applyAlignment="1" applyBorder="1" applyFont="1">
      <alignment horizontal="center" readingOrder="0" shrinkToFit="0" vertical="bottom" wrapText="0"/>
    </xf>
    <xf borderId="46" fillId="0" fontId="4" numFmtId="0" xfId="0" applyAlignment="1" applyBorder="1" applyFont="1">
      <alignment shrinkToFit="0" vertical="bottom" wrapText="0"/>
    </xf>
    <xf borderId="63" fillId="0" fontId="1" numFmtId="0" xfId="0" applyAlignment="1" applyBorder="1" applyFont="1">
      <alignment horizontal="left" shrinkToFit="0" vertical="center" wrapText="0"/>
    </xf>
    <xf borderId="49" fillId="0" fontId="4" numFmtId="0" xfId="0" applyAlignment="1" applyBorder="1" applyFont="1">
      <alignment shrinkToFit="0" vertical="bottom" wrapText="0"/>
    </xf>
    <xf borderId="64" fillId="0" fontId="1" numFmtId="166" xfId="0" applyAlignment="1" applyBorder="1" applyFont="1" applyNumberFormat="1">
      <alignment readingOrder="0" shrinkToFit="0" vertical="bottom" wrapText="0"/>
    </xf>
    <xf borderId="64" fillId="0" fontId="1" numFmtId="0" xfId="0" applyAlignment="1" applyBorder="1" applyFont="1">
      <alignment horizontal="center" readingOrder="0" shrinkToFit="0" vertical="bottom" wrapText="0"/>
    </xf>
    <xf borderId="65" fillId="0" fontId="7" numFmtId="0" xfId="0" applyBorder="1" applyFont="1"/>
    <xf borderId="41" fillId="0" fontId="4" numFmtId="0" xfId="0" applyAlignment="1" applyBorder="1" applyFont="1">
      <alignment shrinkToFit="0" vertical="bottom" wrapText="0"/>
    </xf>
    <xf borderId="59" fillId="6" fontId="12" numFmtId="167" xfId="0" applyAlignment="1" applyBorder="1" applyFont="1" applyNumberFormat="1">
      <alignment shrinkToFit="0" vertical="bottom" wrapText="0"/>
    </xf>
    <xf borderId="59" fillId="0" fontId="12" numFmtId="167" xfId="0" applyAlignment="1" applyBorder="1" applyFont="1" applyNumberFormat="1">
      <alignment shrinkToFit="0" vertical="bottom" wrapText="0"/>
    </xf>
    <xf borderId="0" fillId="5" fontId="21" numFmtId="0" xfId="0" applyAlignment="1" applyFont="1">
      <alignment shrinkToFit="0" vertical="bottom" wrapText="0"/>
    </xf>
    <xf borderId="61" fillId="0" fontId="12" numFmtId="0" xfId="0" applyAlignment="1" applyBorder="1" applyFont="1">
      <alignment shrinkToFit="0" vertical="bottom" wrapText="0"/>
    </xf>
    <xf borderId="65" fillId="0" fontId="22" numFmtId="0" xfId="0" applyAlignment="1" applyBorder="1" applyFont="1">
      <alignment horizontal="center" shrinkToFit="0" vertical="bottom" wrapText="0"/>
    </xf>
    <xf borderId="66" fillId="0" fontId="22" numFmtId="0" xfId="0" applyAlignment="1" applyBorder="1" applyFont="1">
      <alignment horizontal="center" shrinkToFit="0" vertical="bottom" wrapText="0"/>
    </xf>
    <xf borderId="0" fillId="5" fontId="1" numFmtId="0" xfId="0" applyAlignment="1" applyFont="1">
      <alignment shrinkToFit="0" vertical="bottom" wrapText="0"/>
    </xf>
    <xf borderId="0" fillId="6" fontId="1" numFmtId="0" xfId="0" applyAlignment="1" applyFont="1">
      <alignment shrinkToFit="0" vertical="bottom" wrapText="0"/>
    </xf>
    <xf borderId="0" fillId="6" fontId="9" numFmtId="166" xfId="0" applyAlignment="1" applyFont="1" applyNumberFormat="1">
      <alignment shrinkToFit="0" vertical="bottom" wrapText="0"/>
    </xf>
    <xf borderId="50" fillId="0" fontId="4" numFmtId="0" xfId="0" applyAlignment="1" applyBorder="1" applyFont="1">
      <alignment shrinkToFit="0" vertical="bottom" wrapText="0"/>
    </xf>
    <xf borderId="0" fillId="6" fontId="5" numFmtId="0" xfId="0" applyAlignment="1" applyFont="1">
      <alignment shrinkToFit="0" vertical="bottom" wrapText="0"/>
    </xf>
    <xf borderId="51" fillId="6" fontId="12" numFmtId="167" xfId="0" applyAlignment="1" applyBorder="1" applyFont="1" applyNumberFormat="1">
      <alignment readingOrder="0" shrinkToFit="0" vertical="bottom" wrapText="0"/>
    </xf>
    <xf borderId="67" fillId="0" fontId="12" numFmtId="0" xfId="0" applyAlignment="1" applyBorder="1" applyFont="1">
      <alignment shrinkToFit="0" vertical="bottom" wrapText="0"/>
    </xf>
    <xf borderId="68" fillId="6" fontId="9" numFmtId="0" xfId="0" applyAlignment="1" applyBorder="1" applyFont="1">
      <alignment horizontal="center" shrinkToFit="0" vertical="bottom" wrapText="0"/>
    </xf>
    <xf borderId="55" fillId="6" fontId="12" numFmtId="169" xfId="0" applyAlignment="1" applyBorder="1" applyFont="1" applyNumberFormat="1">
      <alignment readingOrder="0" shrinkToFit="0" vertical="bottom" wrapText="0"/>
    </xf>
    <xf borderId="53" fillId="0" fontId="12" numFmtId="169" xfId="0" applyAlignment="1" applyBorder="1" applyFont="1" applyNumberFormat="1">
      <alignment shrinkToFit="0" vertical="bottom" wrapText="0"/>
    </xf>
    <xf borderId="53" fillId="0" fontId="12" numFmtId="169" xfId="0" applyAlignment="1" applyBorder="1" applyFont="1" applyNumberFormat="1">
      <alignment readingOrder="0" shrinkToFit="0" vertical="bottom" wrapText="0"/>
    </xf>
    <xf borderId="69" fillId="6" fontId="5" numFmtId="0" xfId="0" applyAlignment="1" applyBorder="1" applyFont="1">
      <alignment shrinkToFit="0" vertical="bottom" wrapText="0"/>
    </xf>
    <xf borderId="65" fillId="0" fontId="22" numFmtId="9" xfId="0" applyAlignment="1" applyBorder="1" applyFont="1" applyNumberFormat="1">
      <alignment horizontal="center" readingOrder="0" shrinkToFit="0" vertical="bottom" wrapText="0"/>
    </xf>
    <xf borderId="66" fillId="0" fontId="22" numFmtId="9" xfId="0" applyAlignment="1" applyBorder="1" applyFont="1" applyNumberFormat="1">
      <alignment horizontal="center" readingOrder="0" shrinkToFit="0" vertical="bottom" wrapText="0"/>
    </xf>
    <xf borderId="70" fillId="0" fontId="12" numFmtId="0" xfId="0" applyAlignment="1" applyBorder="1" applyFont="1">
      <alignment shrinkToFit="0" vertical="bottom" wrapText="0"/>
    </xf>
    <xf borderId="71" fillId="6" fontId="1" numFmtId="169" xfId="0" applyAlignment="1" applyBorder="1" applyFont="1" applyNumberFormat="1">
      <alignment readingOrder="0" shrinkToFit="0" vertical="bottom" wrapText="0"/>
    </xf>
    <xf borderId="72" fillId="6" fontId="1" numFmtId="0" xfId="0" applyAlignment="1" applyBorder="1" applyFont="1">
      <alignment horizontal="center" readingOrder="0" shrinkToFit="0" vertical="bottom" wrapText="0"/>
    </xf>
    <xf borderId="73" fillId="0" fontId="12" numFmtId="4" xfId="0" applyAlignment="1" applyBorder="1" applyFont="1" applyNumberFormat="1">
      <alignment shrinkToFit="0" vertical="bottom" wrapText="0"/>
    </xf>
    <xf borderId="72" fillId="6" fontId="1" numFmtId="9" xfId="0" applyAlignment="1" applyBorder="1" applyFont="1" applyNumberFormat="1">
      <alignment horizontal="center" shrinkToFit="0" vertical="bottom" wrapText="0"/>
    </xf>
    <xf borderId="74" fillId="6" fontId="5" numFmtId="0" xfId="0" applyAlignment="1" applyBorder="1" applyFont="1">
      <alignment shrinkToFit="0" vertical="bottom" wrapText="0"/>
    </xf>
    <xf borderId="75" fillId="6" fontId="1" numFmtId="0" xfId="0" applyAlignment="1" applyBorder="1" applyFont="1">
      <alignment horizontal="center" readingOrder="0" shrinkToFit="0" vertical="bottom" wrapText="0"/>
    </xf>
    <xf borderId="76" fillId="0" fontId="12" numFmtId="169" xfId="0" applyAlignment="1" applyBorder="1" applyFont="1" applyNumberFormat="1">
      <alignment shrinkToFit="0" vertical="bottom" wrapText="0"/>
    </xf>
    <xf borderId="22" fillId="6" fontId="5" numFmtId="0" xfId="0" applyAlignment="1" applyBorder="1" applyFont="1">
      <alignment shrinkToFit="0" vertical="bottom" wrapText="0"/>
    </xf>
    <xf borderId="38" fillId="6" fontId="1" numFmtId="0" xfId="0" applyAlignment="1" applyBorder="1" applyFont="1">
      <alignment horizontal="center" readingOrder="0" shrinkToFit="0" vertical="bottom" wrapText="0"/>
    </xf>
    <xf borderId="77" fillId="6" fontId="5" numFmtId="0" xfId="0" applyAlignment="1" applyBorder="1" applyFont="1">
      <alignment shrinkToFit="0" vertical="bottom" wrapText="0"/>
    </xf>
    <xf borderId="51" fillId="6" fontId="12" numFmtId="169" xfId="0" applyAlignment="1" applyBorder="1" applyFont="1" applyNumberFormat="1">
      <alignment readingOrder="0" shrinkToFit="0" vertical="bottom" wrapText="0"/>
    </xf>
    <xf borderId="23" fillId="6" fontId="9" numFmtId="0" xfId="0" applyAlignment="1" applyBorder="1" applyFont="1">
      <alignment horizontal="center" shrinkToFit="0" vertical="bottom" wrapText="0"/>
    </xf>
    <xf borderId="53" fillId="0" fontId="12" numFmtId="4" xfId="0" applyAlignment="1" applyBorder="1" applyFont="1" applyNumberFormat="1">
      <alignment shrinkToFit="0" vertical="bottom" wrapText="0"/>
    </xf>
    <xf borderId="23" fillId="6" fontId="4" numFmtId="9" xfId="0" applyAlignment="1" applyBorder="1" applyFont="1" applyNumberFormat="1">
      <alignment horizontal="center" shrinkToFit="0" vertical="bottom" wrapText="0"/>
    </xf>
    <xf borderId="0" fillId="0" fontId="23" numFmtId="0" xfId="0" applyAlignment="1" applyFont="1">
      <alignment shrinkToFit="0" vertical="bottom" wrapText="0"/>
    </xf>
    <xf borderId="0" fillId="5" fontId="24" numFmtId="0" xfId="0" applyAlignment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53" fillId="6" fontId="12" numFmtId="169" xfId="0" applyAlignment="1" applyBorder="1" applyFont="1" applyNumberFormat="1">
      <alignment readingOrder="0" shrinkToFit="0" vertical="bottom" wrapText="0"/>
    </xf>
    <xf borderId="6" fillId="0" fontId="8" numFmtId="0" xfId="0" applyAlignment="1" applyBorder="1" applyFont="1">
      <alignment horizontal="center" shrinkToFit="0" vertical="bottom" wrapText="0"/>
    </xf>
    <xf borderId="6" fillId="0" fontId="8" numFmtId="0" xfId="0" applyAlignment="1" applyBorder="1" applyFont="1">
      <alignment horizontal="center" readingOrder="0" shrinkToFit="0" vertical="bottom" wrapText="0"/>
    </xf>
    <xf borderId="68" fillId="0" fontId="8" numFmtId="0" xfId="0" applyAlignment="1" applyBorder="1" applyFont="1">
      <alignment horizontal="center" shrinkToFit="0" vertical="bottom" wrapText="0"/>
    </xf>
    <xf borderId="78" fillId="0" fontId="8" numFmtId="0" xfId="0" applyAlignment="1" applyBorder="1" applyFont="1">
      <alignment horizontal="center" shrinkToFit="0" vertical="bottom" wrapText="0"/>
    </xf>
    <xf borderId="25" fillId="0" fontId="8" numFmtId="0" xfId="0" applyAlignment="1" applyBorder="1" applyFont="1">
      <alignment horizontal="center" shrinkToFit="0" vertical="bottom" wrapText="0"/>
    </xf>
    <xf borderId="26" fillId="0" fontId="8" numFmtId="0" xfId="0" applyAlignment="1" applyBorder="1" applyFont="1">
      <alignment readingOrder="0" shrinkToFit="0" vertical="bottom" wrapText="0"/>
    </xf>
    <xf borderId="53" fillId="6" fontId="12" numFmtId="169" xfId="0" applyAlignment="1" applyBorder="1" applyFont="1" applyNumberFormat="1">
      <alignment shrinkToFit="0" vertical="bottom" wrapText="0"/>
    </xf>
    <xf borderId="26" fillId="0" fontId="1" numFmtId="170" xfId="0" applyAlignment="1" applyBorder="1" applyFont="1" applyNumberFormat="1">
      <alignment horizontal="center" readingOrder="0" shrinkToFit="0" vertical="bottom" wrapText="0"/>
    </xf>
    <xf borderId="72" fillId="0" fontId="1" numFmtId="171" xfId="0" applyAlignment="1" applyBorder="1" applyFont="1" applyNumberFormat="1">
      <alignment readingOrder="0" shrinkToFit="0" vertical="bottom" wrapText="0"/>
    </xf>
    <xf borderId="79" fillId="0" fontId="1" numFmtId="171" xfId="0" applyAlignment="1" applyBorder="1" applyFont="1" applyNumberFormat="1">
      <alignment shrinkToFit="0" vertical="bottom" wrapText="0"/>
    </xf>
    <xf borderId="0" fillId="0" fontId="25" numFmtId="0" xfId="0" applyAlignment="1" applyFont="1">
      <alignment readingOrder="0"/>
    </xf>
    <xf borderId="31" fillId="0" fontId="8" numFmtId="0" xfId="0" applyAlignment="1" applyBorder="1" applyFont="1">
      <alignment horizontal="center" shrinkToFit="0" vertical="bottom" wrapText="0"/>
    </xf>
    <xf borderId="32" fillId="0" fontId="8" numFmtId="0" xfId="0" applyAlignment="1" applyBorder="1" applyFont="1">
      <alignment readingOrder="0" shrinkToFit="0" vertical="bottom" wrapText="0"/>
    </xf>
    <xf borderId="32" fillId="0" fontId="1" numFmtId="172" xfId="0" applyAlignment="1" applyBorder="1" applyFont="1" applyNumberFormat="1">
      <alignment horizontal="center" readingOrder="0" shrinkToFit="0" vertical="bottom" wrapText="0"/>
    </xf>
    <xf borderId="75" fillId="0" fontId="1" numFmtId="173" xfId="0" applyAlignment="1" applyBorder="1" applyFont="1" applyNumberFormat="1">
      <alignment readingOrder="0" shrinkToFit="0" vertical="bottom" wrapText="0"/>
    </xf>
    <xf borderId="52" fillId="0" fontId="4" numFmtId="0" xfId="0" applyAlignment="1" applyBorder="1" applyFont="1">
      <alignment horizontal="left" shrinkToFit="0" vertical="bottom" wrapText="0"/>
    </xf>
    <xf borderId="53" fillId="6" fontId="4" numFmtId="169" xfId="0" applyAlignment="1" applyBorder="1" applyFont="1" applyNumberFormat="1">
      <alignment shrinkToFit="0" vertical="bottom" wrapText="0"/>
    </xf>
    <xf borderId="53" fillId="0" fontId="4" numFmtId="169" xfId="0" applyAlignment="1" applyBorder="1" applyFont="1" applyNumberFormat="1">
      <alignment shrinkToFit="0" vertical="bottom" wrapText="0"/>
    </xf>
    <xf borderId="32" fillId="0" fontId="1" numFmtId="174" xfId="0" applyAlignment="1" applyBorder="1" applyFont="1" applyNumberFormat="1">
      <alignment horizontal="center" readingOrder="0" shrinkToFit="0" vertical="bottom" wrapText="0"/>
    </xf>
    <xf borderId="0" fillId="6" fontId="26" numFmtId="169" xfId="0" applyFont="1" applyNumberFormat="1"/>
    <xf borderId="0" fillId="0" fontId="1" numFmtId="0" xfId="0" applyAlignment="1" applyFont="1">
      <alignment readingOrder="0" shrinkToFit="0" vertical="bottom" wrapText="1"/>
    </xf>
    <xf borderId="76" fillId="0" fontId="4" numFmtId="169" xfId="0" applyAlignment="1" applyBorder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53" fillId="0" fontId="12" numFmtId="169" xfId="0" applyAlignment="1" applyBorder="1" applyFont="1" applyNumberFormat="1">
      <alignment horizontal="center" shrinkToFit="0" vertical="bottom" wrapText="0"/>
    </xf>
    <xf borderId="4" fillId="0" fontId="8" numFmtId="2" xfId="0" applyAlignment="1" applyBorder="1" applyFont="1" applyNumberFormat="1">
      <alignment horizontal="center" shrinkToFit="0" vertical="bottom" wrapText="0"/>
    </xf>
    <xf borderId="53" fillId="0" fontId="4" numFmtId="4" xfId="0" applyAlignment="1" applyBorder="1" applyFont="1" applyNumberFormat="1">
      <alignment shrinkToFit="0" vertical="bottom" wrapText="0"/>
    </xf>
    <xf borderId="23" fillId="0" fontId="9" numFmtId="171" xfId="0" applyAlignment="1" applyBorder="1" applyFont="1" applyNumberFormat="1">
      <alignment shrinkToFit="0" vertical="bottom" wrapText="0"/>
    </xf>
    <xf borderId="53" fillId="0" fontId="4" numFmtId="169" xfId="0" applyAlignment="1" applyBorder="1" applyFont="1" applyNumberFormat="1">
      <alignment horizontal="center" shrinkToFit="0" vertical="bottom" wrapText="0"/>
    </xf>
    <xf borderId="32" fillId="0" fontId="1" numFmtId="170" xfId="0" applyAlignment="1" applyBorder="1" applyFont="1" applyNumberFormat="1">
      <alignment horizontal="center" readingOrder="0" shrinkToFit="0" vertical="bottom" wrapText="0"/>
    </xf>
    <xf borderId="76" fillId="0" fontId="12" numFmtId="169" xfId="0" applyAlignment="1" applyBorder="1" applyFont="1" applyNumberFormat="1">
      <alignment horizontal="center" shrinkToFit="0" vertical="bottom" wrapText="0"/>
    </xf>
    <xf borderId="0" fillId="0" fontId="12" numFmtId="175" xfId="0" applyAlignment="1" applyFont="1" applyNumberFormat="1">
      <alignment shrinkToFit="0" vertical="bottom" wrapText="0"/>
    </xf>
    <xf borderId="65" fillId="0" fontId="22" numFmtId="175" xfId="0" applyAlignment="1" applyBorder="1" applyFont="1" applyNumberFormat="1">
      <alignment horizontal="center" shrinkToFit="0" vertical="bottom" wrapText="0"/>
    </xf>
    <xf borderId="0" fillId="0" fontId="1" numFmtId="2" xfId="0" applyAlignment="1" applyFont="1" applyNumberFormat="1">
      <alignment shrinkToFit="0" vertical="bottom" wrapText="0"/>
    </xf>
    <xf borderId="48" fillId="0" fontId="4" numFmtId="169" xfId="0" applyAlignment="1" applyBorder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0" fillId="0" fontId="9" numFmtId="0" xfId="0" applyAlignment="1" applyBorder="1" applyFont="1">
      <alignment horizontal="center" shrinkToFit="0" vertical="center" wrapText="1"/>
    </xf>
    <xf borderId="48" fillId="6" fontId="4" numFmtId="169" xfId="0" applyAlignment="1" applyBorder="1" applyFont="1" applyNumberFormat="1">
      <alignment shrinkToFit="0" vertical="bottom" wrapText="0"/>
    </xf>
    <xf borderId="0" fillId="0" fontId="4" numFmtId="175" xfId="0" applyAlignment="1" applyFont="1" applyNumberFormat="1">
      <alignment horizontal="center" shrinkToFit="0" vertical="bottom" wrapText="0"/>
    </xf>
    <xf borderId="81" fillId="0" fontId="22" numFmtId="175" xfId="0" applyAlignment="1" applyBorder="1" applyFont="1" applyNumberFormat="1">
      <alignment horizontal="center" shrinkToFit="0" vertical="bottom" wrapText="0"/>
    </xf>
    <xf borderId="82" fillId="0" fontId="22" numFmtId="0" xfId="0" applyAlignment="1" applyBorder="1" applyFont="1">
      <alignment horizontal="center" shrinkToFit="0" vertical="bottom" wrapText="0"/>
    </xf>
    <xf borderId="19" fillId="0" fontId="8" numFmtId="0" xfId="0" applyAlignment="1" applyBorder="1" applyFont="1">
      <alignment horizontal="center" shrinkToFit="0" vertical="center" wrapText="1"/>
    </xf>
    <xf borderId="19" fillId="0" fontId="9" numFmtId="0" xfId="0" applyAlignment="1" applyBorder="1" applyFont="1">
      <alignment horizontal="center" shrinkToFit="0" vertical="center" wrapText="1"/>
    </xf>
    <xf borderId="83" fillId="0" fontId="9" numFmtId="0" xfId="0" applyAlignment="1" applyBorder="1" applyFont="1">
      <alignment horizontal="center" shrinkToFit="0" vertical="center" wrapText="1"/>
    </xf>
    <xf borderId="23" fillId="7" fontId="9" numFmtId="0" xfId="0" applyAlignment="1" applyBorder="1" applyFill="1" applyFont="1">
      <alignment horizontal="center" shrinkToFit="0" vertical="center" wrapText="1"/>
    </xf>
    <xf borderId="4" fillId="0" fontId="1" numFmtId="0" xfId="0" applyAlignment="1" applyBorder="1" applyFont="1">
      <alignment horizontal="center" readingOrder="0" shrinkToFit="0" vertical="bottom" wrapText="0"/>
    </xf>
    <xf borderId="6" fillId="0" fontId="1" numFmtId="176" xfId="0" applyAlignment="1" applyBorder="1" applyFont="1" applyNumberFormat="1">
      <alignment horizontal="center" readingOrder="0" shrinkToFit="0" vertical="bottom" wrapText="0"/>
    </xf>
    <xf borderId="6" fillId="0" fontId="1" numFmtId="173" xfId="0" applyAlignment="1" applyBorder="1" applyFont="1" applyNumberFormat="1">
      <alignment shrinkToFit="0" vertical="bottom" wrapText="0"/>
    </xf>
    <xf borderId="7" fillId="0" fontId="1" numFmtId="173" xfId="0" applyAlignment="1" applyBorder="1" applyFont="1" applyNumberFormat="1">
      <alignment shrinkToFit="0" vertical="bottom" wrapText="0"/>
    </xf>
    <xf borderId="78" fillId="0" fontId="9" numFmtId="173" xfId="0" applyAlignment="1" applyBorder="1" applyFont="1" applyNumberFormat="1">
      <alignment shrinkToFit="0" vertical="bottom" wrapText="0"/>
    </xf>
    <xf borderId="0" fillId="0" fontId="1" numFmtId="177" xfId="0" applyAlignment="1" applyFont="1" applyNumberFormat="1">
      <alignment shrinkToFit="0" vertical="bottom" wrapText="0"/>
    </xf>
    <xf borderId="23" fillId="0" fontId="9" numFmtId="173" xfId="0" applyAlignment="1" applyBorder="1" applyFont="1" applyNumberFormat="1">
      <alignment shrinkToFit="0" vertical="bottom" wrapText="0"/>
    </xf>
    <xf borderId="0" fillId="6" fontId="27" numFmtId="0" xfId="0" applyAlignment="1" applyFont="1">
      <alignment horizontal="center" shrinkToFit="0" vertical="bottom" wrapText="0"/>
    </xf>
    <xf borderId="0" fillId="0" fontId="28" numFmtId="0" xfId="0" applyAlignment="1" applyFont="1">
      <alignment readingOrder="0" shrinkToFit="0" vertical="bottom" wrapText="0"/>
    </xf>
    <xf borderId="32" fillId="0" fontId="1" numFmtId="0" xfId="0" applyAlignment="1" applyBorder="1" applyFont="1">
      <alignment shrinkToFit="0" vertical="bottom" wrapText="0"/>
    </xf>
    <xf borderId="32" fillId="0" fontId="1" numFmtId="0" xfId="0" applyAlignment="1" applyBorder="1" applyFont="1">
      <alignment readingOrder="0" shrinkToFit="0" vertical="bottom" wrapText="0"/>
    </xf>
    <xf borderId="32" fillId="0" fontId="9" numFmtId="0" xfId="0" applyAlignment="1" applyBorder="1" applyFont="1">
      <alignment horizontal="center" shrinkToFit="0" vertical="bottom" wrapText="0"/>
    </xf>
    <xf borderId="44" fillId="0" fontId="1" numFmtId="0" xfId="0" applyAlignment="1" applyBorder="1" applyFont="1">
      <alignment horizontal="center" shrinkToFit="0" vertical="bottom" wrapText="0"/>
    </xf>
    <xf borderId="23" fillId="0" fontId="9" numFmtId="178" xfId="0" applyAlignment="1" applyBorder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68" fillId="0" fontId="29" numFmtId="0" xfId="0" applyAlignment="1" applyBorder="1" applyFont="1">
      <alignment horizontal="center" shrinkToFit="0" vertical="center" wrapText="0"/>
    </xf>
    <xf borderId="84" fillId="0" fontId="29" numFmtId="0" xfId="0" applyAlignment="1" applyBorder="1" applyFont="1">
      <alignment horizontal="center" shrinkToFit="0" vertical="center" wrapText="0"/>
    </xf>
    <xf borderId="85" fillId="7" fontId="9" numFmtId="0" xfId="0" applyAlignment="1" applyBorder="1" applyFont="1">
      <alignment horizontal="center" shrinkToFit="0" vertical="center" wrapText="1"/>
    </xf>
    <xf borderId="72" fillId="0" fontId="29" numFmtId="0" xfId="0" applyAlignment="1" applyBorder="1" applyFont="1">
      <alignment horizontal="center" shrinkToFit="0" vertical="bottom" wrapText="0"/>
    </xf>
    <xf borderId="79" fillId="0" fontId="30" numFmtId="0" xfId="0" applyAlignment="1" applyBorder="1" applyFont="1">
      <alignment horizontal="left" readingOrder="0" shrinkToFit="0" vertical="bottom" wrapText="0"/>
    </xf>
    <xf borderId="79" fillId="0" fontId="30" numFmtId="179" xfId="0" applyAlignment="1" applyBorder="1" applyFont="1" applyNumberFormat="1">
      <alignment horizontal="center" shrinkToFit="0" vertical="bottom" wrapText="0"/>
    </xf>
    <xf borderId="75" fillId="0" fontId="29" numFmtId="0" xfId="0" applyAlignment="1" applyBorder="1" applyFont="1">
      <alignment horizontal="center" shrinkToFit="0" vertical="bottom" wrapText="0"/>
    </xf>
    <xf borderId="86" fillId="0" fontId="30" numFmtId="0" xfId="0" applyAlignment="1" applyBorder="1" applyFont="1">
      <alignment horizontal="left" readingOrder="0" shrinkToFit="0" vertical="bottom" wrapText="0"/>
    </xf>
    <xf borderId="86" fillId="0" fontId="30" numFmtId="179" xfId="0" applyAlignment="1" applyBorder="1" applyFont="1" applyNumberFormat="1">
      <alignment horizontal="center" readingOrder="0" shrinkToFit="0" vertical="bottom" wrapText="0"/>
    </xf>
    <xf borderId="86" fillId="0" fontId="30" numFmtId="179" xfId="0" applyAlignment="1" applyBorder="1" applyFont="1" applyNumberFormat="1">
      <alignment horizontal="center" shrinkToFit="0" vertical="bottom" wrapText="0"/>
    </xf>
    <xf borderId="38" fillId="0" fontId="29" numFmtId="0" xfId="0" applyAlignment="1" applyBorder="1" applyFont="1">
      <alignment horizontal="center" shrinkToFit="0" vertical="bottom" wrapText="0"/>
    </xf>
    <xf borderId="24" fillId="0" fontId="30" numFmtId="0" xfId="0" applyAlignment="1" applyBorder="1" applyFont="1">
      <alignment horizontal="left" readingOrder="0" shrinkToFit="0" vertical="bottom" wrapText="0"/>
    </xf>
    <xf borderId="24" fillId="0" fontId="30" numFmtId="179" xfId="0" applyAlignment="1" applyBorder="1" applyFont="1" applyNumberFormat="1">
      <alignment horizontal="center" readingOrder="0" shrinkToFit="0" vertical="bottom" wrapText="0"/>
    </xf>
    <xf borderId="24" fillId="0" fontId="30" numFmtId="179" xfId="0" applyAlignment="1" applyBorder="1" applyFont="1" applyNumberFormat="1">
      <alignment horizontal="center" shrinkToFit="0" vertical="bottom" wrapText="0"/>
    </xf>
    <xf borderId="23" fillId="0" fontId="9" numFmtId="0" xfId="0" applyAlignment="1" applyBorder="1" applyFont="1">
      <alignment horizontal="center" shrinkToFit="0" vertical="center" wrapText="1"/>
    </xf>
    <xf borderId="23" fillId="0" fontId="9" numFmtId="179" xfId="0" applyAlignment="1" applyBorder="1" applyFont="1" applyNumberFormat="1">
      <alignment horizontal="center" shrinkToFit="0" vertical="bottom" wrapText="0"/>
    </xf>
    <xf borderId="78" fillId="0" fontId="9" numFmtId="179" xfId="0" applyAlignment="1" applyBorder="1" applyFont="1" applyNumberFormat="1">
      <alignment horizontal="center" shrinkToFit="0" vertical="bottom" wrapText="0"/>
    </xf>
    <xf borderId="0" fillId="0" fontId="27" numFmtId="0" xfId="0" applyAlignment="1" applyFont="1">
      <alignment horizontal="center" shrinkToFit="0" vertical="bottom" wrapText="0"/>
    </xf>
    <xf borderId="0" fillId="0" fontId="9" numFmtId="179" xfId="0" applyAlignment="1" applyFont="1" applyNumberFormat="1">
      <alignment horizontal="center" shrinkToFit="0" vertical="bottom" wrapText="0"/>
    </xf>
    <xf borderId="17" fillId="6" fontId="9" numFmtId="0" xfId="0" applyAlignment="1" applyBorder="1" applyFont="1">
      <alignment horizontal="center" shrinkToFit="0" vertical="bottom" wrapText="0"/>
    </xf>
    <xf borderId="87" fillId="6" fontId="9" numFmtId="0" xfId="0" applyAlignment="1" applyBorder="1" applyFont="1">
      <alignment horizontal="center" shrinkToFit="0" vertical="bottom" wrapText="0"/>
    </xf>
    <xf borderId="21" fillId="6" fontId="9" numFmtId="0" xfId="0" applyAlignment="1" applyBorder="1" applyFont="1">
      <alignment horizontal="center" shrinkToFit="0" vertical="bottom" wrapText="0"/>
    </xf>
    <xf borderId="31" fillId="6" fontId="9" numFmtId="0" xfId="0" applyAlignment="1" applyBorder="1" applyFont="1">
      <alignment shrinkToFit="0" vertical="bottom" wrapText="0"/>
    </xf>
    <xf borderId="32" fillId="6" fontId="1" numFmtId="167" xfId="0" applyAlignment="1" applyBorder="1" applyFont="1" applyNumberFormat="1">
      <alignment shrinkToFit="0" vertical="bottom" wrapText="0"/>
    </xf>
    <xf borderId="63" fillId="6" fontId="9" numFmtId="0" xfId="0" applyAlignment="1" applyBorder="1" applyFont="1">
      <alignment shrinkToFit="0" vertical="bottom" wrapText="0"/>
    </xf>
    <xf borderId="64" fillId="6" fontId="1" numFmtId="166" xfId="0" applyAlignment="1" applyBorder="1" applyFont="1" applyNumberFormat="1">
      <alignment shrinkToFit="0" vertical="bottom" wrapText="0"/>
    </xf>
    <xf borderId="88" fillId="6" fontId="1" numFmtId="166" xfId="0" applyAlignment="1" applyBorder="1" applyFont="1" applyNumberFormat="1">
      <alignment shrinkToFit="0" vertical="bottom" wrapText="0"/>
    </xf>
    <xf borderId="0" fillId="0" fontId="1" numFmtId="166" xfId="0" applyAlignment="1" applyFont="1" applyNumberFormat="1">
      <alignment shrinkToFit="0" vertical="bottom" wrapText="0"/>
    </xf>
    <xf borderId="79" fillId="0" fontId="30" numFmtId="0" xfId="0" applyAlignment="1" applyBorder="1" applyFont="1">
      <alignment horizontal="left" shrinkToFit="0" vertical="bottom" wrapText="0"/>
    </xf>
    <xf borderId="79" fillId="0" fontId="30" numFmtId="179" xfId="0" applyAlignment="1" applyBorder="1" applyFont="1" applyNumberFormat="1">
      <alignment horizontal="center" readingOrder="0" shrinkToFit="0" vertical="bottom" wrapText="0"/>
    </xf>
    <xf borderId="75" fillId="0" fontId="29" numFmtId="0" xfId="0" applyAlignment="1" applyBorder="1" applyFont="1">
      <alignment horizontal="center" readingOrder="0" shrinkToFit="0" vertical="bottom" wrapText="0"/>
    </xf>
    <xf borderId="89" fillId="0" fontId="29" numFmtId="0" xfId="0" applyAlignment="1" applyBorder="1" applyFont="1">
      <alignment horizontal="center" readingOrder="0" shrinkToFit="0" vertical="bottom" wrapText="0"/>
    </xf>
    <xf borderId="90" fillId="0" fontId="30" numFmtId="0" xfId="0" applyAlignment="1" applyBorder="1" applyFont="1">
      <alignment horizontal="left" readingOrder="0" shrinkToFit="0" vertical="bottom" wrapText="0"/>
    </xf>
    <xf borderId="90" fillId="0" fontId="30" numFmtId="179" xfId="0" applyAlignment="1" applyBorder="1" applyFont="1" applyNumberFormat="1">
      <alignment horizontal="center" readingOrder="0" shrinkToFit="0" vertical="bottom" wrapText="0"/>
    </xf>
    <xf borderId="0" fillId="5" fontId="9" numFmtId="0" xfId="0" applyAlignment="1" applyFont="1">
      <alignment shrinkToFit="0" vertical="bottom" wrapText="0"/>
    </xf>
    <xf borderId="91" fillId="0" fontId="17" numFmtId="0" xfId="0" applyAlignment="1" applyBorder="1" applyFont="1">
      <alignment horizontal="center" shrinkToFit="0" vertical="bottom" wrapText="0"/>
    </xf>
    <xf borderId="38" fillId="0" fontId="29" numFmtId="0" xfId="0" applyAlignment="1" applyBorder="1" applyFont="1">
      <alignment horizontal="center" readingOrder="0" shrinkToFit="0" vertical="bottom" wrapText="0"/>
    </xf>
    <xf borderId="92" fillId="0" fontId="17" numFmtId="0" xfId="0" applyAlignment="1" applyBorder="1" applyFont="1">
      <alignment horizontal="center" shrinkToFit="0" vertical="bottom" wrapText="0"/>
    </xf>
    <xf borderId="45" fillId="0" fontId="17" numFmtId="0" xfId="0" applyAlignment="1" applyBorder="1" applyFont="1">
      <alignment horizontal="center" shrinkToFit="0" vertical="bottom" wrapText="0"/>
    </xf>
    <xf borderId="52" fillId="0" fontId="4" numFmtId="0" xfId="0" applyAlignment="1" applyBorder="1" applyFont="1">
      <alignment horizontal="center" shrinkToFit="0" vertical="bottom" wrapText="0"/>
    </xf>
    <xf borderId="53" fillId="0" fontId="4" numFmtId="0" xfId="0" applyAlignment="1" applyBorder="1" applyFont="1">
      <alignment horizontal="center" shrinkToFit="0" vertical="bottom" wrapText="0"/>
    </xf>
    <xf borderId="76" fillId="0" fontId="4" numFmtId="0" xfId="0" applyAlignment="1" applyBorder="1" applyFont="1">
      <alignment horizontal="center" shrinkToFit="0" vertical="bottom" wrapText="0"/>
    </xf>
    <xf borderId="90" fillId="0" fontId="30" numFmtId="0" xfId="0" applyAlignment="1" applyBorder="1" applyFont="1">
      <alignment horizontal="left" shrinkToFit="0" vertical="bottom" wrapText="0"/>
    </xf>
    <xf borderId="51" fillId="0" fontId="12" numFmtId="167" xfId="0" applyAlignment="1" applyBorder="1" applyFont="1" applyNumberFormat="1">
      <alignment horizontal="center" shrinkToFit="0" vertical="bottom" wrapText="0"/>
    </xf>
    <xf borderId="24" fillId="0" fontId="30" numFmtId="0" xfId="0" applyAlignment="1" applyBorder="1" applyFont="1">
      <alignment horizontal="left" shrinkToFit="0" vertical="bottom" wrapText="0"/>
    </xf>
    <xf borderId="53" fillId="0" fontId="12" numFmtId="167" xfId="0" applyAlignment="1" applyBorder="1" applyFont="1" applyNumberFormat="1">
      <alignment horizontal="center" readingOrder="0" shrinkToFit="0" vertical="bottom" wrapText="0"/>
    </xf>
    <xf borderId="0" fillId="0" fontId="31" numFmtId="0" xfId="0" applyAlignment="1" applyFont="1">
      <alignment shrinkToFit="0" vertical="bottom" wrapText="0"/>
    </xf>
    <xf borderId="0" fillId="6" fontId="32" numFmtId="0" xfId="0" applyAlignment="1" applyFont="1">
      <alignment shrinkToFit="0" vertical="bottom" wrapText="0"/>
    </xf>
    <xf borderId="53" fillId="0" fontId="12" numFmtId="173" xfId="0" applyAlignment="1" applyBorder="1" applyFont="1" applyNumberFormat="1">
      <alignment horizontal="center" readingOrder="0" shrinkToFit="0" vertical="bottom" wrapText="0"/>
    </xf>
    <xf borderId="0" fillId="6" fontId="33" numFmtId="0" xfId="0" applyAlignment="1" applyFont="1">
      <alignment shrinkToFit="0" vertical="bottom" wrapText="0"/>
    </xf>
    <xf borderId="0" fillId="6" fontId="34" numFmtId="0" xfId="0" applyAlignment="1" applyFont="1">
      <alignment shrinkToFit="0" vertical="bottom" wrapText="0"/>
    </xf>
    <xf borderId="0" fillId="6" fontId="18" numFmtId="173" xfId="0" applyFont="1" applyNumberFormat="1"/>
    <xf borderId="77" fillId="6" fontId="9" numFmtId="0" xfId="0" applyAlignment="1" applyBorder="1" applyFont="1">
      <alignment horizontal="center" shrinkToFit="0" vertical="bottom" wrapText="0"/>
    </xf>
    <xf borderId="93" fillId="0" fontId="7" numFmtId="0" xfId="0" applyBorder="1" applyFont="1"/>
    <xf borderId="78" fillId="0" fontId="7" numFmtId="0" xfId="0" applyBorder="1" applyFont="1"/>
    <xf borderId="53" fillId="0" fontId="12" numFmtId="167" xfId="0" applyAlignment="1" applyBorder="1" applyFont="1" applyNumberFormat="1">
      <alignment horizontal="center" shrinkToFit="0" vertical="bottom" wrapText="0"/>
    </xf>
    <xf borderId="93" fillId="6" fontId="9" numFmtId="0" xfId="0" applyAlignment="1" applyBorder="1" applyFont="1">
      <alignment horizontal="center" shrinkToFit="0" vertical="bottom" wrapText="0"/>
    </xf>
    <xf borderId="76" fillId="0" fontId="12" numFmtId="167" xfId="0" applyAlignment="1" applyBorder="1" applyFont="1" applyNumberFormat="1">
      <alignment shrinkToFit="0" vertical="bottom" wrapText="0"/>
    </xf>
    <xf borderId="77" fillId="6" fontId="9" numFmtId="0" xfId="0" applyAlignment="1" applyBorder="1" applyFont="1">
      <alignment shrinkToFit="0" vertical="bottom" wrapText="0"/>
    </xf>
    <xf borderId="4" fillId="6" fontId="9" numFmtId="0" xfId="0" applyAlignment="1" applyBorder="1" applyFont="1">
      <alignment horizontal="center" shrinkToFit="0" vertical="bottom" wrapText="0"/>
    </xf>
    <xf borderId="6" fillId="6" fontId="9" numFmtId="0" xfId="0" applyAlignment="1" applyBorder="1" applyFont="1">
      <alignment horizontal="center" shrinkToFit="0" vertical="bottom" wrapText="0"/>
    </xf>
    <xf borderId="7" fillId="6" fontId="9" numFmtId="0" xfId="0" applyAlignment="1" applyBorder="1" applyFont="1">
      <alignment horizontal="center" shrinkToFit="0" vertical="bottom" wrapText="0"/>
    </xf>
    <xf borderId="94" fillId="6" fontId="9" numFmtId="0" xfId="0" applyAlignment="1" applyBorder="1" applyFont="1">
      <alignment horizontal="center" shrinkToFit="0" vertical="bottom" wrapText="0"/>
    </xf>
    <xf borderId="53" fillId="0" fontId="0" numFmtId="167" xfId="0" applyAlignment="1" applyBorder="1" applyFont="1" applyNumberFormat="1">
      <alignment horizontal="center" readingOrder="0" shrinkToFit="0" vertical="bottom" wrapText="0"/>
    </xf>
    <xf borderId="74" fillId="6" fontId="1" numFmtId="0" xfId="0" applyAlignment="1" applyBorder="1" applyFont="1">
      <alignment shrinkToFit="0" vertical="bottom" wrapText="0"/>
    </xf>
    <xf borderId="75" fillId="6" fontId="1" numFmtId="9" xfId="0" applyAlignment="1" applyBorder="1" applyFont="1" applyNumberFormat="1">
      <alignment horizontal="center" readingOrder="0" shrinkToFit="0" vertical="bottom" wrapText="0"/>
    </xf>
    <xf borderId="0" fillId="6" fontId="18" numFmtId="167" xfId="0" applyFont="1" applyNumberFormat="1"/>
    <xf borderId="31" fillId="6" fontId="1" numFmtId="166" xfId="0" applyAlignment="1" applyBorder="1" applyFont="1" applyNumberFormat="1">
      <alignment shrinkToFit="0" vertical="bottom" wrapText="0"/>
    </xf>
    <xf borderId="76" fillId="0" fontId="0" numFmtId="167" xfId="0" applyAlignment="1" applyBorder="1" applyFont="1" applyNumberFormat="1">
      <alignment horizontal="center" shrinkToFit="0" vertical="bottom" wrapText="0"/>
    </xf>
    <xf borderId="32" fillId="6" fontId="1" numFmtId="166" xfId="0" applyAlignment="1" applyBorder="1" applyFont="1" applyNumberFormat="1">
      <alignment shrinkToFit="0" vertical="bottom" wrapText="0"/>
    </xf>
    <xf borderId="47" fillId="6" fontId="1" numFmtId="166" xfId="0" applyAlignment="1" applyBorder="1" applyFont="1" applyNumberFormat="1">
      <alignment shrinkToFit="0" vertical="bottom" wrapText="0"/>
    </xf>
    <xf borderId="95" fillId="6" fontId="1" numFmtId="166" xfId="0" applyAlignment="1" applyBorder="1" applyFont="1" applyNumberFormat="1">
      <alignment shrinkToFit="0" vertical="bottom" wrapText="0"/>
    </xf>
    <xf borderId="31" fillId="6" fontId="1" numFmtId="171" xfId="0" applyAlignment="1" applyBorder="1" applyFont="1" applyNumberFormat="1">
      <alignment shrinkToFit="0" vertical="bottom" wrapText="0"/>
    </xf>
    <xf borderId="32" fillId="6" fontId="1" numFmtId="171" xfId="0" applyAlignment="1" applyBorder="1" applyFont="1" applyNumberFormat="1">
      <alignment shrinkToFit="0" vertical="bottom" wrapText="0"/>
    </xf>
    <xf borderId="52" fillId="0" fontId="0" numFmtId="0" xfId="0" applyAlignment="1" applyBorder="1" applyFont="1">
      <alignment shrinkToFit="0" vertical="bottom" wrapText="0"/>
    </xf>
    <xf borderId="22" fillId="6" fontId="1" numFmtId="0" xfId="0" applyAlignment="1" applyBorder="1" applyFont="1">
      <alignment shrinkToFit="0" vertical="bottom" wrapText="0"/>
    </xf>
    <xf borderId="53" fillId="0" fontId="0" numFmtId="167" xfId="0" applyAlignment="1" applyBorder="1" applyFont="1" applyNumberFormat="1">
      <alignment horizontal="center" shrinkToFit="0" vertical="bottom" wrapText="0"/>
    </xf>
    <xf borderId="0" fillId="0" fontId="0" numFmtId="0" xfId="0" applyAlignment="1" applyFont="1">
      <alignment shrinkToFit="0" vertical="bottom" wrapText="0"/>
    </xf>
    <xf borderId="38" fillId="6" fontId="1" numFmtId="9" xfId="0" applyAlignment="1" applyBorder="1" applyFont="1" applyNumberFormat="1">
      <alignment horizontal="center" readingOrder="0" shrinkToFit="0" vertical="bottom" wrapText="0"/>
    </xf>
    <xf borderId="63" fillId="6" fontId="1" numFmtId="173" xfId="0" applyAlignment="1" applyBorder="1" applyFont="1" applyNumberFormat="1">
      <alignment shrinkToFit="0" vertical="bottom" wrapText="0"/>
    </xf>
    <xf borderId="64" fillId="6" fontId="1" numFmtId="173" xfId="0" applyAlignment="1" applyBorder="1" applyFont="1" applyNumberFormat="1">
      <alignment shrinkToFit="0" vertical="bottom" wrapText="0"/>
    </xf>
    <xf borderId="96" fillId="6" fontId="1" numFmtId="166" xfId="0" applyAlignment="1" applyBorder="1" applyFont="1" applyNumberFormat="1">
      <alignment shrinkToFit="0" vertical="bottom" wrapText="0"/>
    </xf>
    <xf borderId="97" fillId="6" fontId="9" numFmtId="0" xfId="0" applyAlignment="1" applyBorder="1" applyFont="1">
      <alignment horizontal="center" shrinkToFit="0" vertical="bottom" wrapText="0"/>
    </xf>
    <xf borderId="98" fillId="0" fontId="7" numFmtId="0" xfId="0" applyBorder="1" applyFont="1"/>
    <xf borderId="99" fillId="6" fontId="9" numFmtId="166" xfId="0" applyAlignment="1" applyBorder="1" applyFont="1" applyNumberFormat="1">
      <alignment shrinkToFit="0" vertical="bottom" wrapText="0"/>
    </xf>
    <xf borderId="52" fillId="0" fontId="4" numFmtId="180" xfId="0" applyAlignment="1" applyBorder="1" applyFont="1" applyNumberFormat="1">
      <alignment shrinkToFit="0" vertical="bottom" wrapText="0"/>
    </xf>
    <xf borderId="98" fillId="6" fontId="9" numFmtId="166" xfId="0" applyAlignment="1" applyBorder="1" applyFont="1" applyNumberFormat="1">
      <alignment shrinkToFit="0" vertical="bottom" wrapText="0"/>
    </xf>
    <xf borderId="53" fillId="0" fontId="4" numFmtId="180" xfId="0" applyAlignment="1" applyBorder="1" applyFont="1" applyNumberFormat="1">
      <alignment horizontal="center" shrinkToFit="0" vertical="bottom" wrapText="0"/>
    </xf>
    <xf borderId="0" fillId="6" fontId="9" numFmtId="0" xfId="0" applyAlignment="1" applyFont="1">
      <alignment horizontal="center" shrinkToFit="0" vertical="bottom" wrapText="0"/>
    </xf>
    <xf borderId="0" fillId="6" fontId="1" numFmtId="166" xfId="0" applyAlignment="1" applyFont="1" applyNumberFormat="1">
      <alignment shrinkToFit="0" vertical="bottom" wrapText="0"/>
    </xf>
    <xf borderId="55" fillId="0" fontId="12" numFmtId="175" xfId="0" applyAlignment="1" applyBorder="1" applyFont="1" applyNumberFormat="1">
      <alignment horizontal="center" shrinkToFit="0" vertical="bottom" wrapText="0"/>
    </xf>
    <xf borderId="100" fillId="0" fontId="12" numFmtId="175" xfId="0" applyAlignment="1" applyBorder="1" applyFont="1" applyNumberFormat="1">
      <alignment shrinkToFit="0" vertical="bottom" wrapText="0"/>
    </xf>
    <xf borderId="54" fillId="0" fontId="4" numFmtId="0" xfId="0" applyAlignment="1" applyBorder="1" applyFont="1">
      <alignment shrinkToFit="0" vertical="bottom" wrapText="0"/>
    </xf>
    <xf borderId="47" fillId="6" fontId="1" numFmtId="167" xfId="0" applyAlignment="1" applyBorder="1" applyFont="1" applyNumberFormat="1">
      <alignment shrinkToFit="0" vertical="bottom" wrapText="0"/>
    </xf>
    <xf borderId="55" fillId="0" fontId="12" numFmtId="10" xfId="0" applyAlignment="1" applyBorder="1" applyFont="1" applyNumberFormat="1">
      <alignment horizontal="center" shrinkToFit="0" vertical="bottom" wrapText="0"/>
    </xf>
    <xf borderId="48" fillId="0" fontId="12" numFmtId="10" xfId="0" applyAlignment="1" applyBorder="1" applyFont="1" applyNumberFormat="1">
      <alignment horizontal="center" readingOrder="0" shrinkToFit="0" vertical="bottom" wrapText="0"/>
    </xf>
    <xf borderId="101" fillId="6" fontId="1" numFmtId="0" xfId="0" applyAlignment="1" applyBorder="1" applyFont="1">
      <alignment shrinkToFit="0" vertical="bottom" wrapText="0"/>
    </xf>
    <xf borderId="102" fillId="6" fontId="1" numFmtId="178" xfId="0" applyAlignment="1" applyBorder="1" applyFont="1" applyNumberFormat="1">
      <alignment horizontal="center" shrinkToFit="0" vertical="bottom" wrapText="0"/>
    </xf>
    <xf borderId="0" fillId="6" fontId="18" numFmtId="166" xfId="0" applyFont="1" applyNumberFormat="1"/>
    <xf borderId="41" fillId="0" fontId="12" numFmtId="0" xfId="0" applyAlignment="1" applyBorder="1" applyFont="1">
      <alignment shrinkToFit="0" vertical="bottom" wrapText="0"/>
    </xf>
    <xf borderId="26" fillId="6" fontId="11" numFmtId="166" xfId="0" applyAlignment="1" applyBorder="1" applyFont="1" applyNumberFormat="1">
      <alignment shrinkToFit="0" vertical="bottom" wrapText="0"/>
    </xf>
    <xf borderId="32" fillId="0" fontId="12" numFmtId="0" xfId="0" applyAlignment="1" applyBorder="1" applyFont="1">
      <alignment shrinkToFit="0" vertical="bottom" wrapText="0"/>
    </xf>
    <xf borderId="27" fillId="6" fontId="11" numFmtId="166" xfId="0" applyAlignment="1" applyBorder="1" applyFont="1" applyNumberFormat="1">
      <alignment shrinkToFit="0" vertical="bottom" wrapText="0"/>
    </xf>
    <xf borderId="103" fillId="0" fontId="4" numFmtId="0" xfId="0" applyAlignment="1" applyBorder="1" applyFont="1">
      <alignment horizontal="center" shrinkToFit="0" vertical="bottom" wrapText="0"/>
    </xf>
    <xf borderId="32" fillId="6" fontId="20" numFmtId="0" xfId="0" applyAlignment="1" applyBorder="1" applyFont="1">
      <alignment horizontal="center" readingOrder="0" shrinkToFit="0" vertical="bottom" wrapText="0"/>
    </xf>
    <xf borderId="104" fillId="6" fontId="1" numFmtId="166" xfId="0" applyAlignment="1" applyBorder="1" applyFont="1" applyNumberFormat="1">
      <alignment shrinkToFit="0" vertical="bottom" wrapText="0"/>
    </xf>
    <xf borderId="26" fillId="6" fontId="1" numFmtId="166" xfId="0" applyAlignment="1" applyBorder="1" applyFont="1" applyNumberFormat="1">
      <alignment shrinkToFit="0" vertical="bottom" wrapText="0"/>
    </xf>
    <xf borderId="48" fillId="0" fontId="12" numFmtId="0" xfId="0" applyAlignment="1" applyBorder="1" applyFont="1">
      <alignment horizontal="center" shrinkToFit="0" vertical="bottom" wrapText="0"/>
    </xf>
    <xf borderId="27" fillId="6" fontId="1" numFmtId="166" xfId="0" applyAlignment="1" applyBorder="1" applyFont="1" applyNumberFormat="1">
      <alignment shrinkToFit="0" vertical="bottom" wrapText="0"/>
    </xf>
    <xf borderId="105" fillId="0" fontId="12" numFmtId="0" xfId="0" applyAlignment="1" applyBorder="1" applyFont="1">
      <alignment horizontal="center" shrinkToFit="0" vertical="bottom" wrapText="0"/>
    </xf>
    <xf borderId="75" fillId="6" fontId="1" numFmtId="178" xfId="0" applyAlignment="1" applyBorder="1" applyFont="1" applyNumberFormat="1">
      <alignment horizontal="center" shrinkToFit="0" vertical="bottom" wrapText="0"/>
    </xf>
    <xf borderId="32" fillId="6" fontId="22" numFmtId="0" xfId="0" applyAlignment="1" applyBorder="1" applyFont="1">
      <alignment horizontal="center" readingOrder="0" shrinkToFit="0" vertical="bottom" wrapText="0"/>
    </xf>
    <xf borderId="31" fillId="6" fontId="11" numFmtId="166" xfId="0" applyAlignment="1" applyBorder="1" applyFont="1" applyNumberFormat="1">
      <alignment shrinkToFit="0" vertical="bottom" wrapText="0"/>
    </xf>
    <xf borderId="32" fillId="6" fontId="11" numFmtId="166" xfId="0" applyAlignment="1" applyBorder="1" applyFont="1" applyNumberFormat="1">
      <alignment shrinkToFit="0" vertical="bottom" wrapText="0"/>
    </xf>
    <xf borderId="47" fillId="6" fontId="11" numFmtId="166" xfId="0" applyAlignment="1" applyBorder="1" applyFont="1" applyNumberFormat="1">
      <alignment shrinkToFit="0" vertical="bottom" wrapText="0"/>
    </xf>
    <xf borderId="106" fillId="0" fontId="12" numFmtId="167" xfId="0" applyAlignment="1" applyBorder="1" applyFont="1" applyNumberFormat="1">
      <alignment horizontal="center" shrinkToFit="0" vertical="bottom" wrapText="0"/>
    </xf>
    <xf borderId="38" fillId="6" fontId="1" numFmtId="178" xfId="0" applyAlignment="1" applyBorder="1" applyFont="1" applyNumberFormat="1">
      <alignment horizontal="center" shrinkToFit="0" vertical="bottom" wrapText="0"/>
    </xf>
    <xf borderId="32" fillId="6" fontId="22" numFmtId="180" xfId="0" applyAlignment="1" applyBorder="1" applyFont="1" applyNumberFormat="1">
      <alignment horizontal="center" readingOrder="0" shrinkToFit="0" vertical="bottom" wrapText="0"/>
    </xf>
    <xf borderId="63" fillId="6" fontId="11" numFmtId="173" xfId="0" applyAlignment="1" applyBorder="1" applyFont="1" applyNumberFormat="1">
      <alignment shrinkToFit="0" vertical="bottom" wrapText="0"/>
    </xf>
    <xf borderId="64" fillId="6" fontId="11" numFmtId="173" xfId="0" applyAlignment="1" applyBorder="1" applyFont="1" applyNumberFormat="1">
      <alignment shrinkToFit="0" vertical="bottom" wrapText="0"/>
    </xf>
    <xf borderId="88" fillId="6" fontId="11" numFmtId="166" xfId="0" applyAlignment="1" applyBorder="1" applyFont="1" applyNumberFormat="1">
      <alignment shrinkToFit="0" vertical="bottom" wrapText="0"/>
    </xf>
    <xf borderId="53" fillId="0" fontId="0" numFmtId="167" xfId="0" applyAlignment="1" applyBorder="1" applyFont="1" applyNumberFormat="1">
      <alignment shrinkToFit="0" vertical="bottom" wrapText="0"/>
    </xf>
    <xf borderId="32" fillId="6" fontId="22" numFmtId="180" xfId="0" applyAlignment="1" applyBorder="1" applyFont="1" applyNumberFormat="1">
      <alignment shrinkToFit="0" vertical="bottom" wrapText="0"/>
    </xf>
    <xf borderId="103" fillId="0" fontId="12" numFmtId="167" xfId="0" applyAlignment="1" applyBorder="1" applyFont="1" applyNumberFormat="1">
      <alignment horizontal="center" shrinkToFit="0" vertical="bottom" wrapText="0"/>
    </xf>
    <xf borderId="25" fillId="6" fontId="1" numFmtId="166" xfId="0" applyAlignment="1" applyBorder="1" applyFont="1" applyNumberFormat="1">
      <alignment shrinkToFit="0" vertical="bottom" wrapText="0"/>
    </xf>
    <xf borderId="32" fillId="6" fontId="22" numFmtId="180" xfId="0" applyAlignment="1" applyBorder="1" applyFont="1" applyNumberFormat="1">
      <alignment horizontal="center" shrinkToFit="0" vertical="bottom" wrapText="0"/>
    </xf>
    <xf borderId="0" fillId="0" fontId="35" numFmtId="0" xfId="0" applyAlignment="1" applyFont="1">
      <alignment readingOrder="0" shrinkToFit="0" vertical="bottom" wrapText="0"/>
    </xf>
    <xf borderId="0" fillId="5" fontId="36" numFmtId="0" xfId="0" applyAlignment="1" applyFont="1">
      <alignment shrinkToFit="0" vertical="top" wrapText="0"/>
    </xf>
    <xf borderId="0" fillId="0" fontId="37" numFmtId="0" xfId="0" applyAlignment="1" applyFont="1">
      <alignment shrinkToFit="0" vertical="top" wrapText="0"/>
    </xf>
    <xf borderId="0" fillId="0" fontId="12" numFmtId="0" xfId="0" applyAlignment="1" applyFont="1">
      <alignment readingOrder="0" shrinkToFit="0" vertical="bottom" wrapText="0"/>
    </xf>
    <xf borderId="80" fillId="0" fontId="8" numFmtId="0" xfId="0" applyAlignment="1" applyBorder="1" applyFont="1">
      <alignment horizontal="left" shrinkToFit="0" vertical="center" wrapText="0"/>
    </xf>
    <xf borderId="103" fillId="0" fontId="0" numFmtId="167" xfId="0" applyAlignment="1" applyBorder="1" applyFont="1" applyNumberFormat="1">
      <alignment horizontal="center" shrinkToFit="0" vertical="bottom" wrapText="0"/>
    </xf>
    <xf borderId="19" fillId="0" fontId="8" numFmtId="0" xfId="0" applyAlignment="1" applyBorder="1" applyFont="1">
      <alignment horizontal="center" shrinkToFit="0" vertical="center" wrapText="0"/>
    </xf>
    <xf borderId="87" fillId="0" fontId="8" numFmtId="0" xfId="0" applyAlignment="1" applyBorder="1" applyFont="1">
      <alignment horizontal="center" shrinkToFit="0" vertical="bottom" wrapText="0"/>
    </xf>
    <xf borderId="107" fillId="0" fontId="8" numFmtId="0" xfId="0" applyAlignment="1" applyBorder="1" applyFont="1">
      <alignment horizontal="center" shrinkToFit="0" vertical="bottom" wrapText="0"/>
    </xf>
    <xf borderId="108" fillId="0" fontId="1" numFmtId="0" xfId="0" applyAlignment="1" applyBorder="1" applyFont="1">
      <alignment readingOrder="0" shrinkToFit="0" vertical="bottom" wrapText="0"/>
    </xf>
    <xf borderId="93" fillId="0" fontId="38" numFmtId="0" xfId="0" applyAlignment="1" applyBorder="1" applyFont="1">
      <alignment horizontal="center" shrinkToFit="0" vertical="bottom" wrapText="0"/>
    </xf>
    <xf borderId="8" fillId="0" fontId="7" numFmtId="0" xfId="0" applyBorder="1" applyFont="1"/>
    <xf borderId="10" fillId="0" fontId="7" numFmtId="0" xfId="0" applyBorder="1" applyFont="1"/>
    <xf borderId="64" fillId="0" fontId="1" numFmtId="0" xfId="0" applyAlignment="1" applyBorder="1" applyFont="1">
      <alignment horizontal="center" shrinkToFit="0" vertical="bottom" wrapText="0"/>
    </xf>
    <xf borderId="109" fillId="0" fontId="1" numFmtId="0" xfId="0" applyAlignment="1" applyBorder="1" applyFont="1">
      <alignment horizontal="center" shrinkToFit="0" vertical="bottom" wrapText="0"/>
    </xf>
    <xf borderId="110" fillId="0" fontId="1" numFmtId="0" xfId="0" applyAlignment="1" applyBorder="1" applyFont="1">
      <alignment readingOrder="0" shrinkToFit="0" vertical="bottom" wrapText="0"/>
    </xf>
    <xf borderId="32" fillId="0" fontId="39" numFmtId="0" xfId="0" applyAlignment="1" applyBorder="1" applyFont="1">
      <alignment readingOrder="0" shrinkToFit="0" vertical="bottom" wrapText="0"/>
    </xf>
    <xf borderId="48" fillId="0" fontId="4" numFmtId="167" xfId="0" applyAlignment="1" applyBorder="1" applyFont="1" applyNumberFormat="1">
      <alignment horizontal="center" shrinkToFit="0" vertical="bottom" wrapText="0"/>
    </xf>
    <xf borderId="21" fillId="0" fontId="5" numFmtId="167" xfId="0" applyAlignment="1" applyBorder="1" applyFont="1" applyNumberFormat="1">
      <alignment shrinkToFit="0" vertical="bottom" wrapText="0"/>
    </xf>
    <xf borderId="105" fillId="0" fontId="4" numFmtId="167" xfId="0" applyAlignment="1" applyBorder="1" applyFont="1" applyNumberFormat="1">
      <alignment horizontal="center" shrinkToFit="0" vertical="bottom" wrapText="0"/>
    </xf>
    <xf borderId="111" fillId="8" fontId="40" numFmtId="0" xfId="0" applyAlignment="1" applyBorder="1" applyFill="1" applyFont="1">
      <alignment readingOrder="0"/>
    </xf>
    <xf borderId="0" fillId="0" fontId="12" numFmtId="181" xfId="0" applyAlignment="1" applyFont="1" applyNumberFormat="1">
      <alignment horizontal="center" shrinkToFit="0" vertical="bottom" wrapText="0"/>
    </xf>
    <xf borderId="26" fillId="0" fontId="1" numFmtId="181" xfId="0" applyAlignment="1" applyBorder="1" applyFont="1" applyNumberFormat="1">
      <alignment horizontal="center" readingOrder="0" shrinkToFit="0" vertical="bottom" wrapText="0"/>
    </xf>
    <xf borderId="59" fillId="0" fontId="4" numFmtId="181" xfId="0" applyAlignment="1" applyBorder="1" applyFont="1" applyNumberFormat="1">
      <alignment horizontal="center" shrinkToFit="0" vertical="bottom" wrapText="0"/>
    </xf>
    <xf borderId="26" fillId="0" fontId="1" numFmtId="0" xfId="0" applyAlignment="1" applyBorder="1" applyFont="1">
      <alignment readingOrder="0" shrinkToFit="0" vertical="bottom" wrapText="0"/>
    </xf>
    <xf borderId="61" fillId="0" fontId="4" numFmtId="181" xfId="0" applyAlignment="1" applyBorder="1" applyFont="1" applyNumberFormat="1">
      <alignment horizontal="center" shrinkToFit="0" vertical="bottom" wrapText="0"/>
    </xf>
    <xf borderId="40" fillId="0" fontId="5" numFmtId="182" xfId="0" applyAlignment="1" applyBorder="1" applyFont="1" applyNumberFormat="1">
      <alignment shrinkToFit="0" vertical="bottom" wrapText="0"/>
    </xf>
    <xf borderId="26" fillId="0" fontId="39" numFmtId="0" xfId="0" applyAlignment="1" applyBorder="1" applyFont="1">
      <alignment readingOrder="0" shrinkToFit="0" vertical="bottom" wrapText="0"/>
    </xf>
    <xf borderId="51" fillId="0" fontId="4" numFmtId="167" xfId="0" applyAlignment="1" applyBorder="1" applyFont="1" applyNumberFormat="1">
      <alignment horizontal="center" shrinkToFit="0" vertical="bottom" wrapText="0"/>
    </xf>
    <xf borderId="47" fillId="0" fontId="5" numFmtId="167" xfId="0" applyAlignment="1" applyBorder="1" applyFont="1" applyNumberFormat="1">
      <alignment shrinkToFit="0" vertical="bottom" wrapText="0"/>
    </xf>
    <xf borderId="53" fillId="6" fontId="12" numFmtId="167" xfId="0" applyAlignment="1" applyBorder="1" applyFont="1" applyNumberFormat="1">
      <alignment horizontal="center" shrinkToFit="0" vertical="bottom" wrapText="0"/>
    </xf>
    <xf borderId="26" fillId="0" fontId="41" numFmtId="0" xfId="0" applyAlignment="1" applyBorder="1" applyFont="1">
      <alignment readingOrder="0" shrinkToFit="0" vertical="bottom" wrapText="0"/>
    </xf>
    <xf borderId="47" fillId="0" fontId="42" numFmtId="167" xfId="0" applyAlignment="1" applyBorder="1" applyFont="1" applyNumberFormat="1">
      <alignment shrinkToFit="0" vertical="bottom" wrapText="0"/>
    </xf>
    <xf borderId="95" fillId="0" fontId="5" numFmtId="0" xfId="0" applyAlignment="1" applyBorder="1" applyFont="1">
      <alignment shrinkToFit="0" vertical="bottom" wrapText="0"/>
    </xf>
    <xf borderId="55" fillId="0" fontId="12" numFmtId="167" xfId="0" applyAlignment="1" applyBorder="1" applyFont="1" applyNumberFormat="1">
      <alignment horizontal="center" shrinkToFit="0" vertical="bottom" wrapText="0"/>
    </xf>
    <xf borderId="31" fillId="0" fontId="1" numFmtId="0" xfId="0" applyAlignment="1" applyBorder="1" applyFont="1">
      <alignment readingOrder="0" shrinkToFit="0" vertical="bottom" wrapText="0"/>
    </xf>
    <xf borderId="32" fillId="0" fontId="1" numFmtId="181" xfId="0" applyAlignment="1" applyBorder="1" applyFont="1" applyNumberFormat="1">
      <alignment horizontal="center" shrinkToFit="0" vertical="bottom" wrapText="0"/>
    </xf>
    <xf borderId="44" fillId="0" fontId="5" numFmtId="182" xfId="0" applyAlignment="1" applyBorder="1" applyFont="1" applyNumberFormat="1">
      <alignment shrinkToFit="0" vertical="bottom" wrapText="0"/>
    </xf>
    <xf borderId="100" fillId="0" fontId="12" numFmtId="167" xfId="0" applyAlignment="1" applyBorder="1" applyFont="1" applyNumberFormat="1">
      <alignment horizontal="center" shrinkToFit="0" vertical="bottom" wrapText="0"/>
    </xf>
    <xf borderId="47" fillId="0" fontId="8" numFmtId="167" xfId="0" applyAlignment="1" applyBorder="1" applyFont="1" applyNumberFormat="1">
      <alignment shrinkToFit="0" vertical="bottom" wrapText="0"/>
    </xf>
    <xf borderId="55" fillId="0" fontId="4" numFmtId="9" xfId="0" applyAlignment="1" applyBorder="1" applyFont="1" applyNumberFormat="1">
      <alignment horizontal="center" shrinkToFit="0" vertical="bottom" wrapText="0"/>
    </xf>
    <xf borderId="58" fillId="0" fontId="1" numFmtId="0" xfId="0" applyAlignment="1" applyBorder="1" applyFont="1">
      <alignment readingOrder="0" shrinkToFit="0" vertical="bottom" wrapText="0"/>
    </xf>
    <xf borderId="60" fillId="0" fontId="1" numFmtId="181" xfId="0" applyAlignment="1" applyBorder="1" applyFont="1" applyNumberFormat="1">
      <alignment horizontal="center" shrinkToFit="0" vertical="bottom" wrapText="0"/>
    </xf>
    <xf borderId="60" fillId="0" fontId="1" numFmtId="0" xfId="0" applyAlignment="1" applyBorder="1" applyFont="1">
      <alignment shrinkToFit="0" vertical="bottom" wrapText="0"/>
    </xf>
    <xf borderId="112" fillId="0" fontId="5" numFmtId="182" xfId="0" applyAlignment="1" applyBorder="1" applyFont="1" applyNumberFormat="1">
      <alignment shrinkToFit="0" vertical="bottom" wrapText="0"/>
    </xf>
    <xf borderId="48" fillId="0" fontId="4" numFmtId="9" xfId="0" applyAlignment="1" applyBorder="1" applyFont="1" applyNumberFormat="1">
      <alignment horizontal="center" readingOrder="0" shrinkToFit="0" vertical="bottom" wrapText="0"/>
    </xf>
    <xf borderId="77" fillId="0" fontId="8" numFmtId="0" xfId="0" applyAlignment="1" applyBorder="1" applyFont="1">
      <alignment horizontal="right" shrinkToFit="0" vertical="bottom" wrapText="0"/>
    </xf>
    <xf borderId="94" fillId="0" fontId="7" numFmtId="0" xfId="0" applyBorder="1" applyFont="1"/>
    <xf borderId="7" fillId="0" fontId="8" numFmtId="181" xfId="0" applyAlignment="1" applyBorder="1" applyFont="1" applyNumberFormat="1">
      <alignment horizontal="center" shrinkToFit="0" vertical="bottom" wrapText="0"/>
    </xf>
    <xf borderId="113" fillId="9" fontId="8" numFmtId="0" xfId="0" applyAlignment="1" applyBorder="1" applyFill="1" applyFont="1">
      <alignment shrinkToFit="0" vertical="bottom" wrapText="0"/>
    </xf>
    <xf borderId="61" fillId="0" fontId="4" numFmtId="0" xfId="0" applyAlignment="1" applyBorder="1" applyFont="1">
      <alignment horizontal="center" shrinkToFit="0" vertical="bottom" wrapText="0"/>
    </xf>
    <xf borderId="77" fillId="0" fontId="8" numFmtId="182" xfId="0" applyAlignment="1" applyBorder="1" applyFont="1" applyNumberFormat="1">
      <alignment shrinkToFit="0" vertical="bottom" wrapText="0"/>
    </xf>
    <xf borderId="46" fillId="0" fontId="4" numFmtId="0" xfId="0" applyAlignment="1" applyBorder="1" applyFont="1">
      <alignment horizontal="center" shrinkToFit="0" vertical="bottom" wrapText="0"/>
    </xf>
    <xf borderId="114" fillId="0" fontId="1" numFmtId="0" xfId="0" applyAlignment="1" applyBorder="1" applyFont="1">
      <alignment shrinkToFit="0" vertical="bottom" wrapText="0"/>
    </xf>
    <xf borderId="115" fillId="0" fontId="8" numFmtId="0" xfId="0" applyAlignment="1" applyBorder="1" applyFont="1">
      <alignment shrinkToFit="0" vertical="bottom" wrapText="0"/>
    </xf>
    <xf borderId="59" fillId="0" fontId="12" numFmtId="167" xfId="0" applyAlignment="1" applyBorder="1" applyFont="1" applyNumberFormat="1">
      <alignment horizontal="center" shrinkToFit="0" vertical="bottom" wrapText="0"/>
    </xf>
    <xf borderId="21" fillId="0" fontId="9" numFmtId="167" xfId="0" applyAlignment="1" applyBorder="1" applyFont="1" applyNumberFormat="1">
      <alignment shrinkToFit="0" vertical="bottom" wrapText="0"/>
    </xf>
    <xf borderId="97" fillId="0" fontId="8" numFmtId="0" xfId="0" applyAlignment="1" applyBorder="1" applyFont="1">
      <alignment horizontal="center" shrinkToFit="0" vertical="bottom" wrapText="0"/>
    </xf>
    <xf borderId="99" fillId="0" fontId="7" numFmtId="0" xfId="0" applyBorder="1" applyFont="1"/>
    <xf borderId="39" fillId="0" fontId="8" numFmtId="182" xfId="0" applyAlignment="1" applyBorder="1" applyFont="1" applyNumberFormat="1">
      <alignment shrinkToFit="0" vertical="bottom" wrapText="0"/>
    </xf>
    <xf borderId="53" fillId="6" fontId="0" numFmtId="167" xfId="0" applyAlignment="1" applyBorder="1" applyFont="1" applyNumberFormat="1">
      <alignment horizontal="center" shrinkToFit="0" vertical="bottom" wrapText="0"/>
    </xf>
    <xf borderId="96" fillId="0" fontId="8" numFmtId="0" xfId="0" applyAlignment="1" applyBorder="1" applyFont="1">
      <alignment shrinkToFit="0" vertical="bottom" wrapText="0"/>
    </xf>
    <xf borderId="88" fillId="0" fontId="9" numFmtId="167" xfId="0" applyAlignment="1" applyBorder="1" applyFont="1" applyNumberFormat="1">
      <alignment shrinkToFit="0" vertical="bottom" wrapText="0"/>
    </xf>
    <xf borderId="0" fillId="0" fontId="8" numFmtId="182" xfId="0" applyAlignment="1" applyFont="1" applyNumberFormat="1">
      <alignment shrinkToFit="0" vertical="bottom" wrapText="0"/>
    </xf>
    <xf borderId="25" fillId="0" fontId="9" numFmtId="0" xfId="0" applyAlignment="1" applyBorder="1" applyFont="1">
      <alignment shrinkToFit="0" vertical="bottom" wrapText="0"/>
    </xf>
    <xf borderId="26" fillId="0" fontId="1" numFmtId="167" xfId="0" applyAlignment="1" applyBorder="1" applyFont="1" applyNumberFormat="1">
      <alignment shrinkToFit="0" vertical="bottom" wrapText="0"/>
    </xf>
    <xf borderId="27" fillId="0" fontId="1" numFmtId="167" xfId="0" applyAlignment="1" applyBorder="1" applyFont="1" applyNumberFormat="1">
      <alignment shrinkToFit="0" vertical="bottom" wrapText="0"/>
    </xf>
    <xf borderId="63" fillId="0" fontId="9" numFmtId="0" xfId="0" applyAlignment="1" applyBorder="1" applyFont="1">
      <alignment shrinkToFit="0" vertical="bottom" wrapText="0"/>
    </xf>
    <xf borderId="64" fillId="0" fontId="1" numFmtId="166" xfId="0" applyAlignment="1" applyBorder="1" applyFont="1" applyNumberFormat="1">
      <alignment shrinkToFit="0" vertical="bottom" wrapText="0"/>
    </xf>
    <xf borderId="116" fillId="0" fontId="4" numFmtId="0" xfId="0" applyAlignment="1" applyBorder="1" applyFont="1">
      <alignment shrinkToFit="0" vertical="bottom" wrapText="0"/>
    </xf>
    <xf borderId="88" fillId="0" fontId="1" numFmtId="166" xfId="0" applyAlignment="1" applyBorder="1" applyFont="1" applyNumberFormat="1">
      <alignment shrinkToFit="0" vertical="bottom" wrapText="0"/>
    </xf>
    <xf borderId="67" fillId="0" fontId="12" numFmtId="167" xfId="0" applyAlignment="1" applyBorder="1" applyFont="1" applyNumberFormat="1">
      <alignment horizontal="center" shrinkToFit="0" vertical="bottom" wrapText="0"/>
    </xf>
    <xf borderId="23" fillId="0" fontId="1" numFmtId="0" xfId="0" applyAlignment="1" applyBorder="1" applyFont="1">
      <alignment readingOrder="0" shrinkToFit="0" vertical="bottom" wrapText="0"/>
    </xf>
    <xf borderId="60" fillId="0" fontId="1" numFmtId="0" xfId="0" applyAlignment="1" applyBorder="1" applyFont="1">
      <alignment horizontal="center" shrinkToFit="0" vertical="bottom" wrapText="0"/>
    </xf>
    <xf borderId="112" fillId="0" fontId="1" numFmtId="0" xfId="0" applyAlignment="1" applyBorder="1" applyFont="1">
      <alignment horizontal="center" shrinkToFit="0" vertical="bottom" wrapText="0"/>
    </xf>
    <xf borderId="115" fillId="0" fontId="5" numFmtId="0" xfId="0" applyAlignment="1" applyBorder="1" applyFont="1">
      <alignment shrinkToFit="0" vertical="bottom" wrapText="0"/>
    </xf>
    <xf borderId="21" fillId="6" fontId="5" numFmtId="167" xfId="0" applyAlignment="1" applyBorder="1" applyFont="1" applyNumberFormat="1">
      <alignment shrinkToFit="0" vertical="bottom" wrapText="0"/>
    </xf>
    <xf borderId="53" fillId="0" fontId="12" numFmtId="175" xfId="0" applyAlignment="1" applyBorder="1" applyFont="1" applyNumberFormat="1">
      <alignment horizontal="center" shrinkToFit="0" vertical="bottom" wrapText="0"/>
    </xf>
    <xf borderId="31" fillId="6" fontId="43" numFmtId="0" xfId="0" applyAlignment="1" applyBorder="1" applyFont="1">
      <alignment readingOrder="0"/>
    </xf>
    <xf borderId="32" fillId="6" fontId="43" numFmtId="0" xfId="0" applyAlignment="1" applyBorder="1" applyFont="1">
      <alignment readingOrder="0"/>
    </xf>
    <xf borderId="76" fillId="0" fontId="12" numFmtId="175" xfId="0" applyAlignment="1" applyBorder="1" applyFont="1" applyNumberFormat="1">
      <alignment shrinkToFit="0" vertical="bottom" wrapText="0"/>
    </xf>
    <xf borderId="32" fillId="6" fontId="40" numFmtId="0" xfId="0" applyAlignment="1" applyBorder="1" applyFont="1">
      <alignment readingOrder="0"/>
    </xf>
    <xf borderId="53" fillId="0" fontId="4" numFmtId="167" xfId="0" applyAlignment="1" applyBorder="1" applyFont="1" applyNumberFormat="1">
      <alignment horizontal="center" shrinkToFit="0" vertical="bottom" wrapText="0"/>
    </xf>
    <xf borderId="116" fillId="0" fontId="12" numFmtId="0" xfId="0" applyAlignment="1" applyBorder="1" applyFont="1">
      <alignment shrinkToFit="0" vertical="bottom" wrapText="0"/>
    </xf>
    <xf borderId="78" fillId="6" fontId="40" numFmtId="0" xfId="0" applyAlignment="1" applyBorder="1" applyFont="1">
      <alignment readingOrder="0"/>
    </xf>
    <xf borderId="76" fillId="0" fontId="4" numFmtId="167" xfId="0" applyAlignment="1" applyBorder="1" applyFont="1" applyNumberFormat="1">
      <alignment horizontal="center" shrinkToFit="0" vertical="bottom" wrapText="0"/>
    </xf>
    <xf borderId="76" fillId="0" fontId="12" numFmtId="167" xfId="0" applyAlignment="1" applyBorder="1" applyFont="1" applyNumberFormat="1">
      <alignment horizontal="center" shrinkToFit="0" vertical="bottom" wrapText="0"/>
    </xf>
    <xf borderId="53" fillId="0" fontId="4" numFmtId="9" xfId="0" applyAlignment="1" applyBorder="1" applyFont="1" applyNumberFormat="1">
      <alignment horizontal="center" readingOrder="0" shrinkToFit="0" vertical="bottom" wrapText="0"/>
    </xf>
    <xf borderId="104" fillId="0" fontId="5" numFmtId="0" xfId="0" applyAlignment="1" applyBorder="1" applyFont="1">
      <alignment shrinkToFit="0" vertical="bottom" wrapText="0"/>
    </xf>
    <xf borderId="27" fillId="6" fontId="5" numFmtId="167" xfId="0" applyAlignment="1" applyBorder="1" applyFont="1" applyNumberFormat="1">
      <alignment shrinkToFit="0" vertical="bottom" wrapText="0"/>
    </xf>
    <xf borderId="0" fillId="0" fontId="42" numFmtId="0" xfId="0" applyAlignment="1" applyFont="1">
      <alignment readingOrder="0" shrinkToFit="0" vertical="bottom" wrapText="0"/>
    </xf>
    <xf borderId="47" fillId="6" fontId="5" numFmtId="167" xfId="0" applyAlignment="1" applyBorder="1" applyFont="1" applyNumberFormat="1">
      <alignment shrinkToFit="0" vertical="bottom" wrapText="0"/>
    </xf>
    <xf borderId="32" fillId="6" fontId="40" numFmtId="3" xfId="0" applyAlignment="1" applyBorder="1" applyFont="1" applyNumberFormat="1">
      <alignment readingOrder="0"/>
    </xf>
    <xf borderId="78" fillId="6" fontId="40" numFmtId="3" xfId="0" applyAlignment="1" applyBorder="1" applyFont="1" applyNumberFormat="1">
      <alignment readingOrder="0"/>
    </xf>
    <xf borderId="97" fillId="0" fontId="8" numFmtId="0" xfId="0" applyAlignment="1" applyBorder="1" applyFont="1">
      <alignment horizontal="right" shrinkToFit="0" vertical="bottom" wrapText="0"/>
    </xf>
    <xf borderId="14" fillId="0" fontId="8" numFmtId="181" xfId="0" applyAlignment="1" applyBorder="1" applyFont="1" applyNumberFormat="1">
      <alignment horizontal="center" shrinkToFit="0" vertical="bottom" wrapText="0"/>
    </xf>
    <xf borderId="117" fillId="9" fontId="8" numFmtId="0" xfId="0" applyAlignment="1" applyBorder="1" applyFont="1">
      <alignment shrinkToFit="0" vertical="bottom" wrapText="0"/>
    </xf>
    <xf borderId="52" fillId="6" fontId="0" numFmtId="0" xfId="0" applyAlignment="1" applyBorder="1" applyFont="1">
      <alignment shrinkToFit="0" vertical="bottom" wrapText="0"/>
    </xf>
    <xf borderId="97" fillId="0" fontId="8" numFmtId="182" xfId="0" applyAlignment="1" applyBorder="1" applyFont="1" applyNumberFormat="1">
      <alignment shrinkToFit="0" vertical="bottom" wrapText="0"/>
    </xf>
    <xf borderId="23" fillId="0" fontId="1" numFmtId="0" xfId="0" applyAlignment="1" applyBorder="1" applyFont="1">
      <alignment shrinkToFit="0" vertical="bottom" wrapText="0"/>
    </xf>
    <xf borderId="118" fillId="0" fontId="1" numFmtId="0" xfId="0" applyAlignment="1" applyBorder="1" applyFont="1">
      <alignment shrinkToFit="0" vertical="bottom" wrapText="0"/>
    </xf>
    <xf borderId="98" fillId="0" fontId="1" numFmtId="0" xfId="0" applyAlignment="1" applyBorder="1" applyFont="1">
      <alignment shrinkToFit="0" vertical="bottom" wrapText="0"/>
    </xf>
    <xf borderId="31" fillId="0" fontId="1" numFmtId="0" xfId="0" applyAlignment="1" applyBorder="1" applyFont="1">
      <alignment shrinkToFit="0" vertical="bottom" wrapText="0"/>
    </xf>
    <xf borderId="32" fillId="0" fontId="1" numFmtId="9" xfId="0" applyAlignment="1" applyBorder="1" applyFont="1" applyNumberFormat="1">
      <alignment shrinkToFit="0" vertical="bottom" wrapText="0"/>
    </xf>
    <xf borderId="0" fillId="6" fontId="0" numFmtId="0" xfId="0" applyAlignment="1" applyFont="1">
      <alignment shrinkToFit="0" vertical="bottom" wrapText="0"/>
    </xf>
    <xf borderId="107" fillId="0" fontId="9" numFmtId="167" xfId="0" applyAlignment="1" applyBorder="1" applyFont="1" applyNumberFormat="1">
      <alignment shrinkToFit="0" vertical="bottom" wrapText="0"/>
    </xf>
    <xf borderId="31" fillId="9" fontId="1" numFmtId="0" xfId="0" applyAlignment="1" applyBorder="1" applyFont="1">
      <alignment shrinkToFit="0" vertical="bottom" wrapText="0"/>
    </xf>
    <xf borderId="32" fillId="0" fontId="5" numFmtId="167" xfId="0" applyAlignment="1" applyBorder="1" applyFont="1" applyNumberFormat="1">
      <alignment shrinkToFit="0" vertical="bottom" wrapText="0"/>
    </xf>
    <xf borderId="53" fillId="0" fontId="4" numFmtId="9" xfId="0" applyAlignment="1" applyBorder="1" applyFont="1" applyNumberFormat="1">
      <alignment horizontal="center" shrinkToFit="0" vertical="bottom" wrapText="0"/>
    </xf>
    <xf borderId="63" fillId="0" fontId="8" numFmtId="0" xfId="0" applyAlignment="1" applyBorder="1" applyFont="1">
      <alignment shrinkToFit="0" vertical="bottom" wrapText="0"/>
    </xf>
    <xf borderId="109" fillId="0" fontId="9" numFmtId="167" xfId="0" applyAlignment="1" applyBorder="1" applyFont="1" applyNumberFormat="1">
      <alignment shrinkToFit="0" vertical="bottom" wrapText="0"/>
    </xf>
    <xf borderId="63" fillId="9" fontId="1" numFmtId="0" xfId="0" applyAlignment="1" applyBorder="1" applyFont="1">
      <alignment shrinkToFit="0" vertical="bottom" wrapText="0"/>
    </xf>
    <xf borderId="0" fillId="0" fontId="44" numFmtId="0" xfId="0" applyAlignment="1" applyFont="1">
      <alignment shrinkToFit="0" vertical="bottom" wrapText="0"/>
    </xf>
    <xf borderId="41" fillId="0" fontId="17" numFmtId="0" xfId="0" applyAlignment="1" applyBorder="1" applyFont="1">
      <alignment horizontal="center" shrinkToFit="0" vertical="bottom" wrapText="0"/>
    </xf>
    <xf borderId="0" fillId="10" fontId="45" numFmtId="0" xfId="0" applyAlignment="1" applyFill="1" applyFont="1">
      <alignment horizontal="center" readingOrder="0"/>
    </xf>
    <xf borderId="59" fillId="0" fontId="17" numFmtId="0" xfId="0" applyAlignment="1" applyBorder="1" applyFont="1">
      <alignment horizontal="center" shrinkToFit="0" vertical="bottom" wrapText="0"/>
    </xf>
    <xf borderId="97" fillId="6" fontId="1" numFmtId="0" xfId="0" applyAlignment="1" applyBorder="1" applyFont="1">
      <alignment shrinkToFit="0" vertical="bottom" wrapText="0"/>
    </xf>
    <xf borderId="61" fillId="0" fontId="17" numFmtId="0" xfId="0" applyAlignment="1" applyBorder="1" applyFont="1">
      <alignment horizontal="center" shrinkToFit="0" vertical="bottom" wrapText="0"/>
    </xf>
    <xf borderId="0" fillId="8" fontId="43" numFmtId="0" xfId="0" applyAlignment="1" applyFont="1">
      <alignment readingOrder="0"/>
    </xf>
    <xf borderId="53" fillId="0" fontId="12" numFmtId="183" xfId="0" applyAlignment="1" applyBorder="1" applyFont="1" applyNumberFormat="1">
      <alignment horizontal="center" readingOrder="0" shrinkToFit="0" vertical="bottom" wrapText="0"/>
    </xf>
    <xf borderId="23" fillId="6" fontId="5" numFmtId="0" xfId="0" applyAlignment="1" applyBorder="1" applyFont="1">
      <alignment shrinkToFit="0" vertical="bottom" wrapText="0"/>
    </xf>
    <xf borderId="53" fillId="0" fontId="12" numFmtId="180" xfId="0" applyAlignment="1" applyBorder="1" applyFont="1" applyNumberFormat="1">
      <alignment horizontal="center" shrinkToFit="0" vertical="bottom" wrapText="0"/>
    </xf>
    <xf borderId="56" fillId="6" fontId="1" numFmtId="3" xfId="0" applyAlignment="1" applyBorder="1" applyFont="1" applyNumberFormat="1">
      <alignment readingOrder="0" shrinkToFit="0" vertical="bottom" wrapText="0"/>
    </xf>
    <xf borderId="55" fillId="0" fontId="12" numFmtId="180" xfId="0" applyAlignment="1" applyBorder="1" applyFont="1" applyNumberFormat="1">
      <alignment horizontal="center" shrinkToFit="0" vertical="bottom" wrapText="0"/>
    </xf>
    <xf borderId="68" fillId="6" fontId="1" numFmtId="3" xfId="0" applyAlignment="1" applyBorder="1" applyFont="1" applyNumberFormat="1">
      <alignment readingOrder="0" shrinkToFit="0" vertical="bottom" wrapText="0"/>
    </xf>
    <xf borderId="119" fillId="0" fontId="12" numFmtId="0" xfId="0" applyAlignment="1" applyBorder="1" applyFont="1">
      <alignment shrinkToFit="0" vertical="bottom" wrapText="0"/>
    </xf>
    <xf borderId="0" fillId="6" fontId="43" numFmtId="0" xfId="0" applyAlignment="1" applyFont="1">
      <alignment readingOrder="0"/>
    </xf>
    <xf borderId="48" fillId="0" fontId="12" numFmtId="167" xfId="0" applyAlignment="1" applyBorder="1" applyFont="1" applyNumberFormat="1">
      <alignment horizontal="center" shrinkToFit="0" vertical="bottom" wrapText="0"/>
    </xf>
    <xf borderId="77" fillId="6" fontId="1" numFmtId="0" xfId="0" applyAlignment="1" applyBorder="1" applyFont="1">
      <alignment shrinkToFit="0" vertical="bottom" wrapText="0"/>
    </xf>
    <xf borderId="0" fillId="6" fontId="43" numFmtId="3" xfId="0" applyAlignment="1" applyFont="1" applyNumberFormat="1">
      <alignment readingOrder="0"/>
    </xf>
    <xf borderId="0" fillId="6" fontId="46" numFmtId="0" xfId="0" applyAlignment="1" applyFont="1">
      <alignment readingOrder="0"/>
    </xf>
    <xf borderId="0" fillId="0" fontId="20" numFmtId="0" xfId="0" applyAlignment="1" applyFont="1">
      <alignment readingOrder="0" shrinkToFit="0" vertical="bottom" wrapText="0"/>
    </xf>
    <xf borderId="0" fillId="0" fontId="22" numFmtId="0" xfId="0" applyAlignment="1" applyFont="1">
      <alignment shrinkToFit="0" vertical="bottom" wrapText="0"/>
    </xf>
    <xf borderId="0" fillId="6" fontId="45" numFmtId="0" xfId="0" applyAlignment="1" applyFont="1">
      <alignment readingOrder="0"/>
    </xf>
    <xf borderId="0" fillId="0" fontId="22" numFmtId="0" xfId="0" applyAlignment="1" applyFont="1">
      <alignment readingOrder="0" shrinkToFit="0" vertical="bottom" wrapText="0"/>
    </xf>
    <xf borderId="23" fillId="6" fontId="1" numFmtId="0" xfId="0" applyAlignment="1" applyBorder="1" applyFont="1">
      <alignment shrinkToFit="0" vertical="bottom" wrapText="0"/>
    </xf>
    <xf borderId="32" fillId="0" fontId="22" numFmtId="0" xfId="0" applyAlignment="1" applyBorder="1" applyFont="1">
      <alignment shrinkToFit="0" vertical="bottom" wrapText="0"/>
    </xf>
    <xf borderId="23" fillId="6" fontId="12" numFmtId="164" xfId="0" applyAlignment="1" applyBorder="1" applyFont="1" applyNumberFormat="1">
      <alignment readingOrder="0" shrinkToFit="0" vertical="bottom" wrapText="0"/>
    </xf>
    <xf borderId="32" fillId="0" fontId="22" numFmtId="0" xfId="0" applyAlignment="1" applyBorder="1" applyFont="1">
      <alignment horizontal="center" readingOrder="0" shrinkToFit="0" vertical="bottom" wrapText="0"/>
    </xf>
    <xf borderId="0" fillId="8" fontId="45" numFmtId="0" xfId="0" applyAlignment="1" applyFont="1">
      <alignment readingOrder="0"/>
    </xf>
    <xf borderId="32" fillId="0" fontId="22" numFmtId="0" xfId="0" applyAlignment="1" applyBorder="1" applyFont="1">
      <alignment readingOrder="0" shrinkToFit="0" vertical="bottom" wrapText="0"/>
    </xf>
    <xf borderId="0" fillId="6" fontId="43" numFmtId="0" xfId="0" applyFont="1"/>
    <xf borderId="32" fillId="0" fontId="22" numFmtId="0" xfId="0" applyAlignment="1" applyBorder="1" applyFont="1">
      <alignment horizontal="right" readingOrder="0" shrinkToFit="0" vertical="bottom" wrapText="0"/>
    </xf>
    <xf borderId="0" fillId="6" fontId="43" numFmtId="3" xfId="0" applyFont="1" applyNumberFormat="1"/>
    <xf borderId="0" fillId="6" fontId="47" numFmtId="0" xfId="0" applyAlignment="1" applyFont="1">
      <alignment shrinkToFit="0" vertical="bottom" wrapText="0"/>
    </xf>
    <xf borderId="52" fillId="0" fontId="12" numFmtId="0" xfId="0" applyAlignment="1" applyBorder="1" applyFont="1">
      <alignment readingOrder="0" shrinkToFit="0" vertical="bottom" wrapText="0"/>
    </xf>
    <xf borderId="0" fillId="6" fontId="48" numFmtId="0" xfId="0" applyAlignment="1" applyFont="1">
      <alignment horizontal="center" readingOrder="0" shrinkToFit="0" vertical="bottom" wrapText="0"/>
    </xf>
    <xf borderId="0" fillId="0" fontId="49" numFmtId="0" xfId="0" applyAlignment="1" applyFont="1">
      <alignment horizontal="center" shrinkToFit="0" vertical="bottom" wrapText="0"/>
    </xf>
    <xf borderId="0" fillId="6" fontId="47" numFmtId="0" xfId="0" applyAlignment="1" applyFont="1">
      <alignment horizontal="center" readingOrder="0" shrinkToFit="0" vertical="bottom" wrapText="0"/>
    </xf>
    <xf borderId="0" fillId="0" fontId="5" numFmtId="167" xfId="0" applyAlignment="1" applyFont="1" applyNumberFormat="1">
      <alignment shrinkToFit="0" vertical="bottom" wrapText="0"/>
    </xf>
    <xf borderId="32" fillId="11" fontId="20" numFmtId="0" xfId="0" applyAlignment="1" applyBorder="1" applyFill="1" applyFont="1">
      <alignment readingOrder="0" shrinkToFit="0" vertical="bottom" wrapText="0"/>
    </xf>
    <xf borderId="0" fillId="6" fontId="45" numFmtId="0" xfId="0" applyAlignment="1" applyFont="1">
      <alignment readingOrder="0"/>
    </xf>
    <xf borderId="32" fillId="11" fontId="22" numFmtId="0" xfId="0" applyAlignment="1" applyBorder="1" applyFont="1">
      <alignment horizontal="right" readingOrder="0" shrinkToFit="0" vertical="bottom" wrapText="0"/>
    </xf>
    <xf borderId="0" fillId="6" fontId="43" numFmtId="0" xfId="0" applyFont="1"/>
    <xf borderId="0" fillId="6" fontId="47" numFmtId="182" xfId="0" applyAlignment="1" applyFont="1" applyNumberFormat="1">
      <alignment readingOrder="0" shrinkToFit="0" vertical="bottom" wrapText="0"/>
    </xf>
    <xf borderId="0" fillId="0" fontId="8" numFmtId="167" xfId="0" applyAlignment="1" applyFont="1" applyNumberFormat="1">
      <alignment shrinkToFit="0" vertical="bottom" wrapText="0"/>
    </xf>
    <xf borderId="23" fillId="6" fontId="39" numFmtId="0" xfId="0" applyAlignment="1" applyBorder="1" applyFont="1">
      <alignment readingOrder="0" shrinkToFit="0" vertical="bottom" wrapText="0"/>
    </xf>
    <xf borderId="32" fillId="0" fontId="22" numFmtId="3" xfId="0" applyAlignment="1" applyBorder="1" applyFont="1" applyNumberFormat="1">
      <alignment horizontal="right" readingOrder="0" shrinkToFit="0" vertical="bottom" wrapText="0"/>
    </xf>
    <xf borderId="23" fillId="6" fontId="12" numFmtId="183" xfId="0" applyAlignment="1" applyBorder="1" applyFont="1" applyNumberFormat="1">
      <alignment shrinkToFit="0" vertical="bottom" wrapText="0"/>
    </xf>
    <xf borderId="0" fillId="6" fontId="47" numFmtId="0" xfId="0" applyAlignment="1" applyFont="1">
      <alignment shrinkToFit="0" vertical="bottom" wrapText="0"/>
    </xf>
    <xf borderId="0" fillId="6" fontId="48" numFmtId="182" xfId="0" applyAlignment="1" applyFont="1" applyNumberFormat="1">
      <alignment readingOrder="0" shrinkToFit="0" vertical="bottom" wrapText="0"/>
    </xf>
    <xf borderId="23" fillId="6" fontId="12" numFmtId="183" xfId="0" applyAlignment="1" applyBorder="1" applyFont="1" applyNumberFormat="1">
      <alignment readingOrder="0" shrinkToFit="0" vertical="bottom" wrapText="0"/>
    </xf>
    <xf borderId="0" fillId="6" fontId="1" numFmtId="0" xfId="0" applyAlignment="1" applyFont="1">
      <alignment readingOrder="0" shrinkToFit="0" vertical="bottom" wrapText="0"/>
    </xf>
    <xf borderId="0" fillId="6" fontId="8" numFmtId="0" xfId="0" applyAlignment="1" applyFont="1">
      <alignment horizontal="center" shrinkToFit="0" vertical="bottom" wrapText="0"/>
    </xf>
    <xf borderId="0" fillId="6" fontId="8" numFmtId="182" xfId="0" applyAlignment="1" applyFont="1" applyNumberFormat="1">
      <alignment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6" fontId="1" numFmtId="167" xfId="0" applyAlignment="1" applyFont="1" applyNumberFormat="1">
      <alignment shrinkToFit="0" vertical="bottom" wrapText="0"/>
    </xf>
    <xf borderId="0" fillId="0" fontId="1" numFmtId="3" xfId="0" applyAlignment="1" applyFont="1" applyNumberFormat="1">
      <alignment shrinkToFit="0" vertical="bottom" wrapText="0"/>
    </xf>
    <xf borderId="0" fillId="6" fontId="9" numFmtId="0" xfId="0" applyAlignment="1" applyFont="1">
      <alignment readingOrder="0" shrinkToFit="0" vertical="bottom" wrapText="0"/>
    </xf>
    <xf borderId="0" fillId="6" fontId="9" numFmtId="0" xfId="0" applyAlignment="1" applyFont="1">
      <alignment shrinkToFit="0" vertical="bottom" wrapText="0"/>
    </xf>
    <xf borderId="0" fillId="6" fontId="42" numFmtId="0" xfId="0" applyAlignment="1" applyFont="1">
      <alignment shrinkToFit="0" vertical="bottom" wrapText="0"/>
    </xf>
    <xf borderId="120" fillId="6" fontId="1" numFmtId="0" xfId="0" applyAlignment="1" applyBorder="1" applyFont="1">
      <alignment shrinkToFit="0" vertical="bottom" wrapText="0"/>
    </xf>
    <xf borderId="0" fillId="0" fontId="42" numFmtId="0" xfId="0" applyAlignment="1" applyFont="1">
      <alignment shrinkToFit="0" vertical="bottom" wrapText="0"/>
    </xf>
    <xf borderId="97" fillId="6" fontId="8" numFmtId="0" xfId="0" applyAlignment="1" applyBorder="1" applyFont="1">
      <alignment horizontal="center" shrinkToFit="0" vertical="bottom" wrapText="0"/>
    </xf>
    <xf borderId="56" fillId="6" fontId="8" numFmtId="0" xfId="0" applyAlignment="1" applyBorder="1" applyFont="1">
      <alignment horizontal="center" shrinkToFit="0" vertical="bottom" wrapText="0"/>
    </xf>
    <xf borderId="8" fillId="6" fontId="8" numFmtId="0" xfId="0" applyAlignment="1" applyBorder="1" applyFont="1">
      <alignment horizontal="center" shrinkToFit="0" vertical="bottom" wrapText="0"/>
    </xf>
    <xf borderId="121" fillId="6" fontId="8" numFmtId="0" xfId="0" applyAlignment="1" applyBorder="1" applyFont="1">
      <alignment horizontal="center" shrinkToFit="0" vertical="bottom" wrapText="0"/>
    </xf>
    <xf borderId="84" fillId="0" fontId="8" numFmtId="0" xfId="0" applyAlignment="1" applyBorder="1" applyFont="1">
      <alignment horizontal="center" shrinkToFit="0" vertical="bottom" wrapText="0"/>
    </xf>
    <xf borderId="101" fillId="6" fontId="8" numFmtId="0" xfId="0" applyAlignment="1" applyBorder="1" applyFont="1">
      <alignment horizontal="center" shrinkToFit="0" vertical="bottom" wrapText="0"/>
    </xf>
    <xf borderId="101" fillId="6" fontId="8" numFmtId="0" xfId="0" applyAlignment="1" applyBorder="1" applyFont="1">
      <alignment readingOrder="0" shrinkToFit="0" vertical="bottom" wrapText="0"/>
    </xf>
    <xf borderId="17" fillId="6" fontId="5" numFmtId="184" xfId="0" applyAlignment="1" applyBorder="1" applyFont="1" applyNumberFormat="1">
      <alignment readingOrder="0" shrinkToFit="0" vertical="bottom" wrapText="0"/>
    </xf>
    <xf borderId="32" fillId="12" fontId="20" numFmtId="0" xfId="0" applyAlignment="1" applyBorder="1" applyFill="1" applyFont="1">
      <alignment readingOrder="0" shrinkToFit="0" vertical="bottom" wrapText="0"/>
    </xf>
    <xf borderId="53" fillId="0" fontId="12" numFmtId="9" xfId="0" applyAlignment="1" applyBorder="1" applyFont="1" applyNumberFormat="1">
      <alignment shrinkToFit="0" vertical="bottom" wrapText="0"/>
    </xf>
    <xf borderId="32" fillId="12" fontId="22" numFmtId="0" xfId="0" applyAlignment="1" applyBorder="1" applyFont="1">
      <alignment horizontal="right" readingOrder="0" shrinkToFit="0" vertical="bottom" wrapText="0"/>
    </xf>
    <xf borderId="107" fillId="6" fontId="5" numFmtId="0" xfId="0" applyAlignment="1" applyBorder="1" applyFont="1">
      <alignment horizontal="center" readingOrder="0" shrinkToFit="0" vertical="bottom" wrapText="0"/>
    </xf>
    <xf borderId="76" fillId="0" fontId="12" numFmtId="9" xfId="0" applyAlignment="1" applyBorder="1" applyFont="1" applyNumberFormat="1">
      <alignment shrinkToFit="0" vertical="bottom" wrapText="0"/>
    </xf>
    <xf borderId="101" fillId="6" fontId="1" numFmtId="185" xfId="0" applyAlignment="1" applyBorder="1" applyFont="1" applyNumberFormat="1">
      <alignment horizontal="center" readingOrder="0" shrinkToFit="0" vertical="bottom" wrapText="0"/>
    </xf>
    <xf borderId="53" fillId="0" fontId="12" numFmtId="180" xfId="0" applyAlignment="1" applyBorder="1" applyFont="1" applyNumberFormat="1">
      <alignment shrinkToFit="0" vertical="bottom" wrapText="0"/>
    </xf>
    <xf borderId="102" fillId="6" fontId="1" numFmtId="1" xfId="0" applyAlignment="1" applyBorder="1" applyFont="1" applyNumberFormat="1">
      <alignment horizontal="center" shrinkToFit="0" vertical="bottom" wrapText="0"/>
    </xf>
    <xf borderId="79" fillId="0" fontId="1" numFmtId="173" xfId="0" applyAlignment="1" applyBorder="1" applyFont="1" applyNumberFormat="1">
      <alignment shrinkToFit="0" vertical="bottom" wrapText="0"/>
    </xf>
    <xf borderId="79" fillId="0" fontId="1" numFmtId="186" xfId="0" applyAlignment="1" applyBorder="1" applyFont="1" applyNumberFormat="1">
      <alignment shrinkToFit="0" vertical="bottom" wrapText="0"/>
    </xf>
    <xf borderId="74" fillId="6" fontId="8" numFmtId="0" xfId="0" applyAlignment="1" applyBorder="1" applyFont="1">
      <alignment horizontal="center" shrinkToFit="0" vertical="bottom" wrapText="0"/>
    </xf>
    <xf borderId="74" fillId="6" fontId="8" numFmtId="0" xfId="0" applyAlignment="1" applyBorder="1" applyFont="1">
      <alignment readingOrder="0" shrinkToFit="0" vertical="bottom" wrapText="0"/>
    </xf>
    <xf borderId="44" fillId="6" fontId="5" numFmtId="0" xfId="0" applyAlignment="1" applyBorder="1" applyFont="1">
      <alignment horizontal="center" readingOrder="0" shrinkToFit="0" vertical="bottom" wrapText="0"/>
    </xf>
    <xf borderId="74" fillId="6" fontId="1" numFmtId="185" xfId="0" applyAlignment="1" applyBorder="1" applyFont="1" applyNumberFormat="1">
      <alignment horizontal="center" readingOrder="0" shrinkToFit="0" vertical="bottom" wrapText="0"/>
    </xf>
    <xf borderId="75" fillId="6" fontId="1" numFmtId="1" xfId="0" applyAlignment="1" applyBorder="1" applyFont="1" applyNumberFormat="1">
      <alignment horizontal="center" shrinkToFit="0" vertical="bottom" wrapText="0"/>
    </xf>
    <xf borderId="74" fillId="6" fontId="1" numFmtId="187" xfId="0" applyAlignment="1" applyBorder="1" applyFont="1" applyNumberFormat="1">
      <alignment horizontal="center" readingOrder="0" shrinkToFit="0" vertical="bottom" wrapText="0"/>
    </xf>
    <xf borderId="0" fillId="6" fontId="12" numFmtId="0" xfId="0" applyAlignment="1" applyFont="1">
      <alignment shrinkToFit="0" vertical="bottom" wrapText="0"/>
    </xf>
    <xf borderId="75" fillId="6" fontId="1" numFmtId="188" xfId="0" applyAlignment="1" applyBorder="1" applyFont="1" applyNumberFormat="1">
      <alignment horizontal="center" shrinkToFit="0" vertical="bottom" wrapText="0"/>
    </xf>
    <xf borderId="0" fillId="6" fontId="12" numFmtId="0" xfId="0" applyAlignment="1" applyFont="1">
      <alignment readingOrder="0" shrinkToFit="0" vertical="bottom" wrapText="0"/>
    </xf>
    <xf borderId="80" fillId="6" fontId="5" numFmtId="184" xfId="0" applyAlignment="1" applyBorder="1" applyFont="1" applyNumberFormat="1">
      <alignment readingOrder="0" shrinkToFit="0" vertical="bottom" wrapText="0"/>
    </xf>
    <xf borderId="112" fillId="6" fontId="5" numFmtId="0" xfId="0" applyAlignment="1" applyBorder="1" applyFont="1">
      <alignment horizontal="center" readingOrder="0" shrinkToFit="0" vertical="bottom" wrapText="0"/>
    </xf>
    <xf borderId="122" fillId="6" fontId="1" numFmtId="187" xfId="0" applyAlignment="1" applyBorder="1" applyFont="1" applyNumberFormat="1">
      <alignment horizontal="center" readingOrder="0" shrinkToFit="0" vertical="bottom" wrapText="0"/>
    </xf>
    <xf borderId="89" fillId="6" fontId="1" numFmtId="188" xfId="0" applyAlignment="1" applyBorder="1" applyFont="1" applyNumberFormat="1">
      <alignment horizontal="center" shrinkToFit="0" vertical="bottom" wrapText="0"/>
    </xf>
    <xf borderId="0" fillId="6" fontId="50" numFmtId="167" xfId="0" applyFont="1" applyNumberFormat="1"/>
    <xf borderId="84" fillId="0" fontId="1" numFmtId="173" xfId="0" applyAlignment="1" applyBorder="1" applyFont="1" applyNumberFormat="1">
      <alignment shrinkToFit="0" vertical="bottom" wrapText="0"/>
    </xf>
    <xf borderId="84" fillId="0" fontId="1" numFmtId="186" xfId="0" applyAlignment="1" applyBorder="1" applyFont="1" applyNumberFormat="1">
      <alignment shrinkToFit="0" vertical="bottom" wrapText="0"/>
    </xf>
    <xf borderId="114" fillId="6" fontId="8" numFmtId="0" xfId="0" applyAlignment="1" applyBorder="1" applyFont="1">
      <alignment horizontal="center" shrinkToFit="0" vertical="bottom" wrapText="0"/>
    </xf>
    <xf borderId="114" fillId="6" fontId="18" numFmtId="164" xfId="0" applyAlignment="1" applyBorder="1" applyFont="1" applyNumberFormat="1">
      <alignment readingOrder="0"/>
    </xf>
    <xf borderId="114" fillId="6" fontId="9" numFmtId="0" xfId="0" applyAlignment="1" applyBorder="1" applyFont="1">
      <alignment horizontal="center" shrinkToFit="0" vertical="bottom" wrapText="0"/>
    </xf>
    <xf borderId="114" fillId="6" fontId="8" numFmtId="1" xfId="0" applyAlignment="1" applyBorder="1" applyFont="1" applyNumberFormat="1">
      <alignment horizontal="center" readingOrder="0" shrinkToFit="0" vertical="bottom" wrapText="0"/>
    </xf>
    <xf borderId="114" fillId="0" fontId="8" numFmtId="2" xfId="0" applyAlignment="1" applyBorder="1" applyFont="1" applyNumberFormat="1">
      <alignment horizontal="center" shrinkToFit="0" vertical="bottom" wrapText="0"/>
    </xf>
    <xf borderId="114" fillId="0" fontId="9" numFmtId="171" xfId="0" applyAlignment="1" applyBorder="1" applyFont="1" applyNumberFormat="1">
      <alignment shrinkToFit="0" vertical="bottom" wrapText="0"/>
    </xf>
    <xf borderId="0" fillId="0" fontId="1" numFmtId="171" xfId="0" applyAlignment="1" applyFont="1" applyNumberFormat="1">
      <alignment shrinkToFit="0" vertical="bottom" wrapText="0"/>
    </xf>
    <xf borderId="123" fillId="6" fontId="5" numFmtId="0" xfId="0" applyAlignment="1" applyBorder="1" applyFont="1">
      <alignment shrinkToFit="0" vertical="bottom" wrapText="0"/>
    </xf>
    <xf borderId="49" fillId="0" fontId="12" numFmtId="167" xfId="0" applyAlignment="1" applyBorder="1" applyFont="1" applyNumberFormat="1">
      <alignment shrinkToFit="0" vertical="bottom" wrapText="0"/>
    </xf>
    <xf borderId="0" fillId="6" fontId="12" numFmtId="183" xfId="0" applyAlignment="1" applyFont="1" applyNumberFormat="1">
      <alignment shrinkToFit="0" vertical="bottom" wrapText="0"/>
    </xf>
    <xf borderId="0" fillId="0" fontId="17" numFmtId="0" xfId="0" applyAlignment="1" applyFont="1">
      <alignment shrinkToFit="0" vertical="bottom" wrapText="0"/>
    </xf>
    <xf borderId="23" fillId="6" fontId="8" numFmtId="0" xfId="0" applyAlignment="1" applyBorder="1" applyFont="1">
      <alignment shrinkToFit="0" vertical="center" wrapText="1"/>
    </xf>
    <xf borderId="78" fillId="6" fontId="8" numFmtId="9" xfId="0" applyAlignment="1" applyBorder="1" applyFont="1" applyNumberFormat="1">
      <alignment horizontal="center" readingOrder="0" shrinkToFit="0" vertical="center" wrapText="0"/>
    </xf>
    <xf borderId="44" fillId="0" fontId="51" numFmtId="0" xfId="0" applyAlignment="1" applyBorder="1" applyFont="1">
      <alignment horizontal="center" readingOrder="0" shrinkToFit="0" vertical="bottom" wrapText="0"/>
    </xf>
    <xf borderId="32" fillId="6" fontId="9" numFmtId="0" xfId="0" applyAlignment="1" applyBorder="1" applyFont="1">
      <alignment shrinkToFit="0" vertical="bottom" wrapText="0"/>
    </xf>
    <xf borderId="124" fillId="0" fontId="7" numFmtId="0" xfId="0" applyBorder="1" applyFont="1"/>
    <xf borderId="32" fillId="6" fontId="1" numFmtId="183" xfId="0" applyAlignment="1" applyBorder="1" applyFont="1" applyNumberFormat="1">
      <alignment shrinkToFit="0" vertical="bottom" wrapText="0"/>
    </xf>
    <xf borderId="95" fillId="0" fontId="7" numFmtId="0" xfId="0" applyBorder="1" applyFont="1"/>
    <xf borderId="26" fillId="0" fontId="52" numFmtId="0" xfId="0" applyAlignment="1" applyBorder="1" applyFont="1">
      <alignment horizontal="center" readingOrder="0" shrinkToFit="0" vertical="bottom" wrapText="0"/>
    </xf>
    <xf borderId="23" fillId="6" fontId="8" numFmtId="1" xfId="0" applyAlignment="1" applyBorder="1" applyFont="1" applyNumberFormat="1">
      <alignment horizontal="center" shrinkToFit="0" vertical="bottom" wrapText="0"/>
    </xf>
    <xf borderId="104" fillId="0" fontId="52" numFmtId="0" xfId="0" applyAlignment="1" applyBorder="1" applyFont="1">
      <alignment horizontal="center" readingOrder="0" shrinkToFit="0" vertical="bottom" wrapText="0"/>
    </xf>
    <xf borderId="0" fillId="6" fontId="1" numFmtId="1" xfId="0" applyAlignment="1" applyFont="1" applyNumberFormat="1">
      <alignment shrinkToFit="0" vertical="bottom" wrapText="0"/>
    </xf>
    <xf borderId="26" fillId="0" fontId="22" numFmtId="0" xfId="0" applyAlignment="1" applyBorder="1" applyFont="1">
      <alignment horizontal="right" readingOrder="0" shrinkToFit="0" vertical="bottom" wrapText="0"/>
    </xf>
    <xf borderId="23" fillId="0" fontId="9" numFmtId="164" xfId="0" applyAlignment="1" applyBorder="1" applyFont="1" applyNumberFormat="1">
      <alignment shrinkToFit="0" vertical="bottom" wrapText="0"/>
    </xf>
    <xf borderId="32" fillId="0" fontId="22" numFmtId="167" xfId="0" applyAlignment="1" applyBorder="1" applyFont="1" applyNumberFormat="1">
      <alignment readingOrder="0" shrinkToFit="0" vertical="bottom" wrapText="0"/>
    </xf>
    <xf borderId="0" fillId="6" fontId="53" numFmtId="0" xfId="0" applyAlignment="1" applyFont="1">
      <alignment shrinkToFit="0" vertical="bottom" wrapText="0"/>
    </xf>
    <xf borderId="17" fillId="6" fontId="1" numFmtId="0" xfId="0" applyAlignment="1" applyBorder="1" applyFont="1">
      <alignment shrinkToFit="0" vertical="bottom" wrapText="0"/>
    </xf>
    <xf borderId="104" fillId="0" fontId="22" numFmtId="0" xfId="0" applyAlignment="1" applyBorder="1" applyFont="1">
      <alignment horizontal="right" readingOrder="0" shrinkToFit="0" vertical="bottom" wrapText="0"/>
    </xf>
    <xf borderId="0" fillId="6" fontId="1" numFmtId="0" xfId="0" applyAlignment="1" applyFont="1">
      <alignment horizontal="center" shrinkToFit="0" vertical="bottom" wrapText="0"/>
    </xf>
    <xf borderId="26" fillId="0" fontId="22" numFmtId="0" xfId="0" applyAlignment="1" applyBorder="1" applyFont="1">
      <alignment readingOrder="0" shrinkToFit="0" vertical="bottom" wrapText="0"/>
    </xf>
    <xf borderId="32" fillId="6" fontId="5" numFmtId="169" xfId="0" applyAlignment="1" applyBorder="1" applyFont="1" applyNumberFormat="1">
      <alignment shrinkToFit="0" vertical="bottom" wrapText="0"/>
    </xf>
    <xf borderId="0" fillId="6" fontId="18" numFmtId="169" xfId="0" applyFont="1" applyNumberFormat="1"/>
    <xf borderId="47" fillId="6" fontId="5" numFmtId="169" xfId="0" applyAlignment="1" applyBorder="1" applyFont="1" applyNumberFormat="1">
      <alignment shrinkToFit="0" vertical="bottom" wrapText="0"/>
    </xf>
    <xf borderId="32" fillId="6" fontId="5" numFmtId="189" xfId="0" applyAlignment="1" applyBorder="1" applyFont="1" applyNumberFormat="1">
      <alignment shrinkToFit="0" vertical="bottom" wrapText="0"/>
    </xf>
    <xf borderId="47" fillId="6" fontId="5" numFmtId="189" xfId="0" applyAlignment="1" applyBorder="1" applyFont="1" applyNumberFormat="1">
      <alignment shrinkToFit="0" vertical="bottom" wrapText="0"/>
    </xf>
    <xf borderId="0" fillId="6" fontId="42" numFmtId="0" xfId="0" applyAlignment="1" applyFont="1">
      <alignment readingOrder="0" shrinkToFit="0" vertical="bottom" wrapText="0"/>
    </xf>
    <xf borderId="32" fillId="6" fontId="1" numFmtId="0" xfId="0" applyAlignment="1" applyBorder="1" applyFont="1">
      <alignment shrinkToFit="0" vertical="bottom" wrapText="0"/>
    </xf>
    <xf borderId="32" fillId="6" fontId="1" numFmtId="169" xfId="0" applyAlignment="1" applyBorder="1" applyFont="1" applyNumberFormat="1">
      <alignment shrinkToFit="0" vertical="bottom" wrapText="0"/>
    </xf>
    <xf borderId="0" fillId="6" fontId="1" numFmtId="164" xfId="0" applyAlignment="1" applyFont="1" applyNumberFormat="1">
      <alignment shrinkToFit="0" vertical="bottom" wrapText="0"/>
    </xf>
    <xf borderId="23" fillId="6" fontId="1" numFmtId="164" xfId="0" applyAlignment="1" applyBorder="1" applyFont="1" applyNumberFormat="1">
      <alignment horizontal="left" readingOrder="0" shrinkToFit="0" vertical="bottom" wrapText="0"/>
    </xf>
    <xf borderId="23" fillId="6" fontId="1" numFmtId="0" xfId="0" applyAlignment="1" applyBorder="1" applyFont="1">
      <alignment horizontal="left" shrinkToFit="0" vertical="bottom" wrapText="0"/>
    </xf>
    <xf borderId="0" fillId="6" fontId="1" numFmtId="0" xfId="0" applyAlignment="1" applyFont="1">
      <alignment horizontal="left" shrinkToFit="0" vertical="bottom" wrapText="0"/>
    </xf>
    <xf borderId="32" fillId="6" fontId="1" numFmtId="189" xfId="0" applyAlignment="1" applyBorder="1" applyFont="1" applyNumberFormat="1">
      <alignment shrinkToFit="0" vertical="bottom" wrapText="0"/>
    </xf>
    <xf borderId="32" fillId="6" fontId="1" numFmtId="4" xfId="0" applyAlignment="1" applyBorder="1" applyFont="1" applyNumberFormat="1">
      <alignment shrinkToFit="0" vertical="bottom" wrapText="0"/>
    </xf>
    <xf borderId="23" fillId="0" fontId="22" numFmtId="0" xfId="0" applyAlignment="1" applyBorder="1" applyFont="1">
      <alignment horizontal="left" readingOrder="0" shrinkToFit="0" vertical="bottom" wrapText="0"/>
    </xf>
    <xf borderId="23" fillId="0" fontId="22" numFmtId="4" xfId="0" applyAlignment="1" applyBorder="1" applyFont="1" applyNumberFormat="1">
      <alignment horizontal="left" readingOrder="0" shrinkToFit="0" vertical="bottom" wrapText="0"/>
    </xf>
    <xf borderId="0" fillId="0" fontId="22" numFmtId="0" xfId="0" applyAlignment="1" applyFont="1">
      <alignment horizontal="left" shrinkToFit="0" vertical="bottom" wrapText="0"/>
    </xf>
    <xf borderId="0" fillId="0" fontId="22" numFmtId="0" xfId="0" applyAlignment="1" applyFont="1">
      <alignment horizontal="right" readingOrder="0" shrinkToFit="0" vertical="bottom" wrapText="0"/>
    </xf>
    <xf borderId="0" fillId="0" fontId="22" numFmtId="3" xfId="0" applyAlignment="1" applyFont="1" applyNumberFormat="1">
      <alignment horizontal="right" readingOrder="0" shrinkToFit="0" vertical="bottom" wrapText="0"/>
    </xf>
    <xf borderId="44" fillId="0" fontId="20" numFmtId="0" xfId="0" applyAlignment="1" applyBorder="1" applyFont="1">
      <alignment horizontal="right" readingOrder="0" shrinkToFit="0" vertical="bottom" wrapText="0"/>
    </xf>
    <xf borderId="44" fillId="0" fontId="20" numFmtId="0" xfId="0" applyAlignment="1" applyBorder="1" applyFont="1">
      <alignment horizontal="center" readingOrder="0" shrinkToFit="0" vertical="bottom" wrapText="0"/>
    </xf>
    <xf borderId="23" fillId="0" fontId="22" numFmtId="0" xfId="0" applyAlignment="1" applyBorder="1" applyFont="1">
      <alignment horizontal="left" shrinkToFit="0" vertical="bottom" wrapText="0"/>
    </xf>
    <xf borderId="95" fillId="0" fontId="20" numFmtId="0" xfId="0" applyAlignment="1" applyBorder="1" applyFont="1">
      <alignment readingOrder="0" shrinkToFit="0" vertical="bottom" wrapText="0"/>
    </xf>
    <xf borderId="95" fillId="13" fontId="22" numFmtId="0" xfId="0" applyAlignment="1" applyBorder="1" applyFill="1" applyFont="1">
      <alignment shrinkToFit="0" vertical="bottom" wrapText="0"/>
    </xf>
    <xf borderId="60" fillId="6" fontId="1" numFmtId="0" xfId="0" applyAlignment="1" applyBorder="1" applyFont="1">
      <alignment shrinkToFit="0" vertical="bottom" wrapText="0"/>
    </xf>
    <xf borderId="60" fillId="6" fontId="1" numFmtId="167" xfId="0" applyAlignment="1" applyBorder="1" applyFont="1" applyNumberFormat="1">
      <alignment shrinkToFit="0" vertical="bottom" wrapText="0"/>
    </xf>
    <xf borderId="125" fillId="6" fontId="1" numFmtId="0" xfId="0" applyAlignment="1" applyBorder="1" applyFont="1">
      <alignment shrinkToFit="0" vertical="bottom" wrapText="0"/>
    </xf>
    <xf borderId="126" fillId="0" fontId="22" numFmtId="180" xfId="0" applyAlignment="1" applyBorder="1" applyFont="1" applyNumberFormat="1">
      <alignment readingOrder="0" shrinkToFit="0" vertical="bottom" wrapText="0"/>
    </xf>
    <xf borderId="125" fillId="6" fontId="1" numFmtId="189" xfId="0" applyAlignment="1" applyBorder="1" applyFont="1" applyNumberFormat="1">
      <alignment shrinkToFit="0" vertical="bottom" wrapText="0"/>
    </xf>
    <xf borderId="104" fillId="0" fontId="22" numFmtId="0" xfId="0" applyAlignment="1" applyBorder="1" applyFont="1">
      <alignment readingOrder="0" shrinkToFit="0" vertical="bottom" wrapText="0"/>
    </xf>
    <xf borderId="0" fillId="6" fontId="12" numFmtId="164" xfId="0" applyAlignment="1" applyFont="1" applyNumberFormat="1">
      <alignment shrinkToFit="0" vertical="bottom" wrapText="0"/>
    </xf>
    <xf borderId="0" fillId="6" fontId="54" numFmtId="0" xfId="0" applyAlignment="1" applyFont="1">
      <alignment shrinkToFit="0" vertical="top" wrapText="0"/>
    </xf>
    <xf borderId="23" fillId="6" fontId="12" numFmtId="0" xfId="0" applyAlignment="1" applyBorder="1" applyFont="1">
      <alignment shrinkToFit="0" vertical="bottom" wrapText="0"/>
    </xf>
    <xf borderId="23" fillId="6" fontId="12" numFmtId="164" xfId="0" applyAlignment="1" applyBorder="1" applyFont="1" applyNumberFormat="1">
      <alignment shrinkToFit="0" vertical="bottom" wrapText="0"/>
    </xf>
    <xf borderId="23" fillId="6" fontId="4" numFmtId="0" xfId="0" applyAlignment="1" applyBorder="1" applyFont="1">
      <alignment horizontal="center" shrinkToFit="0" vertical="bottom" wrapText="0"/>
    </xf>
    <xf borderId="23" fillId="6" fontId="4" numFmtId="164" xfId="0" applyAlignment="1" applyBorder="1" applyFont="1" applyNumberFormat="1">
      <alignment shrinkToFit="0" vertical="bottom" wrapText="0"/>
    </xf>
    <xf borderId="25" fillId="6" fontId="9" numFmtId="0" xfId="0" applyAlignment="1" applyBorder="1" applyFont="1">
      <alignment shrinkToFit="0" vertical="bottom" wrapText="0"/>
    </xf>
    <xf borderId="26" fillId="6" fontId="1" numFmtId="167" xfId="0" applyAlignment="1" applyBorder="1" applyFont="1" applyNumberFormat="1">
      <alignment shrinkToFit="0" vertical="bottom" wrapText="0"/>
    </xf>
    <xf borderId="4" fillId="6" fontId="55" numFmtId="0" xfId="0" applyAlignment="1" applyBorder="1" applyFont="1">
      <alignment horizontal="center" shrinkToFit="0" vertical="bottom" wrapText="0"/>
    </xf>
    <xf borderId="7" fillId="6" fontId="55" numFmtId="0" xfId="0" applyAlignment="1" applyBorder="1" applyFont="1">
      <alignment horizontal="center" shrinkToFit="0" vertical="bottom" wrapText="0"/>
    </xf>
    <xf borderId="72" fillId="6" fontId="0" numFmtId="0" xfId="0" applyAlignment="1" applyBorder="1" applyFont="1">
      <alignment shrinkToFit="0" vertical="bottom" wrapText="0"/>
    </xf>
    <xf borderId="104" fillId="6" fontId="0" numFmtId="164" xfId="0" applyAlignment="1" applyBorder="1" applyFont="1" applyNumberFormat="1">
      <alignment readingOrder="0" shrinkToFit="0" vertical="bottom" wrapText="0"/>
    </xf>
    <xf borderId="104" fillId="13" fontId="22" numFmtId="0" xfId="0" applyAlignment="1" applyBorder="1" applyFont="1">
      <alignment shrinkToFit="0" vertical="bottom" wrapText="0"/>
    </xf>
    <xf borderId="75" fillId="6" fontId="0" numFmtId="0" xfId="0" applyAlignment="1" applyBorder="1" applyFont="1">
      <alignment shrinkToFit="0" vertical="bottom" wrapText="0"/>
    </xf>
    <xf borderId="95" fillId="6" fontId="0" numFmtId="164" xfId="0" applyAlignment="1" applyBorder="1" applyFont="1" applyNumberFormat="1">
      <alignment shrinkToFit="0" vertical="bottom" wrapText="0"/>
    </xf>
    <xf borderId="127" fillId="6" fontId="18" numFmtId="164" xfId="0" applyBorder="1" applyFont="1" applyNumberFormat="1"/>
    <xf borderId="38" fillId="6" fontId="0" numFmtId="0" xfId="0" applyAlignment="1" applyBorder="1" applyFont="1">
      <alignment shrinkToFit="0" vertical="bottom" wrapText="0"/>
    </xf>
    <xf borderId="96" fillId="6" fontId="0" numFmtId="164" xfId="0" applyAlignment="1" applyBorder="1" applyFont="1" applyNumberFormat="1">
      <alignment shrinkToFit="0" vertical="bottom" wrapText="0"/>
    </xf>
    <xf borderId="88" fillId="6" fontId="0" numFmtId="164" xfId="0" applyAlignment="1" applyBorder="1" applyFont="1" applyNumberFormat="1">
      <alignment shrinkToFit="0" vertical="bottom" wrapText="0"/>
    </xf>
    <xf borderId="56" fillId="6" fontId="55" numFmtId="0" xfId="0" applyAlignment="1" applyBorder="1" applyFont="1">
      <alignment horizontal="center" shrinkToFit="0" vertical="bottom" wrapText="0"/>
    </xf>
    <xf borderId="56" fillId="6" fontId="55" numFmtId="164" xfId="0" applyAlignment="1" applyBorder="1" applyFont="1" applyNumberFormat="1">
      <alignment shrinkToFit="0" vertical="bottom" wrapText="0"/>
    </xf>
    <xf borderId="0" fillId="6" fontId="0" numFmtId="164" xfId="0" applyAlignment="1" applyFont="1" applyNumberFormat="1">
      <alignment shrinkToFit="0" vertical="bottom" wrapText="0"/>
    </xf>
    <xf borderId="0" fillId="6" fontId="1" numFmtId="180" xfId="0" applyAlignment="1" applyFont="1" applyNumberFormat="1">
      <alignment shrinkToFit="0" vertical="bottom" wrapText="0"/>
    </xf>
    <xf borderId="32" fillId="6" fontId="1" numFmtId="0" xfId="0" applyAlignment="1" applyBorder="1" applyFont="1">
      <alignment readingOrder="0" shrinkToFit="0" vertical="bottom" wrapText="0"/>
    </xf>
    <xf borderId="32" fillId="6" fontId="12" numFmtId="180" xfId="0" applyAlignment="1" applyBorder="1" applyFont="1" applyNumberFormat="1">
      <alignment horizontal="center" readingOrder="0" shrinkToFit="0" vertical="bottom" wrapText="0"/>
    </xf>
    <xf borderId="0" fillId="6" fontId="7" numFmtId="0" xfId="0" applyFont="1"/>
    <xf borderId="60" fillId="6" fontId="12" numFmtId="180" xfId="0" applyAlignment="1" applyBorder="1" applyFont="1" applyNumberFormat="1">
      <alignment horizontal="center" readingOrder="0" shrinkToFit="0" vertical="bottom" wrapText="0"/>
    </xf>
    <xf borderId="23" fillId="6" fontId="4" numFmtId="180" xfId="0" applyAlignment="1" applyBorder="1" applyFont="1" applyNumberFormat="1">
      <alignment horizontal="center" shrinkToFit="0" vertical="bottom" wrapText="0"/>
    </xf>
    <xf borderId="91" fillId="0" fontId="17" numFmtId="0" xfId="0" applyAlignment="1" applyBorder="1" applyFont="1">
      <alignment horizontal="left" shrinkToFit="0" vertical="bottom" wrapText="0"/>
    </xf>
    <xf borderId="128" fillId="0" fontId="17" numFmtId="0" xfId="0" applyAlignment="1" applyBorder="1" applyFont="1">
      <alignment horizontal="left" shrinkToFit="0" vertical="bottom" wrapText="0"/>
    </xf>
    <xf borderId="116" fillId="0" fontId="17" numFmtId="0" xfId="0" applyAlignment="1" applyBorder="1" applyFont="1">
      <alignment horizontal="center" shrinkToFit="0" vertical="bottom" wrapText="0"/>
    </xf>
    <xf borderId="129" fillId="0" fontId="17" numFmtId="0" xfId="0" applyAlignment="1" applyBorder="1" applyFont="1">
      <alignment horizontal="center" shrinkToFit="0" vertical="bottom" wrapText="0"/>
    </xf>
    <xf borderId="54" fillId="0" fontId="4" numFmtId="0" xfId="0" applyAlignment="1" applyBorder="1" applyFont="1">
      <alignment horizontal="center" shrinkToFit="0" vertical="bottom" wrapText="0"/>
    </xf>
    <xf borderId="48" fillId="0" fontId="4" numFmtId="0" xfId="0" applyAlignment="1" applyBorder="1" applyFont="1">
      <alignment horizontal="center" shrinkToFit="0" vertical="bottom" wrapText="1"/>
    </xf>
    <xf borderId="130" fillId="0" fontId="4" numFmtId="0" xfId="0" applyAlignment="1" applyBorder="1" applyFont="1">
      <alignment shrinkToFit="0" vertical="bottom" wrapText="0"/>
    </xf>
    <xf borderId="131" fillId="0" fontId="12" numFmtId="167" xfId="0" applyAlignment="1" applyBorder="1" applyFont="1" applyNumberFormat="1">
      <alignment horizontal="center" shrinkToFit="0" vertical="bottom" wrapText="0"/>
    </xf>
    <xf borderId="132" fillId="0" fontId="12" numFmtId="0" xfId="0" applyAlignment="1" applyBorder="1" applyFont="1">
      <alignment shrinkToFit="0" vertical="bottom" wrapText="0"/>
    </xf>
    <xf borderId="73" fillId="0" fontId="12" numFmtId="167" xfId="0" applyAlignment="1" applyBorder="1" applyFont="1" applyNumberFormat="1">
      <alignment horizontal="center" shrinkToFit="0" vertical="bottom" wrapText="0"/>
    </xf>
    <xf borderId="132" fillId="0" fontId="4" numFmtId="0" xfId="0" applyAlignment="1" applyBorder="1" applyFont="1">
      <alignment shrinkToFit="0" vertical="bottom" wrapText="0"/>
    </xf>
    <xf borderId="73" fillId="0" fontId="4" numFmtId="167" xfId="0" applyAlignment="1" applyBorder="1" applyFont="1" applyNumberFormat="1">
      <alignment horizontal="center" shrinkToFit="0" vertical="bottom" wrapText="0"/>
    </xf>
    <xf borderId="132" fillId="0" fontId="4" numFmtId="0" xfId="0" applyAlignment="1" applyBorder="1" applyFont="1">
      <alignment horizontal="left" shrinkToFit="0" vertical="bottom" wrapText="0"/>
    </xf>
    <xf borderId="73" fillId="0" fontId="12" numFmtId="167" xfId="0" applyAlignment="1" applyBorder="1" applyFont="1" applyNumberFormat="1">
      <alignment horizontal="center" readingOrder="0" shrinkToFit="0" vertical="bottom" wrapText="0"/>
    </xf>
    <xf borderId="132" fillId="0" fontId="4" numFmtId="0" xfId="0" applyAlignment="1" applyBorder="1" applyFont="1">
      <alignment readingOrder="0" shrinkToFit="0" vertical="bottom" wrapText="0"/>
    </xf>
    <xf borderId="133" fillId="0" fontId="4" numFmtId="0" xfId="0" applyAlignment="1" applyBorder="1" applyFont="1">
      <alignment shrinkToFit="0" vertical="bottom" wrapText="0"/>
    </xf>
    <xf borderId="134" fillId="0" fontId="4" numFmtId="167" xfId="0" applyAlignment="1" applyBorder="1" applyFont="1" applyNumberFormat="1">
      <alignment horizontal="center" readingOrder="0" shrinkToFit="0" vertical="bottom" wrapText="0"/>
    </xf>
    <xf borderId="135" fillId="0" fontId="17" numFmtId="0" xfId="0" applyAlignment="1" applyBorder="1" applyFont="1">
      <alignment horizontal="center" shrinkToFit="0" vertical="bottom" wrapText="0"/>
    </xf>
    <xf borderId="105" fillId="0" fontId="4" numFmtId="0" xfId="0" applyAlignment="1" applyBorder="1" applyFont="1">
      <alignment horizontal="center" shrinkToFit="0" vertical="bottom" wrapText="0"/>
    </xf>
    <xf borderId="23" fillId="0" fontId="4" numFmtId="0" xfId="0" applyAlignment="1" applyBorder="1" applyFont="1">
      <alignment horizontal="center" shrinkToFit="0" vertical="bottom" wrapText="0"/>
    </xf>
    <xf borderId="23" fillId="0" fontId="12" numFmtId="167" xfId="0" applyAlignment="1" applyBorder="1" applyFont="1" applyNumberFormat="1">
      <alignment horizontal="center" shrinkToFit="0" vertical="bottom" wrapText="0"/>
    </xf>
    <xf borderId="136" fillId="0" fontId="12" numFmtId="0" xfId="0" applyAlignment="1" applyBorder="1" applyFont="1">
      <alignment shrinkToFit="0" vertical="bottom" wrapText="0"/>
    </xf>
    <xf borderId="137" fillId="0" fontId="12" numFmtId="167" xfId="0" applyAlignment="1" applyBorder="1" applyFont="1" applyNumberFormat="1">
      <alignment horizontal="center" shrinkToFit="0" vertical="bottom" wrapText="0"/>
    </xf>
    <xf borderId="23" fillId="0" fontId="4" numFmtId="167" xfId="0" applyAlignment="1" applyBorder="1" applyFont="1" applyNumberFormat="1">
      <alignment horizontal="center" shrinkToFit="0" vertical="bottom" wrapText="0"/>
    </xf>
    <xf borderId="138" fillId="0" fontId="12" numFmtId="0" xfId="0" applyAlignment="1" applyBorder="1" applyFont="1">
      <alignment shrinkToFit="0" vertical="bottom" wrapText="0"/>
    </xf>
    <xf borderId="103" fillId="0" fontId="12" numFmtId="167" xfId="0" applyAlignment="1" applyBorder="1" applyFont="1" applyNumberFormat="1">
      <alignment horizontal="center" readingOrder="0" shrinkToFit="0" vertical="bottom" wrapText="0"/>
    </xf>
    <xf borderId="105" fillId="0" fontId="4" numFmtId="0" xfId="0" applyAlignment="1" applyBorder="1" applyFont="1">
      <alignment horizontal="center" shrinkToFit="0" vertical="bottom" wrapText="1"/>
    </xf>
    <xf borderId="49" fillId="0" fontId="4" numFmtId="0" xfId="0" applyAlignment="1" applyBorder="1" applyFont="1">
      <alignment horizontal="center" shrinkToFit="0" vertical="bottom" wrapText="1"/>
    </xf>
    <xf borderId="130" fillId="0" fontId="4" numFmtId="0" xfId="0" applyAlignment="1" applyBorder="1" applyFont="1">
      <alignment horizontal="center" shrinkToFit="0" vertical="bottom" wrapText="0"/>
    </xf>
    <xf borderId="0" fillId="0" fontId="7" numFmtId="180" xfId="0" applyAlignment="1" applyFont="1" applyNumberFormat="1">
      <alignment readingOrder="0"/>
    </xf>
    <xf borderId="51" fillId="0" fontId="12" numFmtId="167" xfId="0" applyAlignment="1" applyBorder="1" applyFont="1" applyNumberFormat="1">
      <alignment horizontal="center" readingOrder="0" shrinkToFit="0" vertical="bottom" wrapText="0"/>
    </xf>
    <xf borderId="0" fillId="6" fontId="56" numFmtId="167" xfId="0" applyFont="1" applyNumberFormat="1"/>
    <xf borderId="139" fillId="6" fontId="57" numFmtId="167" xfId="0" applyBorder="1" applyFont="1" applyNumberFormat="1"/>
    <xf borderId="132" fillId="0" fontId="4" numFmtId="0" xfId="0" applyAlignment="1" applyBorder="1" applyFont="1">
      <alignment horizontal="center" shrinkToFit="0" vertical="bottom" wrapText="0"/>
    </xf>
    <xf borderId="73" fillId="0" fontId="12" numFmtId="180" xfId="0" applyAlignment="1" applyBorder="1" applyFont="1" applyNumberFormat="1">
      <alignment horizontal="center" shrinkToFit="0" vertical="bottom" wrapText="0"/>
    </xf>
    <xf borderId="139" fillId="6" fontId="18" numFmtId="167" xfId="0" applyBorder="1" applyFont="1" applyNumberFormat="1"/>
    <xf borderId="133" fillId="0" fontId="4" numFmtId="0" xfId="0" applyAlignment="1" applyBorder="1" applyFont="1">
      <alignment horizontal="center" shrinkToFit="0" vertical="bottom" wrapText="0"/>
    </xf>
    <xf borderId="134" fillId="0" fontId="4" numFmtId="167" xfId="0" applyAlignment="1" applyBorder="1" applyFont="1" applyNumberFormat="1">
      <alignment horizontal="center" shrinkToFit="0" vertical="bottom" wrapText="0"/>
    </xf>
    <xf borderId="49" fillId="0" fontId="4" numFmtId="167" xfId="0" applyAlignment="1" applyBorder="1" applyFont="1" applyNumberFormat="1">
      <alignment horizontal="center" shrinkToFit="0" vertical="bottom" wrapText="0"/>
    </xf>
    <xf borderId="140" fillId="0" fontId="12" numFmtId="167" xfId="0" applyAlignment="1" applyBorder="1" applyFont="1" applyNumberFormat="1">
      <alignment shrinkToFit="0" vertical="bottom" wrapText="0"/>
    </xf>
    <xf borderId="0" fillId="6" fontId="50" numFmtId="2" xfId="0" applyFont="1" applyNumberFormat="1"/>
    <xf borderId="141" fillId="0" fontId="12" numFmtId="9" xfId="0" applyAlignment="1" applyBorder="1" applyFont="1" applyNumberFormat="1">
      <alignment shrinkToFit="0" vertical="bottom" wrapText="0"/>
    </xf>
    <xf borderId="2" fillId="2" fontId="13" numFmtId="0" xfId="0" applyAlignment="1" applyBorder="1" applyFont="1">
      <alignment horizontal="center" shrinkToFit="0" vertical="center" wrapText="0"/>
    </xf>
    <xf borderId="0" fillId="0" fontId="12" numFmtId="0" xfId="0" applyAlignment="1" applyFont="1">
      <alignment horizontal="center" shrinkToFit="0" vertical="bottom" wrapText="0"/>
    </xf>
    <xf borderId="0" fillId="0" fontId="12" numFmtId="0" xfId="0" applyAlignment="1" applyFont="1">
      <alignment horizontal="center" readingOrder="0" shrinkToFit="0" vertical="bottom" wrapText="0"/>
    </xf>
    <xf borderId="142" fillId="2" fontId="13" numFmtId="0" xfId="0" applyAlignment="1" applyBorder="1" applyFont="1">
      <alignment shrinkToFit="0" vertical="bottom" wrapText="0"/>
    </xf>
    <xf borderId="142" fillId="0" fontId="12" numFmtId="0" xfId="0" applyAlignment="1" applyBorder="1" applyFont="1">
      <alignment horizontal="center" shrinkToFit="0" vertical="bottom" wrapText="0"/>
    </xf>
    <xf borderId="0" fillId="6" fontId="58" numFmtId="0" xfId="0" applyAlignment="1" applyFont="1">
      <alignment readingOrder="0"/>
    </xf>
    <xf borderId="44" fillId="0" fontId="4" numFmtId="0" xfId="0" applyAlignment="1" applyBorder="1" applyFont="1">
      <alignment readingOrder="0" shrinkToFit="0" vertical="bottom" wrapText="0"/>
    </xf>
    <xf borderId="40" fillId="0" fontId="12" numFmtId="0" xfId="0" applyAlignment="1" applyBorder="1" applyFont="1">
      <alignment shrinkToFit="0" vertical="bottom" wrapText="0"/>
    </xf>
    <xf borderId="143" fillId="0" fontId="12" numFmtId="0" xfId="0" applyAlignment="1" applyBorder="1" applyFont="1">
      <alignment shrinkToFit="0" vertical="bottom" wrapText="0"/>
    </xf>
    <xf borderId="0" fillId="0" fontId="12" numFmtId="180" xfId="0" applyAlignment="1" applyFont="1" applyNumberFormat="1">
      <alignment readingOrder="0" shrinkToFit="0" vertical="bottom" wrapText="0"/>
    </xf>
    <xf borderId="32" fillId="0" fontId="12" numFmtId="0" xfId="0" applyAlignment="1" applyBorder="1" applyFont="1">
      <alignment readingOrder="0" shrinkToFit="0" vertical="bottom" wrapText="0"/>
    </xf>
    <xf borderId="26" fillId="0" fontId="12" numFmtId="0" xfId="0" applyAlignment="1" applyBorder="1" applyFont="1">
      <alignment shrinkToFit="0" vertical="bottom" wrapText="0"/>
    </xf>
    <xf borderId="32" fillId="6" fontId="58" numFmtId="167" xfId="0" applyAlignment="1" applyBorder="1" applyFont="1" applyNumberFormat="1">
      <alignment readingOrder="0"/>
    </xf>
    <xf borderId="0" fillId="0" fontId="59" numFmtId="0" xfId="0" applyAlignment="1" applyFont="1">
      <alignment readingOrder="0" shrinkToFit="0" vertical="bottom" wrapText="0"/>
    </xf>
    <xf borderId="144" fillId="0" fontId="20" numFmtId="0" xfId="0" applyAlignment="1" applyBorder="1" applyFont="1">
      <alignment shrinkToFit="0" vertical="bottom" wrapText="0"/>
    </xf>
    <xf borderId="145" fillId="0" fontId="22" numFmtId="0" xfId="0" applyAlignment="1" applyBorder="1" applyFont="1">
      <alignment vertical="bottom"/>
    </xf>
    <xf borderId="36" fillId="4" fontId="22" numFmtId="0" xfId="0" applyAlignment="1" applyBorder="1" applyFont="1">
      <alignment horizontal="right" vertical="bottom"/>
    </xf>
    <xf borderId="146" fillId="4" fontId="22" numFmtId="9" xfId="0" applyAlignment="1" applyBorder="1" applyFont="1" applyNumberFormat="1">
      <alignment horizontal="right" vertical="bottom"/>
    </xf>
    <xf borderId="0" fillId="6" fontId="22" numFmtId="0" xfId="0" applyAlignment="1" applyFont="1">
      <alignment readingOrder="0" shrinkToFit="0" vertical="bottom" wrapText="0"/>
    </xf>
    <xf borderId="144" fillId="4" fontId="22" numFmtId="9" xfId="0" applyAlignment="1" applyBorder="1" applyFont="1" applyNumberFormat="1">
      <alignment horizontal="right" vertical="bottom"/>
    </xf>
    <xf borderId="0" fillId="0" fontId="22" numFmtId="189" xfId="0" applyAlignment="1" applyFont="1" applyNumberFormat="1">
      <alignment readingOrder="0" shrinkToFit="0" vertical="bottom" wrapText="0"/>
    </xf>
    <xf borderId="0" fillId="0" fontId="20" numFmtId="0" xfId="0" applyAlignment="1" applyFont="1">
      <alignment horizontal="right" readingOrder="0" shrinkToFit="0" vertical="bottom" wrapText="0"/>
    </xf>
    <xf borderId="147" fillId="6" fontId="22" numFmtId="9" xfId="0" applyAlignment="1" applyBorder="1" applyFont="1" applyNumberFormat="1">
      <alignment horizontal="right" readingOrder="0" shrinkToFit="0" vertical="bottom" wrapText="0"/>
    </xf>
    <xf borderId="0" fillId="0" fontId="22" numFmtId="181" xfId="0" applyAlignment="1" applyFont="1" applyNumberFormat="1">
      <alignment readingOrder="0" shrinkToFit="0" vertical="bottom" wrapText="0"/>
    </xf>
    <xf borderId="0" fillId="14" fontId="22" numFmtId="0" xfId="0" applyAlignment="1" applyFill="1" applyFont="1">
      <alignment readingOrder="0" shrinkToFit="0" vertical="bottom" wrapText="0"/>
    </xf>
    <xf borderId="32" fillId="0" fontId="22" numFmtId="181" xfId="0" applyAlignment="1" applyBorder="1" applyFont="1" applyNumberFormat="1">
      <alignment readingOrder="0" shrinkToFit="0" vertical="bottom" wrapText="0"/>
    </xf>
    <xf borderId="32" fillId="0" fontId="20" numFmtId="0" xfId="0" applyAlignment="1" applyBorder="1" applyFont="1">
      <alignment readingOrder="0" shrinkToFit="0" vertical="bottom" wrapText="0"/>
    </xf>
    <xf borderId="32" fillId="0" fontId="20" numFmtId="2" xfId="0" applyAlignment="1" applyBorder="1" applyFont="1" applyNumberFormat="1">
      <alignment readingOrder="0" shrinkToFit="0" vertical="bottom" wrapText="0"/>
    </xf>
    <xf borderId="0" fillId="0" fontId="22" numFmtId="10" xfId="0" applyAlignment="1" applyFont="1" applyNumberFormat="1">
      <alignment horizontal="right" readingOrder="0" shrinkToFit="0" vertical="bottom" wrapText="0"/>
    </xf>
    <xf borderId="0" fillId="0" fontId="22" numFmtId="10" xfId="0" applyAlignment="1" applyFont="1" applyNumberFormat="1">
      <alignment readingOrder="0" shrinkToFit="0" vertical="bottom" wrapText="0"/>
    </xf>
    <xf borderId="0" fillId="0" fontId="22" numFmtId="9" xfId="0" applyAlignment="1" applyFont="1" applyNumberFormat="1">
      <alignment horizontal="right" readingOrder="0" shrinkToFit="0" vertical="bottom" wrapText="0"/>
    </xf>
    <xf borderId="0" fillId="0" fontId="20" numFmtId="0" xfId="0" applyAlignment="1" applyFont="1">
      <alignment shrinkToFit="0" vertical="bottom" wrapText="0"/>
    </xf>
    <xf borderId="0" fillId="0" fontId="60" numFmtId="0" xfId="0" applyAlignment="1" applyFont="1">
      <alignment readingOrder="0" shrinkToFit="0" vertical="bottom" wrapText="0"/>
    </xf>
    <xf borderId="0" fillId="0" fontId="61" numFmtId="0" xfId="0" applyAlignment="1" applyFont="1">
      <alignment shrinkToFit="0" vertical="bottom" wrapText="0"/>
    </xf>
    <xf borderId="148" fillId="0" fontId="17" numFmtId="0" xfId="0" applyAlignment="1" applyBorder="1" applyFont="1">
      <alignment horizontal="left" readingOrder="0" shrinkToFit="0" vertical="bottom" wrapText="0"/>
    </xf>
    <xf borderId="149" fillId="0" fontId="17" numFmtId="0" xfId="0" applyAlignment="1" applyBorder="1" applyFont="1">
      <alignment horizontal="left" shrinkToFit="0" vertical="bottom" wrapText="0"/>
    </xf>
    <xf borderId="150" fillId="0" fontId="20" numFmtId="0" xfId="0" applyAlignment="1" applyBorder="1" applyFont="1">
      <alignment horizontal="center" readingOrder="0" shrinkToFit="0" vertical="bottom" wrapText="0"/>
    </xf>
    <xf borderId="144" fillId="0" fontId="20" numFmtId="0" xfId="0" applyAlignment="1" applyBorder="1" applyFont="1">
      <alignment horizontal="center" readingOrder="0" shrinkToFit="0" vertical="bottom" wrapText="0"/>
    </xf>
    <xf borderId="144" fillId="0" fontId="20" numFmtId="0" xfId="0" applyAlignment="1" applyBorder="1" applyFont="1">
      <alignment horizontal="center" shrinkToFit="0" vertical="bottom" wrapText="0"/>
    </xf>
    <xf borderId="150" fillId="0" fontId="20" numFmtId="0" xfId="0" applyAlignment="1" applyBorder="1" applyFont="1">
      <alignment horizontal="center" shrinkToFit="0" vertical="bottom" wrapText="0"/>
    </xf>
    <xf borderId="144" fillId="15" fontId="20" numFmtId="0" xfId="0" applyAlignment="1" applyBorder="1" applyFill="1" applyFont="1">
      <alignment horizontal="center" readingOrder="0" shrinkToFit="0" vertical="bottom" wrapText="0"/>
    </xf>
    <xf borderId="151" fillId="6" fontId="22" numFmtId="0" xfId="0" applyAlignment="1" applyBorder="1" applyFont="1">
      <alignment horizontal="center" readingOrder="0" shrinkToFit="0" vertical="bottom" wrapText="0"/>
    </xf>
    <xf borderId="152" fillId="6" fontId="22" numFmtId="180" xfId="0" applyAlignment="1" applyBorder="1" applyFont="1" applyNumberFormat="1">
      <alignment horizontal="center" readingOrder="0" shrinkToFit="0" vertical="bottom" wrapText="0"/>
    </xf>
    <xf borderId="152" fillId="6" fontId="22" numFmtId="180" xfId="0" applyAlignment="1" applyBorder="1" applyFont="1" applyNumberFormat="1">
      <alignment horizontal="center" shrinkToFit="0" vertical="bottom" wrapText="0"/>
    </xf>
    <xf borderId="152" fillId="6" fontId="22" numFmtId="180" xfId="0" applyAlignment="1" applyBorder="1" applyFont="1" applyNumberFormat="1">
      <alignment shrinkToFit="0" vertical="bottom" wrapText="0"/>
    </xf>
    <xf borderId="153" fillId="6" fontId="22" numFmtId="0" xfId="0" applyAlignment="1" applyBorder="1" applyFont="1">
      <alignment horizontal="center" readingOrder="0" shrinkToFit="0" vertical="bottom" wrapText="0"/>
    </xf>
    <xf borderId="0" fillId="0" fontId="62" numFmtId="180" xfId="0" applyFont="1" applyNumberFormat="1"/>
    <xf borderId="60" fillId="6" fontId="22" numFmtId="180" xfId="0" applyAlignment="1" applyBorder="1" applyFont="1" applyNumberFormat="1">
      <alignment horizontal="center" readingOrder="0" shrinkToFit="0" vertical="bottom" wrapText="0"/>
    </xf>
    <xf borderId="60" fillId="6" fontId="22" numFmtId="180" xfId="0" applyAlignment="1" applyBorder="1" applyFont="1" applyNumberFormat="1">
      <alignment horizontal="center" shrinkToFit="0" vertical="bottom" wrapText="0"/>
    </xf>
    <xf borderId="154" fillId="6" fontId="20" numFmtId="0" xfId="0" applyAlignment="1" applyBorder="1" applyFont="1">
      <alignment horizontal="left" readingOrder="0" shrinkToFit="0" vertical="bottom" wrapText="0"/>
    </xf>
    <xf borderId="155" fillId="6" fontId="22" numFmtId="180" xfId="0" applyAlignment="1" applyBorder="1" applyFont="1" applyNumberFormat="1">
      <alignment horizontal="center" shrinkToFit="0" vertical="bottom" wrapText="0"/>
    </xf>
    <xf borderId="156" fillId="6" fontId="20" numFmtId="180" xfId="0" applyAlignment="1" applyBorder="1" applyFont="1" applyNumberFormat="1">
      <alignment horizontal="center" readingOrder="0" shrinkToFit="0" vertical="bottom" wrapText="0"/>
    </xf>
    <xf borderId="155" fillId="6" fontId="22" numFmtId="180" xfId="0" applyAlignment="1" applyBorder="1" applyFont="1" applyNumberFormat="1">
      <alignment horizontal="center" readingOrder="0" shrinkToFit="0" vertical="bottom" wrapText="0"/>
    </xf>
    <xf borderId="155" fillId="6" fontId="20" numFmtId="180" xfId="0" applyAlignment="1" applyBorder="1" applyFont="1" applyNumberFormat="1">
      <alignment shrinkToFit="0" vertical="bottom" wrapText="0"/>
    </xf>
    <xf borderId="157" fillId="6" fontId="20" numFmtId="180" xfId="0" applyAlignment="1" applyBorder="1" applyFont="1" applyNumberFormat="1">
      <alignment readingOrder="0" shrinkToFit="0" vertical="bottom" wrapText="0"/>
    </xf>
    <xf borderId="114" fillId="6" fontId="22" numFmtId="180" xfId="0" applyAlignment="1" applyBorder="1" applyFont="1" applyNumberFormat="1">
      <alignment shrinkToFit="0" vertical="bottom" wrapText="0"/>
    </xf>
    <xf borderId="158" fillId="6" fontId="22" numFmtId="190" xfId="0" applyAlignment="1" applyBorder="1" applyFont="1" applyNumberFormat="1">
      <alignment horizontal="center" readingOrder="0" shrinkToFit="0" vertical="bottom" wrapText="0"/>
    </xf>
    <xf borderId="26" fillId="6" fontId="22" numFmtId="180" xfId="0" applyAlignment="1" applyBorder="1" applyFont="1" applyNumberFormat="1">
      <alignment horizontal="center" shrinkToFit="0" vertical="bottom" wrapText="0"/>
    </xf>
    <xf borderId="159" fillId="6" fontId="22" numFmtId="180" xfId="0" applyAlignment="1" applyBorder="1" applyFont="1" applyNumberFormat="1">
      <alignment horizontal="center" shrinkToFit="0" vertical="bottom" wrapText="0"/>
    </xf>
    <xf borderId="26" fillId="6" fontId="22" numFmtId="180" xfId="0" applyAlignment="1" applyBorder="1" applyFont="1" applyNumberFormat="1">
      <alignment horizontal="center" readingOrder="0" shrinkToFit="0" vertical="bottom" wrapText="0"/>
    </xf>
    <xf borderId="40" fillId="6" fontId="22" numFmtId="180" xfId="0" applyAlignment="1" applyBorder="1" applyFont="1" applyNumberFormat="1">
      <alignment horizontal="center" shrinkToFit="0" vertical="bottom" wrapText="0"/>
    </xf>
    <xf borderId="26" fillId="6" fontId="22" numFmtId="180" xfId="0" applyAlignment="1" applyBorder="1" applyFont="1" applyNumberFormat="1">
      <alignment shrinkToFit="0" vertical="bottom" wrapText="0"/>
    </xf>
    <xf borderId="158" fillId="6" fontId="22" numFmtId="191" xfId="0" applyAlignment="1" applyBorder="1" applyFont="1" applyNumberFormat="1">
      <alignment horizontal="center" readingOrder="0" shrinkToFit="0" vertical="bottom" wrapText="0"/>
    </xf>
    <xf borderId="160" fillId="6" fontId="22" numFmtId="180" xfId="0" applyAlignment="1" applyBorder="1" applyFont="1" applyNumberFormat="1">
      <alignment horizontal="center" shrinkToFit="0" vertical="bottom" wrapText="0"/>
    </xf>
    <xf borderId="44" fillId="6" fontId="22" numFmtId="180" xfId="0" applyAlignment="1" applyBorder="1" applyFont="1" applyNumberFormat="1">
      <alignment horizontal="center" shrinkToFit="0" vertical="bottom" wrapText="0"/>
    </xf>
    <xf borderId="0" fillId="0" fontId="17" numFmtId="0" xfId="0" applyAlignment="1" applyFont="1">
      <alignment horizontal="left" shrinkToFit="0" vertical="bottom" wrapText="0"/>
    </xf>
    <xf borderId="0" fillId="0" fontId="20" numFmtId="0" xfId="0" applyAlignment="1" applyFont="1">
      <alignment horizontal="center" readingOrder="0" vertical="bottom"/>
    </xf>
    <xf borderId="0" fillId="6" fontId="22" numFmtId="0" xfId="0" applyAlignment="1" applyFont="1">
      <alignment horizontal="center" shrinkToFit="0" vertical="bottom" wrapText="0"/>
    </xf>
    <xf borderId="0" fillId="6" fontId="22" numFmtId="0" xfId="0" applyAlignment="1" applyFont="1">
      <alignment horizontal="center" readingOrder="0" shrinkToFit="0" vertical="bottom" wrapText="0"/>
    </xf>
    <xf borderId="0" fillId="6" fontId="20" numFmtId="0" xfId="0" applyAlignment="1" applyFont="1">
      <alignment readingOrder="0" shrinkToFit="0" vertical="bottom" wrapText="0"/>
    </xf>
    <xf borderId="0" fillId="6" fontId="20" numFmtId="0" xfId="0" applyAlignment="1" applyFont="1">
      <alignment horizontal="center" readingOrder="0" shrinkToFit="0" vertical="bottom" wrapText="0"/>
    </xf>
    <xf borderId="1" fillId="0" fontId="12" numFmtId="0" xfId="0" applyAlignment="1" applyBorder="1" applyFont="1">
      <alignment shrinkToFit="0" vertical="bottom" wrapText="0"/>
    </xf>
    <xf borderId="41" fillId="0" fontId="17" numFmtId="0" xfId="0" applyAlignment="1" applyBorder="1" applyFont="1">
      <alignment horizontal="left" shrinkToFit="0" vertical="bottom" wrapText="0"/>
    </xf>
    <xf borderId="161" fillId="6" fontId="20" numFmtId="0" xfId="0" applyAlignment="1" applyBorder="1" applyFont="1">
      <alignment horizontal="center" readingOrder="0" shrinkToFit="0" vertical="bottom" wrapText="0"/>
    </xf>
    <xf borderId="162" fillId="6" fontId="20" numFmtId="180" xfId="0" applyAlignment="1" applyBorder="1" applyFont="1" applyNumberFormat="1">
      <alignment horizontal="center" shrinkToFit="0" vertical="bottom" wrapText="0"/>
    </xf>
    <xf borderId="73" fillId="0" fontId="7" numFmtId="0" xfId="0" applyBorder="1" applyFont="1"/>
    <xf borderId="160" fillId="6" fontId="20" numFmtId="180" xfId="0" applyAlignment="1" applyBorder="1" applyFont="1" applyNumberFormat="1">
      <alignment shrinkToFit="0" vertical="bottom" wrapText="0"/>
    </xf>
    <xf borderId="129" fillId="0" fontId="7" numFmtId="0" xfId="0" applyBorder="1" applyFont="1"/>
    <xf borderId="160" fillId="6" fontId="20" numFmtId="180" xfId="0" applyAlignment="1" applyBorder="1" applyFont="1" applyNumberFormat="1">
      <alignment readingOrder="0" shrinkToFit="0" vertical="bottom" wrapText="0"/>
    </xf>
    <xf borderId="53" fillId="0" fontId="12" numFmtId="9" xfId="0" applyAlignment="1" applyBorder="1" applyFont="1" applyNumberFormat="1">
      <alignment horizontal="center" shrinkToFit="0" vertical="bottom" wrapText="0"/>
    </xf>
    <xf borderId="159" fillId="6" fontId="20" numFmtId="180" xfId="0" applyAlignment="1" applyBorder="1" applyFont="1" applyNumberFormat="1">
      <alignment shrinkToFit="0" vertical="bottom" wrapText="0"/>
    </xf>
    <xf borderId="0" fillId="6" fontId="22" numFmtId="0" xfId="0" applyAlignment="1" applyFont="1">
      <alignment horizontal="center" shrinkToFit="0" vertical="bottom" wrapText="0"/>
    </xf>
    <xf borderId="163" fillId="0" fontId="17" numFmtId="0" xfId="0" applyAlignment="1" applyBorder="1" applyFont="1">
      <alignment horizontal="left" shrinkToFit="0" vertical="bottom" wrapText="0"/>
    </xf>
    <xf borderId="164" fillId="0" fontId="20" numFmtId="0" xfId="0" applyAlignment="1" applyBorder="1" applyFont="1">
      <alignment horizontal="center" readingOrder="0" shrinkToFit="0" vertical="bottom" wrapText="0"/>
    </xf>
    <xf borderId="76" fillId="0" fontId="12" numFmtId="9" xfId="0" applyAlignment="1" applyBorder="1" applyFont="1" applyNumberFormat="1">
      <alignment horizontal="center" shrinkToFit="0" vertical="bottom" wrapText="0"/>
    </xf>
    <xf borderId="165" fillId="0" fontId="20" numFmtId="0" xfId="0" applyAlignment="1" applyBorder="1" applyFont="1">
      <alignment horizontal="center" shrinkToFit="0" vertical="bottom" wrapText="0"/>
    </xf>
    <xf borderId="166" fillId="0" fontId="20" numFmtId="0" xfId="0" applyAlignment="1" applyBorder="1" applyFont="1">
      <alignment horizontal="center" shrinkToFit="0" vertical="bottom" wrapText="0"/>
    </xf>
    <xf borderId="166" fillId="0" fontId="20" numFmtId="0" xfId="0" applyAlignment="1" applyBorder="1" applyFont="1">
      <alignment horizontal="center" readingOrder="0" shrinkToFit="0" vertical="bottom" wrapText="0"/>
    </xf>
    <xf borderId="167" fillId="0" fontId="20" numFmtId="0" xfId="0" applyAlignment="1" applyBorder="1" applyFont="1">
      <alignment horizontal="center" readingOrder="0" shrinkToFit="0" vertical="bottom" wrapText="0"/>
    </xf>
    <xf borderId="158" fillId="0" fontId="22" numFmtId="190" xfId="0" applyAlignment="1" applyBorder="1" applyFont="1" applyNumberFormat="1">
      <alignment horizontal="center" readingOrder="0" shrinkToFit="0" vertical="bottom" wrapText="0"/>
    </xf>
    <xf borderId="104" fillId="0" fontId="22" numFmtId="0" xfId="0" applyAlignment="1" applyBorder="1" applyFont="1">
      <alignment horizontal="center" readingOrder="0" shrinkToFit="0" vertical="bottom" wrapText="0"/>
    </xf>
    <xf borderId="104" fillId="0" fontId="22" numFmtId="0" xfId="0" applyAlignment="1" applyBorder="1" applyFont="1">
      <alignment shrinkToFit="0" vertical="bottom" wrapText="0"/>
    </xf>
    <xf borderId="167" fillId="0" fontId="22" numFmtId="0" xfId="0" applyAlignment="1" applyBorder="1" applyFont="1">
      <alignment horizontal="center" shrinkToFit="0" vertical="bottom" wrapText="0"/>
    </xf>
    <xf borderId="158" fillId="0" fontId="22" numFmtId="191" xfId="0" applyAlignment="1" applyBorder="1" applyFont="1" applyNumberFormat="1">
      <alignment horizontal="center" readingOrder="0" shrinkToFit="0" vertical="bottom" wrapText="0"/>
    </xf>
    <xf borderId="0" fillId="6" fontId="18" numFmtId="2" xfId="0" applyFont="1" applyNumberFormat="1"/>
    <xf borderId="48" fillId="0" fontId="4" numFmtId="10" xfId="0" applyAlignment="1" applyBorder="1" applyFont="1" applyNumberFormat="1">
      <alignment horizontal="center" shrinkToFit="0" vertical="bottom" wrapText="0"/>
    </xf>
    <xf borderId="32" fillId="0" fontId="22" numFmtId="2" xfId="0" applyAlignment="1" applyBorder="1" applyFont="1" applyNumberFormat="1">
      <alignment horizontal="center" readingOrder="0" shrinkToFit="0" vertical="bottom" wrapText="0"/>
    </xf>
    <xf borderId="76" fillId="0" fontId="4" numFmtId="9" xfId="0" applyAlignment="1" applyBorder="1" applyFont="1" applyNumberFormat="1">
      <alignment horizontal="center" shrinkToFit="0" vertical="bottom" wrapText="0"/>
    </xf>
    <xf borderId="167" fillId="0" fontId="22" numFmtId="2" xfId="0" applyAlignment="1" applyBorder="1" applyFont="1" applyNumberFormat="1">
      <alignment horizontal="right" readingOrder="0" shrinkToFit="0" vertical="bottom" wrapText="0"/>
    </xf>
    <xf borderId="0" fillId="0" fontId="4" numFmtId="1" xfId="0" applyAlignment="1" applyFont="1" applyNumberFormat="1">
      <alignment horizontal="center" shrinkToFit="0" vertical="bottom" wrapText="0"/>
    </xf>
    <xf borderId="148" fillId="0" fontId="17" numFmtId="0" xfId="0" applyAlignment="1" applyBorder="1" applyFont="1">
      <alignment horizontal="left" shrinkToFit="0" vertical="bottom" wrapText="0"/>
    </xf>
    <xf borderId="167" fillId="0" fontId="22" numFmtId="0" xfId="0" applyAlignment="1" applyBorder="1" applyFont="1">
      <alignment horizontal="right" shrinkToFit="0" vertical="bottom" wrapText="0"/>
    </xf>
    <xf borderId="168" fillId="0" fontId="17" numFmtId="0" xfId="0" applyAlignment="1" applyBorder="1" applyFont="1">
      <alignment horizontal="left" shrinkToFit="0" vertical="bottom" wrapText="0"/>
    </xf>
    <xf borderId="169" fillId="0" fontId="17" numFmtId="0" xfId="0" applyAlignment="1" applyBorder="1" applyFont="1">
      <alignment horizontal="left" shrinkToFit="0" vertical="bottom" wrapText="0"/>
    </xf>
    <xf borderId="150" fillId="0" fontId="4" numFmtId="0" xfId="0" applyAlignment="1" applyBorder="1" applyFont="1">
      <alignment horizontal="center" shrinkToFit="0" vertical="bottom" wrapText="0"/>
    </xf>
    <xf borderId="170" fillId="0" fontId="4" numFmtId="0" xfId="0" applyAlignment="1" applyBorder="1" applyFont="1">
      <alignment horizontal="center" shrinkToFit="0" vertical="bottom" wrapText="0"/>
    </xf>
    <xf borderId="171" fillId="0" fontId="4" numFmtId="0" xfId="0" applyAlignment="1" applyBorder="1" applyFont="1">
      <alignment horizontal="center" shrinkToFit="0" vertical="bottom" wrapText="0"/>
    </xf>
    <xf borderId="0" fillId="6" fontId="20" numFmtId="0" xfId="0" applyAlignment="1" applyFont="1">
      <alignment shrinkToFit="0" vertical="bottom" wrapText="0"/>
    </xf>
    <xf borderId="0" fillId="6" fontId="20" numFmtId="0" xfId="0" applyAlignment="1" applyFont="1">
      <alignment horizontal="center" shrinkToFit="0" vertical="bottom" wrapText="0"/>
    </xf>
    <xf borderId="172" fillId="0" fontId="4" numFmtId="0" xfId="0" applyAlignment="1" applyBorder="1" applyFont="1">
      <alignment horizontal="center" shrinkToFit="0" vertical="bottom" wrapText="0"/>
    </xf>
    <xf borderId="173" fillId="0" fontId="4" numFmtId="0" xfId="0" applyAlignment="1" applyBorder="1" applyFont="1">
      <alignment horizontal="center" shrinkToFit="0" vertical="bottom" wrapText="0"/>
    </xf>
    <xf borderId="174" fillId="0" fontId="4" numFmtId="0" xfId="0" applyAlignment="1" applyBorder="1" applyFont="1">
      <alignment horizontal="center" shrinkToFit="0" vertical="bottom" wrapText="0"/>
    </xf>
    <xf borderId="148" fillId="0" fontId="22" numFmtId="0" xfId="0" applyAlignment="1" applyBorder="1" applyFont="1">
      <alignment horizontal="center" readingOrder="0" shrinkToFit="0" vertical="bottom" wrapText="0"/>
    </xf>
    <xf borderId="59" fillId="0" fontId="12" numFmtId="167" xfId="0" applyAlignment="1" applyBorder="1" applyFont="1" applyNumberFormat="1">
      <alignment horizontal="center" readingOrder="0" shrinkToFit="0" vertical="bottom" wrapText="0"/>
    </xf>
    <xf borderId="59" fillId="0" fontId="12" numFmtId="9" xfId="0" applyAlignment="1" applyBorder="1" applyFont="1" applyNumberFormat="1">
      <alignment shrinkToFit="0" vertical="bottom" wrapText="0"/>
    </xf>
    <xf borderId="61" fillId="0" fontId="12" numFmtId="167" xfId="0" applyAlignment="1" applyBorder="1" applyFont="1" applyNumberFormat="1">
      <alignment horizontal="center" shrinkToFit="0" vertical="bottom" wrapText="0"/>
    </xf>
    <xf borderId="164" fillId="0" fontId="22" numFmtId="2" xfId="0" applyAlignment="1" applyBorder="1" applyFont="1" applyNumberFormat="1">
      <alignment horizontal="right" readingOrder="0" shrinkToFit="0" vertical="bottom" wrapText="0"/>
    </xf>
    <xf borderId="175" fillId="0" fontId="22" numFmtId="0" xfId="0" applyAlignment="1" applyBorder="1" applyFont="1">
      <alignment horizontal="center" readingOrder="0" shrinkToFit="0" vertical="bottom" wrapText="0"/>
    </xf>
    <xf borderId="1" fillId="0" fontId="22" numFmtId="167" xfId="0" applyAlignment="1" applyBorder="1" applyFont="1" applyNumberFormat="1">
      <alignment horizontal="right" readingOrder="0" shrinkToFit="0" vertical="bottom" wrapText="0"/>
    </xf>
    <xf borderId="176" fillId="0" fontId="22" numFmtId="0" xfId="0" applyAlignment="1" applyBorder="1" applyFont="1">
      <alignment shrinkToFit="0" vertical="bottom" wrapText="0"/>
    </xf>
    <xf borderId="36" fillId="0" fontId="22" numFmtId="167" xfId="0" applyAlignment="1" applyBorder="1" applyFont="1" applyNumberFormat="1">
      <alignment horizontal="right" readingOrder="0" shrinkToFit="0" vertical="bottom" wrapText="0"/>
    </xf>
    <xf borderId="0" fillId="6" fontId="63" numFmtId="0" xfId="0" applyFont="1"/>
    <xf borderId="126" fillId="0" fontId="22" numFmtId="0" xfId="0" applyAlignment="1" applyBorder="1" applyFont="1">
      <alignment horizontal="center" shrinkToFit="0" vertical="bottom" wrapText="0"/>
    </xf>
    <xf borderId="46" fillId="0" fontId="12" numFmtId="192" xfId="0" applyAlignment="1" applyBorder="1" applyFont="1" applyNumberFormat="1">
      <alignment shrinkToFit="0" vertical="bottom" wrapText="0"/>
    </xf>
    <xf borderId="126" fillId="0" fontId="22" numFmtId="0" xfId="0" applyAlignment="1" applyBorder="1" applyFont="1">
      <alignment shrinkToFit="0" vertical="bottom" wrapText="0"/>
    </xf>
    <xf borderId="177" fillId="0" fontId="22" numFmtId="0" xfId="0" applyAlignment="1" applyBorder="1" applyFont="1">
      <alignment horizontal="center" shrinkToFit="0" vertical="bottom" wrapText="0"/>
    </xf>
    <xf borderId="55" fillId="0" fontId="12" numFmtId="9" xfId="0" applyAlignment="1" applyBorder="1" applyFont="1" applyNumberFormat="1">
      <alignment shrinkToFit="0" vertical="bottom" wrapText="0"/>
    </xf>
    <xf borderId="161" fillId="0" fontId="20" numFmtId="0" xfId="0" applyAlignment="1" applyBorder="1" applyFont="1">
      <alignment horizontal="center" readingOrder="0" shrinkToFit="0" vertical="bottom" wrapText="0"/>
    </xf>
    <xf borderId="178" fillId="0" fontId="4" numFmtId="167" xfId="0" applyAlignment="1" applyBorder="1" applyFont="1" applyNumberFormat="1">
      <alignment horizontal="center" shrinkToFit="0" vertical="bottom" wrapText="0"/>
    </xf>
    <xf borderId="160" fillId="0" fontId="20" numFmtId="0" xfId="0" applyAlignment="1" applyBorder="1" applyFont="1">
      <alignment horizontal="center" shrinkToFit="0" vertical="bottom" wrapText="0"/>
    </xf>
    <xf borderId="157" fillId="0" fontId="4" numFmtId="167" xfId="0" applyAlignment="1" applyBorder="1" applyFont="1" applyNumberFormat="1">
      <alignment horizontal="center" shrinkToFit="0" vertical="bottom" wrapText="0"/>
    </xf>
    <xf borderId="160" fillId="0" fontId="20" numFmtId="2" xfId="0" applyAlignment="1" applyBorder="1" applyFont="1" applyNumberFormat="1">
      <alignment horizontal="right" readingOrder="0" shrinkToFit="0" vertical="bottom" wrapText="0"/>
    </xf>
    <xf borderId="179" fillId="0" fontId="4" numFmtId="167" xfId="0" applyAlignment="1" applyBorder="1" applyFont="1" applyNumberFormat="1">
      <alignment horizontal="center" shrinkToFit="0" vertical="bottom" wrapText="0"/>
    </xf>
    <xf borderId="160" fillId="0" fontId="20" numFmtId="0" xfId="0" applyAlignment="1" applyBorder="1" applyFont="1">
      <alignment shrinkToFit="0" vertical="bottom" wrapText="0"/>
    </xf>
    <xf borderId="157" fillId="0" fontId="4" numFmtId="167" xfId="0" applyAlignment="1" applyBorder="1" applyFont="1" applyNumberFormat="1">
      <alignment shrinkToFit="0" vertical="bottom" wrapText="0"/>
    </xf>
    <xf borderId="180" fillId="0" fontId="20" numFmtId="2" xfId="0" applyAlignment="1" applyBorder="1" applyFont="1" applyNumberFormat="1">
      <alignment horizontal="right" readingOrder="0" shrinkToFit="0" vertical="bottom" wrapText="0"/>
    </xf>
    <xf borderId="157" fillId="0" fontId="12" numFmtId="9" xfId="0" applyAlignment="1" applyBorder="1" applyFont="1" applyNumberFormat="1">
      <alignment shrinkToFit="0" vertical="bottom" wrapText="0"/>
    </xf>
    <xf borderId="181" fillId="0" fontId="4" numFmtId="167" xfId="0" applyAlignment="1" applyBorder="1" applyFont="1" applyNumberFormat="1">
      <alignment horizontal="center" shrinkToFit="0" vertical="bottom" wrapText="0"/>
    </xf>
    <xf borderId="148" fillId="0" fontId="22" numFmtId="192" xfId="0" applyAlignment="1" applyBorder="1" applyFont="1" applyNumberFormat="1">
      <alignment horizontal="center" readingOrder="0" shrinkToFit="0" vertical="bottom" wrapText="0"/>
    </xf>
    <xf borderId="51" fillId="0" fontId="12" numFmtId="9" xfId="0" applyAlignment="1" applyBorder="1" applyFont="1" applyNumberFormat="1">
      <alignment shrinkToFit="0" vertical="bottom" wrapText="0"/>
    </xf>
    <xf borderId="175" fillId="0" fontId="22" numFmtId="192" xfId="0" applyAlignment="1" applyBorder="1" applyFont="1" applyNumberFormat="1">
      <alignment horizontal="center" readingOrder="0" shrinkToFit="0" vertical="bottom" wrapText="0"/>
    </xf>
    <xf borderId="150" fillId="0" fontId="22" numFmtId="192" xfId="0" applyAlignment="1" applyBorder="1" applyFont="1" applyNumberFormat="1">
      <alignment shrinkToFit="0" vertical="bottom" wrapText="0"/>
    </xf>
    <xf borderId="55" fillId="0" fontId="12" numFmtId="9" xfId="0" applyAlignment="1" applyBorder="1" applyFont="1" applyNumberFormat="1">
      <alignment horizontal="center" shrinkToFit="0" vertical="bottom" wrapText="0"/>
    </xf>
    <xf borderId="178" fillId="0" fontId="20" numFmtId="0" xfId="0" applyAlignment="1" applyBorder="1" applyFont="1">
      <alignment horizontal="center" readingOrder="0" shrinkToFit="0" vertical="bottom" wrapText="0"/>
    </xf>
    <xf borderId="157" fillId="0" fontId="12" numFmtId="167" xfId="0" applyAlignment="1" applyBorder="1" applyFont="1" applyNumberFormat="1">
      <alignment horizontal="center" shrinkToFit="0" vertical="bottom" wrapText="0"/>
    </xf>
    <xf borderId="157" fillId="0" fontId="12" numFmtId="9" xfId="0" applyAlignment="1" applyBorder="1" applyFont="1" applyNumberFormat="1">
      <alignment horizontal="center" shrinkToFit="0" vertical="bottom" wrapText="0"/>
    </xf>
    <xf borderId="182" fillId="0" fontId="12" numFmtId="167" xfId="0" applyAlignment="1" applyBorder="1" applyFont="1" applyNumberFormat="1">
      <alignment horizontal="center" shrinkToFit="0" vertical="bottom" wrapText="0"/>
    </xf>
    <xf borderId="50" fillId="0" fontId="12" numFmtId="192" xfId="0" applyAlignment="1" applyBorder="1" applyFont="1" applyNumberFormat="1">
      <alignment horizontal="left" shrinkToFit="0" vertical="bottom" wrapText="0"/>
    </xf>
    <xf borderId="51" fillId="0" fontId="12" numFmtId="9" xfId="0" applyAlignment="1" applyBorder="1" applyFont="1" applyNumberFormat="1">
      <alignment horizontal="center" shrinkToFit="0" vertical="bottom" wrapText="0"/>
    </xf>
    <xf borderId="52" fillId="0" fontId="12" numFmtId="192" xfId="0" applyAlignment="1" applyBorder="1" applyFont="1" applyNumberFormat="1">
      <alignment horizontal="left" shrinkToFit="0" vertical="bottom" wrapText="0"/>
    </xf>
    <xf borderId="0" fillId="0" fontId="12" numFmtId="0" xfId="0" applyAlignment="1" applyFont="1">
      <alignment horizontal="left" shrinkToFit="0" vertical="bottom" wrapText="0"/>
    </xf>
    <xf borderId="52" fillId="0" fontId="12" numFmtId="192" xfId="0" applyAlignment="1" applyBorder="1" applyFont="1" applyNumberFormat="1">
      <alignment shrinkToFit="0" vertical="bottom" wrapText="0"/>
    </xf>
    <xf borderId="119" fillId="0" fontId="4" numFmtId="0" xfId="0" applyAlignment="1" applyBorder="1" applyFont="1">
      <alignment shrinkToFit="0" vertical="bottom" wrapText="0"/>
    </xf>
    <xf borderId="48" fillId="0" fontId="4" numFmtId="9" xfId="0" applyAlignment="1" applyBorder="1" applyFont="1" applyNumberFormat="1">
      <alignment shrinkToFit="0" vertical="bottom" wrapText="0"/>
    </xf>
    <xf borderId="132" fillId="0" fontId="12" numFmtId="0" xfId="0" applyAlignment="1" applyBorder="1" applyFont="1">
      <alignment horizontal="left" shrinkToFit="0" vertical="bottom" wrapText="0"/>
    </xf>
    <xf borderId="73" fillId="0" fontId="4" numFmtId="167" xfId="0" applyAlignment="1" applyBorder="1" applyFont="1" applyNumberFormat="1">
      <alignment horizontal="center" readingOrder="0" shrinkToFit="0" vertical="bottom" wrapText="0"/>
    </xf>
    <xf borderId="0" fillId="0" fontId="4" numFmtId="0" xfId="0" applyAlignment="1" applyFont="1">
      <alignment horizontal="center" shrinkToFit="0" vertical="bottom" wrapText="0"/>
    </xf>
    <xf borderId="76" fillId="0" fontId="12" numFmtId="180" xfId="0" applyAlignment="1" applyBorder="1" applyFont="1" applyNumberFormat="1">
      <alignment horizontal="center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7" numFmtId="167" xfId="0" applyFont="1" applyNumberFormat="1"/>
    <xf borderId="183" fillId="0" fontId="12" numFmtId="0" xfId="0" applyAlignment="1" applyBorder="1" applyFont="1">
      <alignment shrinkToFit="0" vertical="bottom" wrapText="0"/>
    </xf>
    <xf borderId="67" fillId="0" fontId="4" numFmtId="167" xfId="0" applyAlignment="1" applyBorder="1" applyFont="1" applyNumberFormat="1">
      <alignment horizontal="center" shrinkToFit="0" vertical="bottom" wrapText="0"/>
    </xf>
    <xf borderId="42" fillId="0" fontId="17" numFmtId="0" xfId="0" applyAlignment="1" applyBorder="1" applyFont="1">
      <alignment horizontal="center" shrinkToFit="0" vertical="bottom" wrapText="0"/>
    </xf>
    <xf borderId="76" fillId="0" fontId="12" numFmtId="183" xfId="0" applyAlignment="1" applyBorder="1" applyFont="1" applyNumberFormat="1">
      <alignment horizontal="center" shrinkToFit="0" vertical="bottom" wrapText="0"/>
    </xf>
    <xf borderId="53" fillId="0" fontId="12" numFmtId="180" xfId="0" applyAlignment="1" applyBorder="1" applyFont="1" applyNumberFormat="1">
      <alignment horizontal="center" readingOrder="0" shrinkToFit="0" vertical="bottom" wrapText="0"/>
    </xf>
    <xf borderId="49" fillId="0" fontId="12" numFmtId="9" xfId="0" applyAlignment="1" applyBorder="1" applyFont="1" applyNumberFormat="1">
      <alignment horizontal="center" shrinkToFit="0" vertical="bottom" wrapText="0"/>
    </xf>
    <xf borderId="53" fillId="0" fontId="12" numFmtId="183" xfId="0" applyAlignment="1" applyBorder="1" applyFont="1" applyNumberFormat="1">
      <alignment shrinkToFit="0" vertical="bottom" wrapText="0"/>
    </xf>
    <xf borderId="53" fillId="0" fontId="12" numFmtId="183" xfId="0" applyAlignment="1" applyBorder="1" applyFont="1" applyNumberFormat="1">
      <alignment horizontal="center" shrinkToFit="0" vertical="bottom" wrapText="0"/>
    </xf>
    <xf borderId="103" fillId="0" fontId="12" numFmtId="183" xfId="0" applyAlignment="1" applyBorder="1" applyFont="1" applyNumberFormat="1">
      <alignment shrinkToFit="0" vertical="bottom" wrapText="0"/>
    </xf>
    <xf borderId="48" fillId="0" fontId="12" numFmtId="10" xfId="0" applyAlignment="1" applyBorder="1" applyFont="1" applyNumberFormat="1">
      <alignment shrinkToFit="0" vertical="bottom" wrapText="0"/>
    </xf>
    <xf borderId="104" fillId="0" fontId="52" numFmtId="180" xfId="0" applyAlignment="1" applyBorder="1" applyFont="1" applyNumberFormat="1">
      <alignment horizontal="center" readingOrder="0" shrinkToFit="0" vertical="bottom" wrapText="0"/>
    </xf>
    <xf borderId="32" fillId="0" fontId="22" numFmtId="180" xfId="0" applyAlignment="1" applyBorder="1" applyFont="1" applyNumberFormat="1">
      <alignment readingOrder="0" shrinkToFit="0" vertical="bottom" wrapText="0"/>
    </xf>
    <xf borderId="104" fillId="0" fontId="22" numFmtId="180" xfId="0" applyAlignment="1" applyBorder="1" applyFont="1" applyNumberFormat="1">
      <alignment horizontal="right" readingOrder="0" shrinkToFit="0" vertical="bottom" wrapText="0"/>
    </xf>
    <xf borderId="32" fillId="0" fontId="22" numFmtId="0" xfId="0" applyAlignment="1" applyBorder="1" applyFont="1">
      <alignment horizontal="right" readingOrder="0" vertical="bottom"/>
    </xf>
    <xf borderId="26" fillId="0" fontId="22" numFmtId="0" xfId="0" applyAlignment="1" applyBorder="1" applyFont="1">
      <alignment horizontal="right" readingOrder="0" vertical="bottom"/>
    </xf>
    <xf borderId="53" fillId="0" fontId="12" numFmtId="180" xfId="0" applyAlignment="1" applyBorder="1" applyFont="1" applyNumberFormat="1">
      <alignment readingOrder="0" shrinkToFit="0" vertical="bottom" wrapText="0"/>
    </xf>
    <xf borderId="103" fillId="0" fontId="12" numFmtId="183" xfId="0" applyAlignment="1" applyBorder="1" applyFont="1" applyNumberFormat="1">
      <alignment horizontal="center" shrinkToFit="0" vertical="bottom" wrapText="0"/>
    </xf>
    <xf borderId="53" fillId="0" fontId="4" numFmtId="167" xfId="0" applyAlignment="1" applyBorder="1" applyFont="1" applyNumberFormat="1">
      <alignment horizontal="center" readingOrder="0" shrinkToFit="0" vertical="bottom" wrapText="0"/>
    </xf>
    <xf borderId="76" fillId="0" fontId="4" numFmtId="183" xfId="0" applyAlignment="1" applyBorder="1" applyFont="1" applyNumberFormat="1">
      <alignment horizontal="center" shrinkToFit="0" vertical="bottom" wrapText="0"/>
    </xf>
    <xf borderId="103" fillId="0" fontId="4" numFmtId="167" xfId="0" applyAlignment="1" applyBorder="1" applyFont="1" applyNumberFormat="1">
      <alignment horizontal="center" shrinkToFit="0" vertical="bottom" wrapText="0"/>
    </xf>
    <xf borderId="95" fillId="16" fontId="22" numFmtId="0" xfId="0" applyAlignment="1" applyBorder="1" applyFill="1" applyFont="1">
      <alignment shrinkToFit="0" vertical="bottom" wrapText="0"/>
    </xf>
    <xf borderId="104" fillId="0" fontId="22" numFmtId="180" xfId="0" applyAlignment="1" applyBorder="1" applyFont="1" applyNumberFormat="1">
      <alignment readingOrder="0" shrinkToFit="0" vertical="bottom" wrapText="0"/>
    </xf>
    <xf borderId="104" fillId="16" fontId="22" numFmtId="0" xfId="0" applyAlignment="1" applyBorder="1" applyFont="1">
      <alignment shrinkToFit="0" vertical="bottom" wrapText="0"/>
    </xf>
    <xf borderId="55" fillId="0" fontId="4" numFmtId="0" xfId="0" applyAlignment="1" applyBorder="1" applyFont="1">
      <alignment horizontal="center" shrinkToFit="0" vertical="bottom" wrapText="0"/>
    </xf>
    <xf borderId="100" fillId="0" fontId="4" numFmtId="0" xfId="0" applyAlignment="1" applyBorder="1" applyFont="1">
      <alignment horizontal="center" shrinkToFit="0" vertical="bottom" wrapText="0"/>
    </xf>
    <xf borderId="59" fillId="0" fontId="4" numFmtId="180" xfId="0" applyAlignment="1" applyBorder="1" applyFont="1" applyNumberFormat="1">
      <alignment horizontal="center" shrinkToFit="0" vertical="bottom" wrapText="0"/>
    </xf>
    <xf borderId="0" fillId="0" fontId="62" numFmtId="167" xfId="0" applyAlignment="1" applyFont="1" applyNumberFormat="1">
      <alignment horizontal="center"/>
    </xf>
    <xf borderId="76" fillId="0" fontId="12" numFmtId="180" xfId="0" applyAlignment="1" applyBorder="1" applyFont="1" applyNumberFormat="1">
      <alignment horizontal="center" readingOrder="0" shrinkToFit="0" vertical="bottom" wrapText="0"/>
    </xf>
    <xf borderId="76" fillId="0" fontId="4" numFmtId="180" xfId="0" applyAlignment="1" applyBorder="1" applyFont="1" applyNumberFormat="1">
      <alignment horizontal="center" shrinkToFit="0" vertical="bottom" wrapText="0"/>
    </xf>
    <xf borderId="53" fillId="0" fontId="4" numFmtId="180" xfId="0" applyAlignment="1" applyBorder="1" applyFont="1" applyNumberFormat="1">
      <alignment horizontal="center" readingOrder="0" shrinkToFit="0" vertical="bottom" wrapText="0"/>
    </xf>
    <xf borderId="48" fillId="0" fontId="4" numFmtId="180" xfId="0" applyAlignment="1" applyBorder="1" applyFont="1" applyNumberFormat="1">
      <alignment horizontal="center" shrinkToFit="0" vertical="bottom" wrapText="0"/>
    </xf>
    <xf borderId="142" fillId="2" fontId="13" numFmtId="0" xfId="0" applyAlignment="1" applyBorder="1" applyFont="1">
      <alignment horizontal="center" shrinkToFit="0" vertical="bottom" wrapText="0"/>
    </xf>
    <xf borderId="0" fillId="0" fontId="12" numFmtId="180" xfId="0" applyAlignment="1" applyFont="1" applyNumberFormat="1">
      <alignment shrinkToFit="0" vertical="bottom" wrapText="0"/>
    </xf>
    <xf borderId="1" fillId="0" fontId="12" numFmtId="167" xfId="0" applyAlignment="1" applyBorder="1" applyFont="1" applyNumberFormat="1">
      <alignment shrinkToFit="0" vertical="bottom" wrapText="0"/>
    </xf>
    <xf borderId="0" fillId="0" fontId="12" numFmtId="167" xfId="0" applyAlignment="1" applyFont="1" applyNumberFormat="1">
      <alignment shrinkToFit="0" vertical="bottom" wrapText="0"/>
    </xf>
    <xf borderId="1" fillId="0" fontId="12" numFmtId="9" xfId="0" applyAlignment="1" applyBorder="1" applyFont="1" applyNumberFormat="1">
      <alignment shrinkToFit="0" vertical="bottom" wrapText="0"/>
    </xf>
    <xf borderId="0" fillId="0" fontId="4" numFmtId="0" xfId="0" applyAlignment="1" applyFont="1">
      <alignment horizontal="center" shrinkToFit="0" vertical="center" wrapText="0"/>
    </xf>
    <xf borderId="0" fillId="0" fontId="12" numFmtId="0" xfId="0" applyAlignment="1" applyFont="1">
      <alignment shrinkToFit="0" vertical="center" wrapText="1"/>
    </xf>
    <xf borderId="0" fillId="0" fontId="12" numFmtId="175" xfId="0" applyAlignment="1" applyFont="1" applyNumberFormat="1">
      <alignment horizontal="center" shrinkToFit="0" vertical="bottom" wrapText="0"/>
    </xf>
    <xf borderId="0" fillId="0" fontId="64" numFmtId="0" xfId="0" applyAlignment="1" applyFont="1">
      <alignment shrinkToFit="0" vertical="bottom" wrapText="0"/>
    </xf>
    <xf borderId="0" fillId="0" fontId="12" numFmtId="1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left" shrinkToFit="0" vertical="bottom" wrapText="0"/>
    </xf>
    <xf borderId="2" fillId="2" fontId="13" numFmtId="0" xfId="0" applyAlignment="1" applyBorder="1" applyFont="1">
      <alignment horizontal="center" shrinkToFit="0" vertical="bottom" wrapText="0"/>
    </xf>
    <xf borderId="134" fillId="0" fontId="12" numFmtId="167" xfId="0" applyAlignment="1" applyBorder="1" applyFont="1" applyNumberFormat="1">
      <alignment horizontal="center" shrinkToFit="0" vertical="bottom" wrapText="0"/>
    </xf>
    <xf borderId="49" fillId="0" fontId="12" numFmtId="167" xfId="0" applyAlignment="1" applyBorder="1" applyFont="1" applyNumberFormat="1">
      <alignment horizontal="center" shrinkToFit="0" vertical="bottom" wrapText="0"/>
    </xf>
    <xf borderId="0" fillId="0" fontId="12" numFmtId="183" xfId="0" applyAlignment="1" applyFont="1" applyNumberFormat="1">
      <alignment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>
        <color rgb="FFFFFFFF"/>
      </font>
      <fill>
        <patternFill patternType="solid">
          <fgColor rgb="FF62A73B"/>
          <bgColor rgb="FF62A73B"/>
        </patternFill>
      </fill>
      <border/>
    </dxf>
    <dxf>
      <font>
        <color rgb="FFFFFFFF"/>
      </font>
      <fill>
        <patternFill patternType="solid">
          <fgColor rgb="FFED1C24"/>
          <bgColor rgb="FFED1C2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AÑO 5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'E-Costos'!$A$164:$A$180</c:f>
            </c:strRef>
          </c:cat>
          <c:val>
            <c:numRef>
              <c:f>'E-Costos'!$B$164:$B$180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'E-Costos'!$A$164:$A$180</c:f>
            </c:strRef>
          </c:cat>
          <c:val>
            <c:numRef>
              <c:f>'E-Costos'!$C$164:$C$180</c:f>
            </c:numRef>
          </c:val>
          <c:smooth val="0"/>
        </c:ser>
        <c:ser>
          <c:idx val="2"/>
          <c:order val="2"/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'E-Costos'!$A$164:$A$180</c:f>
            </c:strRef>
          </c:cat>
          <c:val>
            <c:numRef>
              <c:f>'E-Costos'!$D$164:$D$180</c:f>
            </c:numRef>
          </c:val>
          <c:smooth val="0"/>
        </c:ser>
        <c:ser>
          <c:idx val="3"/>
          <c:order val="3"/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'E-Costos'!$A$164:$A$180</c:f>
            </c:strRef>
          </c:cat>
          <c:val>
            <c:numRef>
              <c:f>'E-Costos'!$E$164:$E$180</c:f>
            </c:numRef>
          </c:val>
          <c:smooth val="0"/>
        </c:ser>
        <c:axId val="2125708222"/>
        <c:axId val="629785826"/>
      </c:lineChart>
      <c:catAx>
        <c:axId val="2125708222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629785826"/>
      </c:catAx>
      <c:valAx>
        <c:axId val="6297858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125708222"/>
      </c:valAx>
    </c:plotArea>
    <c:legend>
      <c:legendPos val="r"/>
      <c:overlay val="0"/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714375</xdr:colOff>
      <xdr:row>160</xdr:row>
      <xdr:rowOff>133350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articulo.mercadolibre.com.ar/MLA-677029584-sierra-carnicera-carnic-2400-p-_JM" TargetMode="External"/><Relationship Id="rId2" Type="http://schemas.openxmlformats.org/officeDocument/2006/relationships/hyperlink" Target="https://articulo.mercadolibre.com.ar/MLA-616070065-picadora-de-carne-industrial-fineschi-n42-3hp-trifasica-_JM" TargetMode="External"/><Relationship Id="rId3" Type="http://schemas.openxmlformats.org/officeDocument/2006/relationships/hyperlink" Target="https://articulo.mercadolibre.com.ar/MLA-622785435-mezcladora-de-carne-190-lts-fineschi-acero-2-eje-trifasica-_JM" TargetMode="External"/><Relationship Id="rId4" Type="http://schemas.openxmlformats.org/officeDocument/2006/relationships/hyperlink" Target="https://articulo.mercadolibre.com.ar/MLA-718928314-formadora-de-hamburguesas-gesame-mh-100-_JM" TargetMode="External"/><Relationship Id="rId10" Type="http://schemas.openxmlformats.org/officeDocument/2006/relationships/drawing" Target="../drawings/drawing2.xml"/><Relationship Id="rId9" Type="http://schemas.openxmlformats.org/officeDocument/2006/relationships/hyperlink" Target="http://www.edesur.com.ar/cuadro_tarifario.pdf" TargetMode="External"/><Relationship Id="rId5" Type="http://schemas.openxmlformats.org/officeDocument/2006/relationships/hyperlink" Target="https://articulo.mercadolibre.com.ar/MLA-746043948-camara-frigorifica-2x4x25-paneles-de-33-puerta-3hp-frances-_JM" TargetMode="External"/><Relationship Id="rId6" Type="http://schemas.openxmlformats.org/officeDocument/2006/relationships/hyperlink" Target="https://vehiculo.mercadolibre.com.ar/MLA-721406783-mercedes-benz-1215-furgon-termico-1995-forcam-_JM" TargetMode="External"/><Relationship Id="rId7" Type="http://schemas.openxmlformats.org/officeDocument/2006/relationships/hyperlink" Target="https://www.google.com.ar/url?sa=t&amp;rct=j&amp;q=&amp;esrc=s&amp;source=web&amp;cd=9&amp;ved=2ahUKEwiH4fOGns3dAhXGGZAKHSobAOkQFjAIegQICRAC&amp;url=http%3A%2F%2Fwww.ipcva.com.ar%2Fdocumentos%2F1486_1456326140_informemensualdepreciosn117.pdf&amp;usg=AOvVaw1b5jOmqK-xWQscAf85Qec3" TargetMode="External"/><Relationship Id="rId8" Type="http://schemas.openxmlformats.org/officeDocument/2006/relationships/hyperlink" Target="https://articulo.mercadolibre.com.ar/MLA-625958382-sal-fina-celusal-x-25-kg-_JM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anmat.gov.ar/boletin_anmat/BO/Disposicion_1607-2016.pdf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bancoprovincia.com.ar/web/empresas_cap_trabajo_fija" TargetMode="External"/><Relationship Id="rId2" Type="http://schemas.openxmlformats.org/officeDocument/2006/relationships/hyperlink" Target="https://www.bancoprovincia.com.ar/CDN/Get/A5388_Banca_Empresa_tasas_costos_condiciones_vigentes" TargetMode="External"/><Relationship Id="rId3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14"/>
    <col customWidth="1" min="2" max="3" width="11.0"/>
    <col customWidth="1" min="4" max="4" width="17.29"/>
    <col customWidth="1" min="5" max="5" width="11.0"/>
    <col customWidth="1" min="6" max="6" width="6.86"/>
    <col customWidth="1" min="7" max="12" width="11.0"/>
    <col customWidth="1" min="13" max="13" width="17.0"/>
    <col customWidth="1" min="14" max="26" width="10.0"/>
  </cols>
  <sheetData>
    <row r="1" ht="12.75" customHeight="1">
      <c r="A1" s="2" t="s">
        <v>0</v>
      </c>
      <c r="E1" s="4">
        <v>4.0</v>
      </c>
    </row>
    <row r="2">
      <c r="G2" s="6" t="s">
        <v>2</v>
      </c>
      <c r="H2" s="7"/>
      <c r="I2" s="7"/>
      <c r="J2" s="7"/>
      <c r="K2" s="7"/>
      <c r="L2" s="7"/>
      <c r="M2" s="9"/>
    </row>
    <row r="3" ht="14.25" customHeight="1">
      <c r="A3" s="11" t="s">
        <v>5</v>
      </c>
      <c r="B3" s="13">
        <v>0.21</v>
      </c>
      <c r="G3" s="15" t="s">
        <v>8</v>
      </c>
      <c r="H3" s="17"/>
      <c r="I3" s="17"/>
      <c r="J3" s="17"/>
      <c r="K3" s="17"/>
      <c r="L3" s="17"/>
      <c r="M3" s="18"/>
    </row>
    <row r="4" ht="12.75" customHeight="1">
      <c r="A4" s="11" t="s">
        <v>9</v>
      </c>
      <c r="B4" s="13">
        <v>0.35</v>
      </c>
      <c r="G4" s="19"/>
      <c r="M4" s="21"/>
    </row>
    <row r="5" ht="12.75" customHeight="1">
      <c r="A5" s="11" t="s">
        <v>11</v>
      </c>
      <c r="B5" s="23">
        <v>0.025</v>
      </c>
      <c r="C5" t="s">
        <v>12</v>
      </c>
      <c r="G5" s="19"/>
      <c r="M5" s="21"/>
    </row>
    <row r="6" ht="12.75" customHeight="1">
      <c r="G6" s="25"/>
      <c r="H6" s="27"/>
      <c r="I6" s="27"/>
      <c r="J6" s="27"/>
      <c r="K6" s="27"/>
      <c r="L6" s="27"/>
      <c r="M6" s="29"/>
    </row>
    <row r="7" ht="14.25" customHeight="1">
      <c r="A7" s="11" t="s">
        <v>15</v>
      </c>
      <c r="B7" t="s">
        <v>16</v>
      </c>
      <c r="G7" s="33" t="s">
        <v>17</v>
      </c>
      <c r="H7" s="17"/>
      <c r="I7" s="17"/>
      <c r="J7" s="17"/>
      <c r="K7" s="17"/>
      <c r="L7" s="17"/>
      <c r="M7" s="18"/>
    </row>
    <row r="8" ht="12.75" customHeight="1">
      <c r="A8" s="35" t="s">
        <v>18</v>
      </c>
      <c r="B8" s="36">
        <v>30.0</v>
      </c>
      <c r="C8" t="s">
        <v>24</v>
      </c>
      <c r="G8" s="25"/>
      <c r="H8" s="27"/>
      <c r="I8" s="27"/>
      <c r="J8" s="27"/>
      <c r="K8" s="27"/>
      <c r="L8" s="27"/>
      <c r="M8" s="29"/>
    </row>
    <row r="9" ht="12.75" customHeight="1">
      <c r="A9" s="35" t="s">
        <v>25</v>
      </c>
      <c r="B9" s="36">
        <v>10.0</v>
      </c>
      <c r="C9" t="s">
        <v>24</v>
      </c>
      <c r="G9" s="38" t="s">
        <v>26</v>
      </c>
      <c r="H9" s="7"/>
      <c r="I9" s="7"/>
      <c r="J9" s="7"/>
      <c r="K9" s="7"/>
      <c r="L9" s="7"/>
      <c r="M9" s="9"/>
    </row>
    <row r="10" ht="14.25" customHeight="1">
      <c r="A10" s="35" t="s">
        <v>27</v>
      </c>
      <c r="B10" s="36">
        <v>10.0</v>
      </c>
      <c r="C10" t="s">
        <v>24</v>
      </c>
      <c r="G10" s="33" t="s">
        <v>28</v>
      </c>
      <c r="H10" s="17"/>
      <c r="I10" s="17"/>
      <c r="J10" s="17"/>
      <c r="K10" s="17"/>
      <c r="L10" s="17"/>
      <c r="M10" s="18"/>
    </row>
    <row r="11" ht="12.75" customHeight="1">
      <c r="A11" s="35" t="s">
        <v>29</v>
      </c>
      <c r="B11" s="36">
        <v>5.0</v>
      </c>
      <c r="C11" t="s">
        <v>24</v>
      </c>
      <c r="G11" s="25"/>
      <c r="H11" s="27"/>
      <c r="I11" s="27"/>
      <c r="J11" s="27"/>
      <c r="K11" s="27"/>
      <c r="L11" s="27"/>
      <c r="M11" s="29"/>
    </row>
    <row r="12" ht="14.25" customHeight="1">
      <c r="A12" s="35" t="s">
        <v>30</v>
      </c>
      <c r="B12" s="36">
        <v>5.0</v>
      </c>
      <c r="C12" t="s">
        <v>24</v>
      </c>
      <c r="G12" s="33" t="s">
        <v>31</v>
      </c>
      <c r="H12" s="17"/>
      <c r="I12" s="17"/>
      <c r="J12" s="17"/>
      <c r="K12" s="17"/>
      <c r="L12" s="17"/>
      <c r="M12" s="18"/>
    </row>
    <row r="13" ht="12.75" customHeight="1">
      <c r="A13" s="35" t="s">
        <v>32</v>
      </c>
      <c r="B13" s="36">
        <v>3.0</v>
      </c>
      <c r="C13" t="s">
        <v>24</v>
      </c>
      <c r="G13" s="25"/>
      <c r="H13" s="27"/>
      <c r="I13" s="27"/>
      <c r="J13" s="27"/>
      <c r="K13" s="27"/>
      <c r="L13" s="27"/>
      <c r="M13" s="29"/>
    </row>
    <row r="14" ht="12.75" customHeight="1">
      <c r="A14" s="35" t="s">
        <v>33</v>
      </c>
      <c r="B14" s="36">
        <v>5.0</v>
      </c>
      <c r="C14" t="s">
        <v>24</v>
      </c>
    </row>
    <row r="15" ht="12.75" customHeight="1">
      <c r="A15" s="35" t="s">
        <v>34</v>
      </c>
      <c r="B15" s="41">
        <v>0.075</v>
      </c>
    </row>
    <row r="16" ht="12.75" customHeight="1"/>
    <row r="17" ht="12.75" customHeight="1">
      <c r="A17" s="11" t="s">
        <v>35</v>
      </c>
      <c r="B17" s="43" t="s">
        <v>36</v>
      </c>
      <c r="C17" s="44"/>
      <c r="D17" s="44"/>
      <c r="E17" s="44"/>
      <c r="F17" s="44"/>
      <c r="G17" s="46"/>
    </row>
    <row r="18" ht="12.75" customHeight="1"/>
    <row r="19" ht="12.75" customHeight="1">
      <c r="A19" s="11" t="s">
        <v>39</v>
      </c>
      <c r="B19" s="47">
        <v>2.818125E7</v>
      </c>
      <c r="C19" t="s">
        <v>42</v>
      </c>
      <c r="E19" t="s">
        <v>43</v>
      </c>
    </row>
    <row r="20" ht="12.75" customHeight="1">
      <c r="A20" s="11" t="s">
        <v>44</v>
      </c>
      <c r="B20" s="49">
        <v>14.0</v>
      </c>
      <c r="C20" t="s">
        <v>45</v>
      </c>
      <c r="E20" t="s">
        <v>43</v>
      </c>
    </row>
    <row r="21" ht="12.75" customHeight="1"/>
    <row r="22" ht="12.75" customHeight="1">
      <c r="A22" s="11" t="s">
        <v>46</v>
      </c>
    </row>
    <row r="23" ht="12.75" customHeight="1">
      <c r="A23" s="11" t="s">
        <v>47</v>
      </c>
      <c r="B23" s="47">
        <v>16.0</v>
      </c>
      <c r="C23" t="s">
        <v>48</v>
      </c>
      <c r="E23" t="s">
        <v>49</v>
      </c>
    </row>
    <row r="24" ht="12.75" customHeight="1">
      <c r="A24" s="11" t="s">
        <v>50</v>
      </c>
      <c r="B24" s="47">
        <v>3.0</v>
      </c>
      <c r="C24" t="s">
        <v>48</v>
      </c>
      <c r="E24" t="s">
        <v>49</v>
      </c>
    </row>
    <row r="25" ht="12.75" customHeight="1">
      <c r="A25" s="11" t="s">
        <v>51</v>
      </c>
      <c r="B25" s="47">
        <v>4.0</v>
      </c>
      <c r="C25" t="s">
        <v>48</v>
      </c>
      <c r="E25" t="s">
        <v>49</v>
      </c>
    </row>
    <row r="26" ht="12.75" customHeight="1"/>
    <row r="27" ht="12.75" customHeight="1">
      <c r="A27" s="11" t="s">
        <v>52</v>
      </c>
      <c r="B27" s="47">
        <v>398.35</v>
      </c>
      <c r="C27" t="s">
        <v>53</v>
      </c>
      <c r="E27" t="s">
        <v>54</v>
      </c>
    </row>
    <row r="28" ht="12.75" customHeight="1">
      <c r="A28" s="11" t="s">
        <v>55</v>
      </c>
      <c r="B28" s="47">
        <v>12.0</v>
      </c>
      <c r="C28" t="s">
        <v>56</v>
      </c>
      <c r="E28" t="s">
        <v>49</v>
      </c>
    </row>
    <row r="29" ht="12.75" customHeight="1">
      <c r="A29" s="11" t="s">
        <v>57</v>
      </c>
      <c r="B29" s="47">
        <v>3.0</v>
      </c>
      <c r="C29" t="s">
        <v>56</v>
      </c>
      <c r="E29" t="s">
        <v>49</v>
      </c>
    </row>
    <row r="30" ht="12.75" customHeight="1"/>
    <row r="31" ht="12.75" customHeight="1"/>
    <row r="32" ht="12.75" customHeight="1">
      <c r="A32" s="11" t="s">
        <v>58</v>
      </c>
      <c r="B32" s="47">
        <v>40.0</v>
      </c>
      <c r="C32" t="s">
        <v>59</v>
      </c>
      <c r="D32" s="47">
        <v>1.0</v>
      </c>
      <c r="E32" t="s">
        <v>60</v>
      </c>
    </row>
    <row r="33" ht="12.75" customHeight="1">
      <c r="A33" s="51"/>
    </row>
    <row r="34" ht="12.75" customHeight="1">
      <c r="A34" s="51"/>
    </row>
    <row r="35" ht="12.75" customHeight="1">
      <c r="A35" s="11" t="s">
        <v>61</v>
      </c>
      <c r="B35" s="53">
        <v>0.28</v>
      </c>
      <c r="C35" t="s">
        <v>64</v>
      </c>
      <c r="G35" s="54" t="s">
        <v>65</v>
      </c>
    </row>
    <row r="36" ht="12.75" customHeight="1">
      <c r="A36" s="11" t="s">
        <v>66</v>
      </c>
      <c r="B36" s="56" t="s">
        <v>67</v>
      </c>
      <c r="C36" s="57"/>
      <c r="D36" s="59"/>
    </row>
    <row r="37" ht="12.75" customHeight="1">
      <c r="A37" s="11" t="s">
        <v>70</v>
      </c>
      <c r="B37" s="60">
        <v>1.0</v>
      </c>
    </row>
    <row r="38" ht="12.75" customHeight="1">
      <c r="A38" s="11"/>
    </row>
    <row r="39" ht="12.75" customHeight="1">
      <c r="A39" s="11" t="s">
        <v>71</v>
      </c>
      <c r="B39" s="49">
        <v>30.0</v>
      </c>
    </row>
    <row r="40" ht="12.75" customHeight="1">
      <c r="A40" s="11" t="s">
        <v>72</v>
      </c>
      <c r="B40" s="61">
        <v>0.5</v>
      </c>
    </row>
    <row r="41" ht="12.75" customHeight="1">
      <c r="A41" s="11" t="s">
        <v>75</v>
      </c>
      <c r="B41" s="61">
        <v>0.24</v>
      </c>
      <c r="C41" t="s">
        <v>64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36:D36"/>
    <mergeCell ref="G2:M2"/>
    <mergeCell ref="G3:M6"/>
    <mergeCell ref="G7:M8"/>
    <mergeCell ref="G9:M9"/>
    <mergeCell ref="G10:M11"/>
    <mergeCell ref="G12:M13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9" width="15.0"/>
    <col customWidth="1" min="10" max="26" width="10.0"/>
  </cols>
  <sheetData>
    <row r="1" ht="12.75" customHeight="1">
      <c r="A1" s="2" t="s">
        <v>0</v>
      </c>
      <c r="E1" s="80"/>
      <c r="F1" s="768">
        <f>InfoInicial!E1</f>
        <v>4</v>
      </c>
      <c r="G1" s="4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5.75" customHeight="1">
      <c r="A2" s="769" t="s">
        <v>585</v>
      </c>
      <c r="B2" s="475"/>
      <c r="C2" s="475"/>
      <c r="D2" s="475"/>
      <c r="E2" s="475"/>
      <c r="F2" s="475"/>
      <c r="G2" s="477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2.75" customHeight="1">
      <c r="A3" s="273" t="s">
        <v>227</v>
      </c>
      <c r="B3" s="337" t="s">
        <v>587</v>
      </c>
      <c r="C3" s="772"/>
      <c r="D3" s="337" t="s">
        <v>588</v>
      </c>
      <c r="E3" s="772"/>
      <c r="F3" s="337" t="s">
        <v>589</v>
      </c>
      <c r="G3" s="774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2.75" customHeight="1">
      <c r="A4" s="273" t="s">
        <v>154</v>
      </c>
      <c r="B4" s="274" t="s">
        <v>590</v>
      </c>
      <c r="C4" s="274" t="s">
        <v>167</v>
      </c>
      <c r="D4" s="274" t="s">
        <v>590</v>
      </c>
      <c r="E4" s="274" t="s">
        <v>167</v>
      </c>
      <c r="F4" s="274" t="s">
        <v>590</v>
      </c>
      <c r="G4" s="275" t="s">
        <v>167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100" t="s">
        <v>591</v>
      </c>
      <c r="B5" s="289">
        <f>'E-Form'!B4+'E-Form'!B5</f>
        <v>23689241.79</v>
      </c>
      <c r="C5" s="776">
        <f t="shared" ref="C5:C8" si="1">B5/$B$8</f>
        <v>0.1800973171</v>
      </c>
      <c r="D5" s="289">
        <f>InfoInicial!B37*('Calculos auxiliares'!E16+'Calculos auxiliares'!E19+'Calculos auxiliares'!E7)</f>
        <v>8974897.295</v>
      </c>
      <c r="E5" s="776">
        <f>D5/$B$8</f>
        <v>0.06823160226</v>
      </c>
      <c r="F5" s="289">
        <f t="shared" ref="F5:F6" si="2">B5-D5</f>
        <v>14714344.5</v>
      </c>
      <c r="G5" s="781">
        <f t="shared" ref="G5:G7" si="3">F5/$B$8</f>
        <v>0.1118657148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97" t="s">
        <v>593</v>
      </c>
      <c r="B6" s="289">
        <f>'E-Form'!C4+'E-Form'!C5</f>
        <v>85625250.09</v>
      </c>
      <c r="C6" s="776">
        <f t="shared" si="1"/>
        <v>0.6509654446</v>
      </c>
      <c r="D6" s="289">
        <f>'Apertura Financiera'!B12</f>
        <v>12333150.46</v>
      </c>
      <c r="E6" s="776">
        <f>D6/B8</f>
        <v>0.0937627016</v>
      </c>
      <c r="F6" s="289">
        <f t="shared" si="2"/>
        <v>73292099.62</v>
      </c>
      <c r="G6" s="781">
        <f t="shared" si="3"/>
        <v>0.557202743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97" t="s">
        <v>595</v>
      </c>
      <c r="B7" s="289">
        <f>'E-Form'!D4+'E-Form'!D5</f>
        <v>22221292.09</v>
      </c>
      <c r="C7" s="776">
        <f t="shared" si="1"/>
        <v>0.1689372384</v>
      </c>
      <c r="D7" s="289"/>
      <c r="E7" s="542"/>
      <c r="F7" s="289">
        <f>B7</f>
        <v>22221292.09</v>
      </c>
      <c r="G7" s="781">
        <f t="shared" si="3"/>
        <v>0.1689372384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126" t="s">
        <v>211</v>
      </c>
      <c r="B8" s="377">
        <f>SUM(B5:B7)</f>
        <v>131535784</v>
      </c>
      <c r="C8" s="468">
        <f t="shared" si="1"/>
        <v>1</v>
      </c>
      <c r="D8" s="377">
        <f t="shared" ref="D8:E8" si="4">SUM(D5:D6)</f>
        <v>21308047.76</v>
      </c>
      <c r="E8" s="792">
        <f t="shared" si="4"/>
        <v>0.1619943039</v>
      </c>
      <c r="F8" s="377">
        <f t="shared" ref="F8:G8" si="5">SUM(F5:F7)</f>
        <v>110227736.2</v>
      </c>
      <c r="G8" s="794">
        <f t="shared" si="5"/>
        <v>0.8380056961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51"/>
      <c r="B9" s="211"/>
      <c r="C9" s="796"/>
      <c r="D9" s="211"/>
      <c r="E9" s="211"/>
      <c r="F9" s="211"/>
      <c r="G9" s="211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5.75" customHeight="1">
      <c r="A10" s="797" t="s">
        <v>596</v>
      </c>
      <c r="B10" s="799"/>
      <c r="C10" s="799"/>
      <c r="D10" s="799"/>
      <c r="E10" s="799"/>
      <c r="F10" s="799"/>
      <c r="G10" s="799"/>
      <c r="H10" s="799"/>
      <c r="I10" s="80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801" t="s">
        <v>572</v>
      </c>
      <c r="B11" s="802" t="s">
        <v>573</v>
      </c>
      <c r="C11" s="802" t="s">
        <v>574</v>
      </c>
      <c r="D11" s="802" t="s">
        <v>575</v>
      </c>
      <c r="E11" s="802" t="s">
        <v>574</v>
      </c>
      <c r="F11" s="802" t="s">
        <v>597</v>
      </c>
      <c r="G11" s="802" t="s">
        <v>575</v>
      </c>
      <c r="H11" s="802"/>
      <c r="I11" s="803" t="s">
        <v>577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806"/>
      <c r="B12" s="807"/>
      <c r="C12" s="807" t="s">
        <v>555</v>
      </c>
      <c r="D12" s="807" t="s">
        <v>555</v>
      </c>
      <c r="E12" s="807" t="s">
        <v>64</v>
      </c>
      <c r="F12" s="807" t="s">
        <v>594</v>
      </c>
      <c r="G12" s="807" t="s">
        <v>64</v>
      </c>
      <c r="H12" s="807" t="s">
        <v>598</v>
      </c>
      <c r="I12" s="808" t="s">
        <v>578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809" t="s">
        <v>599</v>
      </c>
      <c r="B13" s="415">
        <f>'Apertura Financiera'!B34</f>
        <v>4487448.647</v>
      </c>
      <c r="C13" s="810">
        <v>0.0</v>
      </c>
      <c r="D13" s="810">
        <v>0.0</v>
      </c>
      <c r="E13" s="810">
        <v>0.0</v>
      </c>
      <c r="F13" s="134"/>
      <c r="G13" s="415"/>
      <c r="H13" s="811"/>
      <c r="I13" s="812">
        <f>'Apertura Financiera'!G34</f>
        <v>89748.97295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814" t="s">
        <v>582</v>
      </c>
      <c r="B14" s="289">
        <f>'Apertura Financiera'!B35</f>
        <v>8974897.295</v>
      </c>
      <c r="C14" s="279">
        <v>0.0</v>
      </c>
      <c r="D14" s="289">
        <f>'Apertura Financiera'!D35</f>
        <v>190716.5675</v>
      </c>
      <c r="E14" s="279">
        <v>0.0</v>
      </c>
      <c r="F14" s="98"/>
      <c r="G14" s="289"/>
      <c r="H14" s="542"/>
      <c r="I14" s="446">
        <f>'Apertura Financiera'!G35</f>
        <v>89748.97295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814" t="s">
        <v>583</v>
      </c>
      <c r="B15" s="289">
        <f>'Apertura Financiera'!B36</f>
        <v>8974897.295</v>
      </c>
      <c r="C15" s="279">
        <v>0.0</v>
      </c>
      <c r="D15" s="289">
        <f>'Apertura Financiera'!D36</f>
        <v>762866.27</v>
      </c>
      <c r="E15" s="815">
        <f>C14+C15</f>
        <v>0</v>
      </c>
      <c r="F15" s="817">
        <f>(B15+B13)/2</f>
        <v>6731172.971</v>
      </c>
      <c r="G15" s="817">
        <f>D14+D15</f>
        <v>953582.8375</v>
      </c>
      <c r="H15" s="542"/>
      <c r="I15" s="446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820"/>
      <c r="B16" s="394"/>
      <c r="C16" s="394"/>
      <c r="D16" s="394">
        <f>+D14+D15</f>
        <v>953582.8375</v>
      </c>
      <c r="E16" s="394"/>
      <c r="F16" s="103"/>
      <c r="G16" s="483">
        <f>+G15</f>
        <v>953582.8375</v>
      </c>
      <c r="H16" s="823"/>
      <c r="I16" s="398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11" t="s">
        <v>584</v>
      </c>
      <c r="B17" s="825"/>
      <c r="C17" s="827"/>
      <c r="D17" s="829">
        <f>SUM(D13:D15)</f>
        <v>953582.8375</v>
      </c>
      <c r="E17" s="827"/>
      <c r="F17" s="831"/>
      <c r="G17" s="829">
        <f>SUM(D13:D15)</f>
        <v>953582.8375</v>
      </c>
      <c r="H17" s="833"/>
      <c r="I17" s="834">
        <f>SUM(I13:I15)</f>
        <v>179497.9459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835">
        <v>37072.0</v>
      </c>
      <c r="B18" s="277">
        <f>'Apertura Financiera'!B38+'Apertura Financiera'!B53</f>
        <v>8077407.565</v>
      </c>
      <c r="C18" s="277">
        <f>'Apertura Financiera'!C38</f>
        <v>897489.7295</v>
      </c>
      <c r="D18" s="277">
        <f>'Apertura Financiera'!D38+'Apertura Financiera'!C53</f>
        <v>762866.27</v>
      </c>
      <c r="E18" s="277" t="str">
        <f>'Apertura Financiera'!E38</f>
        <v/>
      </c>
      <c r="F18" s="106"/>
      <c r="G18" s="277"/>
      <c r="H18" s="836"/>
      <c r="I18" s="431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837">
        <v>37256.0</v>
      </c>
      <c r="B19" s="277">
        <f>'Apertura Financiera'!B39+'Apertura Financiera'!B54</f>
        <v>19513068.3</v>
      </c>
      <c r="C19" s="277">
        <f>'Apertura Financiera'!C39</f>
        <v>897489.7295</v>
      </c>
      <c r="D19" s="277">
        <f>'Apertura Financiera'!D39+'Apertura Financiera'!C54</f>
        <v>933242.6523</v>
      </c>
      <c r="E19" s="277">
        <f>'Apertura Financiera'!E39</f>
        <v>1794979.459</v>
      </c>
      <c r="F19" s="106">
        <f>(B15+B19)/2</f>
        <v>14243982.8</v>
      </c>
      <c r="G19" s="289">
        <f>D18+D19</f>
        <v>1696108.922</v>
      </c>
      <c r="H19" s="542">
        <f>G19/F19</f>
        <v>0.1190754683</v>
      </c>
      <c r="I19" s="446">
        <f>'Apertura Financiera'!G39</f>
        <v>6461.926052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837">
        <v>37437.0</v>
      </c>
      <c r="B20" s="277">
        <f>'Apertura Financiera'!B40+'Apertura Financiera'!B55</f>
        <v>18615578.57</v>
      </c>
      <c r="C20" s="277">
        <f>'Apertura Financiera'!C40</f>
        <v>897489.7295</v>
      </c>
      <c r="D20" s="277">
        <f>'Apertura Financiera'!D40+'Apertura Financiera'!C55</f>
        <v>856956.0253</v>
      </c>
      <c r="E20" s="277" t="str">
        <f>'Apertura Financiera'!E40</f>
        <v/>
      </c>
      <c r="F20" s="106"/>
      <c r="G20" s="289"/>
      <c r="H20" s="542"/>
      <c r="I20" s="446" t="str">
        <f>'Apertura Financiera'!G40</f>
        <v/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837">
        <v>37621.0</v>
      </c>
      <c r="B21" s="277">
        <f>'Apertura Financiera'!B41+'Apertura Financiera'!B56</f>
        <v>17718088.84</v>
      </c>
      <c r="C21" s="277">
        <f>'Apertura Financiera'!C41</f>
        <v>897489.7295</v>
      </c>
      <c r="D21" s="277">
        <f>'Apertura Financiera'!D41+'Apertura Financiera'!C56</f>
        <v>780669.3983</v>
      </c>
      <c r="E21" s="277">
        <f>'Apertura Financiera'!E41</f>
        <v>1794979.459</v>
      </c>
      <c r="F21" s="106">
        <f>(B19+B21)/2</f>
        <v>18615578.57</v>
      </c>
      <c r="G21" s="289">
        <f>D20+D21</f>
        <v>1637625.424</v>
      </c>
      <c r="H21" s="542">
        <f>G21/F21</f>
        <v>0.0879706971</v>
      </c>
      <c r="I21" s="446">
        <f>'Apertura Financiera'!G41</f>
        <v>4846.444539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837">
        <v>37802.0</v>
      </c>
      <c r="B22" s="277">
        <f>'Apertura Financiera'!B42+'Apertura Financiera'!B57</f>
        <v>16820599.11</v>
      </c>
      <c r="C22" s="277">
        <f>'Apertura Financiera'!C42</f>
        <v>897489.7295</v>
      </c>
      <c r="D22" s="277">
        <f>'Apertura Financiera'!D42+'Apertura Financiera'!C57</f>
        <v>704382.7713</v>
      </c>
      <c r="E22" s="277" t="str">
        <f>'Apertura Financiera'!E42</f>
        <v/>
      </c>
      <c r="F22" s="106"/>
      <c r="G22" s="289"/>
      <c r="H22" s="542"/>
      <c r="I22" s="446" t="str">
        <f>'Apertura Financiera'!G42</f>
        <v/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837">
        <v>37986.0</v>
      </c>
      <c r="B23" s="277">
        <f>'Apertura Financiera'!B43+'Apertura Financiera'!B58</f>
        <v>15923109.38</v>
      </c>
      <c r="C23" s="277">
        <f>'Apertura Financiera'!C43</f>
        <v>897489.7295</v>
      </c>
      <c r="D23" s="277">
        <f>'Apertura Financiera'!D43+'Apertura Financiera'!C58</f>
        <v>628096.1443</v>
      </c>
      <c r="E23" s="277">
        <f>'Apertura Financiera'!E43</f>
        <v>1794979.459</v>
      </c>
      <c r="F23" s="106">
        <f>(B21+B23)/2</f>
        <v>16820599.11</v>
      </c>
      <c r="G23" s="289">
        <f>D22+D23</f>
        <v>1332478.916</v>
      </c>
      <c r="H23" s="542">
        <f>G23/F23</f>
        <v>0.07921709012</v>
      </c>
      <c r="I23" s="446">
        <f>'Apertura Financiera'!G43</f>
        <v>3230.963026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837">
        <v>38168.0</v>
      </c>
      <c r="B24" s="277">
        <f>'Apertura Financiera'!B44+'Apertura Financiera'!B59</f>
        <v>15025619.65</v>
      </c>
      <c r="C24" s="277">
        <f>'Apertura Financiera'!C44</f>
        <v>897489.7295</v>
      </c>
      <c r="D24" s="277">
        <f>'Apertura Financiera'!D44+'Apertura Financiera'!C59</f>
        <v>551809.5173</v>
      </c>
      <c r="E24" s="277" t="str">
        <f>'Apertura Financiera'!E44</f>
        <v/>
      </c>
      <c r="F24" s="106"/>
      <c r="G24" s="289"/>
      <c r="H24" s="542"/>
      <c r="I24" s="446" t="str">
        <f>'Apertura Financiera'!G44</f>
        <v/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837">
        <v>38352.0</v>
      </c>
      <c r="B25" s="277">
        <f>'Apertura Financiera'!B45+'Apertura Financiera'!B60</f>
        <v>14128129.92</v>
      </c>
      <c r="C25" s="277">
        <f>'Apertura Financiera'!C45</f>
        <v>897489.7295</v>
      </c>
      <c r="D25" s="277">
        <f>'Apertura Financiera'!D45+'Apertura Financiera'!C60</f>
        <v>475522.8903</v>
      </c>
      <c r="E25" s="277">
        <f>'Apertura Financiera'!E45</f>
        <v>1794979.459</v>
      </c>
      <c r="F25" s="106">
        <f>(B23+B25)/2</f>
        <v>15025619.65</v>
      </c>
      <c r="G25" s="289">
        <f>D24+D25</f>
        <v>1027332.408</v>
      </c>
      <c r="H25" s="542">
        <f>G25/F25</f>
        <v>0.0683720493</v>
      </c>
      <c r="I25" s="446">
        <f>'Apertura Financiera'!G45</f>
        <v>1615.481513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837">
        <v>38533.0</v>
      </c>
      <c r="B26" s="277">
        <f>'Apertura Financiera'!B46+'Apertura Financiera'!B61</f>
        <v>13230640.19</v>
      </c>
      <c r="C26" s="277">
        <f>'Apertura Financiera'!C46</f>
        <v>897489.7295</v>
      </c>
      <c r="D26" s="277">
        <f>'Apertura Financiera'!D46+'Apertura Financiera'!C61</f>
        <v>399236.2632</v>
      </c>
      <c r="E26" s="277" t="str">
        <f>'Apertura Financiera'!E46</f>
        <v/>
      </c>
      <c r="F26" s="106"/>
      <c r="G26" s="289"/>
      <c r="H26" s="542"/>
      <c r="I26" s="446" t="str">
        <f>'Apertura Financiera'!G46</f>
        <v/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837">
        <v>38717.0</v>
      </c>
      <c r="B27" s="277">
        <f>'Apertura Financiera'!B47+'Apertura Financiera'!B62</f>
        <v>12333150.46</v>
      </c>
      <c r="C27" s="277">
        <f>'Apertura Financiera'!C47</f>
        <v>897489.7295</v>
      </c>
      <c r="D27" s="277">
        <f>'Apertura Financiera'!D47+'Apertura Financiera'!C62</f>
        <v>322949.6362</v>
      </c>
      <c r="E27" s="277">
        <f>'Apertura Financiera'!E47</f>
        <v>1794979.459</v>
      </c>
      <c r="F27" s="106">
        <f>(B25+B27)/2</f>
        <v>13230640.19</v>
      </c>
      <c r="G27" s="289">
        <f>D26+D27</f>
        <v>722185.8995</v>
      </c>
      <c r="H27" s="542">
        <f>G27/F27</f>
        <v>0.05458435034</v>
      </c>
      <c r="I27" s="446">
        <f>'Apertura Financiera'!G47</f>
        <v>807.7407565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838"/>
      <c r="B28" s="394"/>
      <c r="C28" s="394"/>
      <c r="D28" s="394"/>
      <c r="E28" s="394"/>
      <c r="F28" s="394"/>
      <c r="G28" s="394"/>
      <c r="H28" s="839"/>
      <c r="I28" s="398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840" t="s">
        <v>586</v>
      </c>
      <c r="B29" s="841"/>
      <c r="C29" s="841">
        <f t="shared" ref="C29:E29" si="6">SUM(C18:C27)</f>
        <v>8974897.295</v>
      </c>
      <c r="D29" s="841">
        <f t="shared" si="6"/>
        <v>6415731.568</v>
      </c>
      <c r="E29" s="841">
        <f t="shared" si="6"/>
        <v>8974897.295</v>
      </c>
      <c r="F29" s="841"/>
      <c r="G29" s="841">
        <f>SUM(G18:G27)</f>
        <v>6415731.568</v>
      </c>
      <c r="H29" s="842"/>
      <c r="I29" s="843">
        <f>+SUM(I16:I23)</f>
        <v>194037.2795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844"/>
      <c r="B30" s="277"/>
      <c r="C30" s="277"/>
      <c r="D30" s="277"/>
      <c r="E30" s="277"/>
      <c r="F30" s="277"/>
      <c r="G30" s="277"/>
      <c r="H30" s="845"/>
      <c r="I30" s="431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846"/>
      <c r="B31" s="289"/>
      <c r="C31" s="289"/>
      <c r="D31" s="289"/>
      <c r="E31" s="289"/>
      <c r="F31" s="98"/>
      <c r="G31" s="289"/>
      <c r="H31" s="542"/>
      <c r="I31" s="446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846"/>
      <c r="B32" s="289"/>
      <c r="C32" s="289"/>
      <c r="D32" s="289"/>
      <c r="E32" s="289"/>
      <c r="F32" s="289"/>
      <c r="G32" s="289"/>
      <c r="H32" s="776"/>
      <c r="I32" s="446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846"/>
      <c r="B33" s="289"/>
      <c r="C33" s="289"/>
      <c r="D33" s="289"/>
      <c r="E33" s="289"/>
      <c r="F33" s="98"/>
      <c r="G33" s="289"/>
      <c r="H33" s="542"/>
      <c r="I33" s="446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846"/>
      <c r="B34" s="289"/>
      <c r="C34" s="289"/>
      <c r="D34" s="289"/>
      <c r="E34" s="289"/>
      <c r="F34" s="289"/>
      <c r="G34" s="289"/>
      <c r="H34" s="776"/>
      <c r="I34" s="446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846"/>
      <c r="B35" s="289"/>
      <c r="C35" s="289"/>
      <c r="D35" s="289"/>
      <c r="E35" s="289"/>
      <c r="F35" s="98"/>
      <c r="G35" s="289"/>
      <c r="H35" s="542"/>
      <c r="I35" s="446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846"/>
      <c r="B36" s="289"/>
      <c r="C36" s="289"/>
      <c r="D36" s="289"/>
      <c r="E36" s="289"/>
      <c r="F36" s="289"/>
      <c r="G36" s="289"/>
      <c r="H36" s="776"/>
      <c r="I36" s="446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46"/>
      <c r="B37" s="289"/>
      <c r="C37" s="289"/>
      <c r="D37" s="289"/>
      <c r="E37" s="289"/>
      <c r="F37" s="98"/>
      <c r="G37" s="289"/>
      <c r="H37" s="542"/>
      <c r="I37" s="446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46"/>
      <c r="B38" s="289"/>
      <c r="C38" s="289"/>
      <c r="D38" s="289"/>
      <c r="E38" s="289"/>
      <c r="F38" s="289"/>
      <c r="G38" s="289"/>
      <c r="H38" s="776"/>
      <c r="I38" s="446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846"/>
      <c r="B39" s="289"/>
      <c r="C39" s="289"/>
      <c r="D39" s="289"/>
      <c r="E39" s="289"/>
      <c r="F39" s="98"/>
      <c r="G39" s="289"/>
      <c r="H39" s="542"/>
      <c r="I39" s="446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846"/>
      <c r="B40" s="289"/>
      <c r="C40" s="289"/>
      <c r="D40" s="289"/>
      <c r="E40" s="289"/>
      <c r="F40" s="289"/>
      <c r="G40" s="289"/>
      <c r="H40" s="776"/>
      <c r="I40" s="446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846"/>
      <c r="B41" s="289"/>
      <c r="C41" s="289"/>
      <c r="D41" s="289"/>
      <c r="E41" s="289"/>
      <c r="F41" s="98"/>
      <c r="G41" s="289"/>
      <c r="H41" s="542"/>
      <c r="I41" s="446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846"/>
      <c r="B42" s="289"/>
      <c r="C42" s="289"/>
      <c r="D42" s="289"/>
      <c r="E42" s="289"/>
      <c r="F42" s="289"/>
      <c r="G42" s="289"/>
      <c r="H42" s="776"/>
      <c r="I42" s="446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846"/>
      <c r="B43" s="289"/>
      <c r="C43" s="289"/>
      <c r="D43" s="289"/>
      <c r="E43" s="289"/>
      <c r="F43" s="98"/>
      <c r="G43" s="289"/>
      <c r="H43" s="542"/>
      <c r="I43" s="446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46"/>
      <c r="B44" s="289"/>
      <c r="C44" s="289"/>
      <c r="D44" s="289"/>
      <c r="E44" s="289"/>
      <c r="F44" s="289"/>
      <c r="G44" s="289"/>
      <c r="H44" s="776"/>
      <c r="I44" s="446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846"/>
      <c r="B45" s="289"/>
      <c r="C45" s="289"/>
      <c r="D45" s="289"/>
      <c r="E45" s="289"/>
      <c r="F45" s="98"/>
      <c r="G45" s="289"/>
      <c r="H45" s="542"/>
      <c r="I45" s="446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46"/>
      <c r="B46" s="289"/>
      <c r="C46" s="289"/>
      <c r="D46" s="289"/>
      <c r="E46" s="289"/>
      <c r="F46" s="289"/>
      <c r="G46" s="289"/>
      <c r="H46" s="776"/>
      <c r="I46" s="446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46"/>
      <c r="B47" s="289"/>
      <c r="C47" s="289"/>
      <c r="D47" s="289"/>
      <c r="E47" s="289"/>
      <c r="F47" s="98"/>
      <c r="G47" s="289"/>
      <c r="H47" s="542"/>
      <c r="I47" s="446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46"/>
      <c r="B48" s="289"/>
      <c r="C48" s="289"/>
      <c r="D48" s="289"/>
      <c r="E48" s="289"/>
      <c r="F48" s="289"/>
      <c r="G48" s="289"/>
      <c r="H48" s="776"/>
      <c r="I48" s="446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848"/>
      <c r="B49" s="289"/>
      <c r="C49" s="289"/>
      <c r="D49" s="289"/>
      <c r="E49" s="289"/>
      <c r="F49" s="98"/>
      <c r="G49" s="289"/>
      <c r="H49" s="542"/>
      <c r="I49" s="446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412" t="s">
        <v>586</v>
      </c>
      <c r="B50" s="377"/>
      <c r="C50" s="377"/>
      <c r="D50" s="377"/>
      <c r="E50" s="377"/>
      <c r="F50" s="116"/>
      <c r="G50" s="377"/>
      <c r="H50" s="850"/>
      <c r="I50" s="693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</sheetData>
  <mergeCells count="3">
    <mergeCell ref="B3:C3"/>
    <mergeCell ref="D3:E3"/>
    <mergeCell ref="F3:G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0"/>
    <col customWidth="1" min="2" max="7" width="13.86"/>
    <col customWidth="1" min="8" max="26" width="10.0"/>
  </cols>
  <sheetData>
    <row r="1" ht="12.75" customHeight="1">
      <c r="A1" s="2" t="s">
        <v>0</v>
      </c>
      <c r="E1" s="768"/>
      <c r="F1" s="4">
        <f>InfoInicial!E1</f>
        <v>4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5.75" customHeight="1">
      <c r="A2" s="655" t="s">
        <v>600</v>
      </c>
      <c r="B2" s="271"/>
      <c r="C2" s="271"/>
      <c r="D2" s="271"/>
      <c r="E2" s="271"/>
      <c r="F2" s="271"/>
      <c r="G2" s="27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2.75" customHeight="1">
      <c r="A3" s="273" t="s">
        <v>227</v>
      </c>
      <c r="B3" s="91" t="s">
        <v>83</v>
      </c>
      <c r="C3" s="91" t="s">
        <v>228</v>
      </c>
      <c r="D3" s="91" t="s">
        <v>229</v>
      </c>
      <c r="E3" s="91" t="s">
        <v>230</v>
      </c>
      <c r="F3" s="673" t="s">
        <v>231</v>
      </c>
      <c r="G3" s="92" t="s">
        <v>211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2.75" customHeight="1">
      <c r="A4" s="80" t="s">
        <v>601</v>
      </c>
      <c r="B4" s="289">
        <f>'E-Costos'!B87</f>
        <v>334425000</v>
      </c>
      <c r="C4" s="289">
        <f>'E-Costos'!C87</f>
        <v>394537500</v>
      </c>
      <c r="D4" s="289">
        <f>'E-Costos'!D87</f>
        <v>394537500</v>
      </c>
      <c r="E4" s="289">
        <f>'E-Costos'!E87</f>
        <v>394537500</v>
      </c>
      <c r="F4" s="289">
        <f>'E-Costos'!F87</f>
        <v>394537500</v>
      </c>
      <c r="G4" s="446">
        <f t="shared" ref="G4:G6" si="1">Sum(B4:F4)</f>
        <v>1912575000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80" t="s">
        <v>602</v>
      </c>
      <c r="B5" s="289">
        <f>'E-Costos'!B108</f>
        <v>212803530.2</v>
      </c>
      <c r="C5" s="289">
        <f>'E-Costos'!C108</f>
        <v>254239045.5</v>
      </c>
      <c r="D5" s="289">
        <f>'E-Costos'!D108</f>
        <v>254284047.2</v>
      </c>
      <c r="E5" s="289">
        <f>'E-Costos'!E108</f>
        <v>254044128.5</v>
      </c>
      <c r="F5" s="289">
        <f>'E-Costos'!F108</f>
        <v>254040557.6</v>
      </c>
      <c r="G5" s="446">
        <f t="shared" si="1"/>
        <v>1229411309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80" t="s">
        <v>603</v>
      </c>
      <c r="B6" s="289">
        <f t="shared" ref="B6:F6" si="2">B4-B5</f>
        <v>121621469.8</v>
      </c>
      <c r="C6" s="289">
        <f t="shared" si="2"/>
        <v>140298454.5</v>
      </c>
      <c r="D6" s="289">
        <f t="shared" si="2"/>
        <v>140253452.8</v>
      </c>
      <c r="E6" s="289">
        <f t="shared" si="2"/>
        <v>140493371.5</v>
      </c>
      <c r="F6" s="289">
        <f t="shared" si="2"/>
        <v>140496942.4</v>
      </c>
      <c r="G6" s="446">
        <f t="shared" si="1"/>
        <v>683163691.1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80" t="s">
        <v>287</v>
      </c>
      <c r="B7" s="289"/>
      <c r="C7" s="289"/>
      <c r="D7" s="289"/>
      <c r="E7" s="289"/>
      <c r="F7" s="357"/>
      <c r="G7" s="446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80" t="s">
        <v>604</v>
      </c>
      <c r="B8" s="289">
        <f>'E-Costos'!B110</f>
        <v>45143404.43</v>
      </c>
      <c r="C8" s="289">
        <f>'E-Costos'!C110</f>
        <v>45957568.44</v>
      </c>
      <c r="D8" s="289">
        <f>'E-Costos'!D110</f>
        <v>45957568.44</v>
      </c>
      <c r="E8" s="289">
        <f>'E-Costos'!E110</f>
        <v>45964240.14</v>
      </c>
      <c r="F8" s="289">
        <f>'E-Costos'!F110</f>
        <v>45964240.14</v>
      </c>
      <c r="G8" s="446">
        <f t="shared" ref="G8:G14" si="3">Sum(B8:F8)</f>
        <v>228987021.6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80" t="s">
        <v>605</v>
      </c>
      <c r="B9" s="289">
        <f>'E-Costos'!B111</f>
        <v>12921075.02</v>
      </c>
      <c r="C9" s="289">
        <f>'E-Costos'!C111</f>
        <v>14956530.35</v>
      </c>
      <c r="D9" s="289">
        <f>'E-Costos'!D111</f>
        <v>14956530.35</v>
      </c>
      <c r="E9" s="289">
        <f>'E-Costos'!E111</f>
        <v>14961416.05</v>
      </c>
      <c r="F9" s="289">
        <f>'E-Costos'!F111</f>
        <v>14961416.05</v>
      </c>
      <c r="G9" s="446">
        <f t="shared" si="3"/>
        <v>72756967.8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80" t="s">
        <v>606</v>
      </c>
      <c r="B10" s="289">
        <f>('F-Cred'!I17+'F-Cred'!G17)/3+'F-Cred'!I19+'F-Cred'!G19</f>
        <v>2080264.443</v>
      </c>
      <c r="C10" s="289">
        <f>('F-Cred'!G17+'F-Cred'!I17)/3+'F-Cred'!I21+'F-Cred'!G21</f>
        <v>2020165.463</v>
      </c>
      <c r="D10" s="289">
        <f>('F-Cred'!G17+'F-Cred'!I17)/3+'F-Cred'!G23+'F-Cred'!I23</f>
        <v>1713403.473</v>
      </c>
      <c r="E10" s="289">
        <f>'F-Cred'!I25+'F-Cred'!G25</f>
        <v>1028947.889</v>
      </c>
      <c r="F10" s="357">
        <f>'F-Cred'!I27+'F-Cred'!G27</f>
        <v>722993.6402</v>
      </c>
      <c r="G10" s="446">
        <f t="shared" si="3"/>
        <v>7565774.908</v>
      </c>
      <c r="H10" s="363" t="s">
        <v>607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51" t="s">
        <v>608</v>
      </c>
      <c r="B11" s="289">
        <f t="shared" ref="B11:F11" si="4">B6-B8-B9-B10</f>
        <v>61476725.95</v>
      </c>
      <c r="C11" s="289">
        <f t="shared" si="4"/>
        <v>77364190.3</v>
      </c>
      <c r="D11" s="289">
        <f t="shared" si="4"/>
        <v>77625950.58</v>
      </c>
      <c r="E11" s="289">
        <f t="shared" si="4"/>
        <v>78538767.43</v>
      </c>
      <c r="F11" s="289">
        <f t="shared" si="4"/>
        <v>78848292.55</v>
      </c>
      <c r="G11" s="446">
        <f t="shared" si="3"/>
        <v>373853926.8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80" t="s">
        <v>609</v>
      </c>
      <c r="B12" s="289">
        <f>B11*InfoInicial!$B$5</f>
        <v>1536918.149</v>
      </c>
      <c r="C12" s="289">
        <f>C11*InfoInicial!$B$5</f>
        <v>1934104.757</v>
      </c>
      <c r="D12" s="289">
        <f>D11*InfoInicial!$B$5</f>
        <v>1940648.765</v>
      </c>
      <c r="E12" s="289">
        <f>E11*InfoInicial!$B$5</f>
        <v>1963469.186</v>
      </c>
      <c r="F12" s="289">
        <f>F11*InfoInicial!$B$5</f>
        <v>1971207.314</v>
      </c>
      <c r="G12" s="446">
        <f t="shared" si="3"/>
        <v>9346348.17</v>
      </c>
      <c r="H12" s="363" t="s">
        <v>610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847" t="s">
        <v>611</v>
      </c>
      <c r="B13" s="289">
        <f>B11*InfoInicial!$B$4</f>
        <v>21516854.08</v>
      </c>
      <c r="C13" s="289">
        <f>C11*InfoInicial!$B$4</f>
        <v>27077466.6</v>
      </c>
      <c r="D13" s="289">
        <f>D11*InfoInicial!$B$4</f>
        <v>27169082.7</v>
      </c>
      <c r="E13" s="289">
        <f>E11*InfoInicial!$B$4</f>
        <v>27488568.6</v>
      </c>
      <c r="F13" s="289">
        <f>F11*InfoInicial!$B$4</f>
        <v>27596902.39</v>
      </c>
      <c r="G13" s="446">
        <f t="shared" si="3"/>
        <v>130848874.4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849" t="s">
        <v>612</v>
      </c>
      <c r="B14" s="487">
        <f t="shared" ref="B14:F14" si="5">B11-B12-B13</f>
        <v>38422953.72</v>
      </c>
      <c r="C14" s="487">
        <f t="shared" si="5"/>
        <v>48352618.94</v>
      </c>
      <c r="D14" s="487">
        <f t="shared" si="5"/>
        <v>48516219.12</v>
      </c>
      <c r="E14" s="487">
        <f t="shared" si="5"/>
        <v>49086729.64</v>
      </c>
      <c r="F14" s="487">
        <f t="shared" si="5"/>
        <v>49280182.85</v>
      </c>
      <c r="G14" s="446">
        <f t="shared" si="3"/>
        <v>233658704.3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4.29"/>
    <col customWidth="1" min="2" max="2" width="16.86"/>
    <col customWidth="1" min="3" max="3" width="16.71"/>
    <col customWidth="1" min="4" max="4" width="18.71"/>
    <col customWidth="1" min="5" max="5" width="22.29"/>
    <col customWidth="1" min="6" max="6" width="16.14"/>
    <col customWidth="1" min="7" max="26" width="10.0"/>
  </cols>
  <sheetData>
    <row r="1" ht="12.75" customHeight="1">
      <c r="A1" s="2" t="s">
        <v>0</v>
      </c>
      <c r="D1">
        <f>InfoInicial!E1</f>
        <v>4</v>
      </c>
      <c r="E1" s="4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5.75" customHeight="1">
      <c r="A2" s="655" t="s">
        <v>623</v>
      </c>
      <c r="B2" s="271"/>
      <c r="C2" s="271"/>
      <c r="D2" s="272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2.75" customHeight="1">
      <c r="A3" s="273" t="s">
        <v>227</v>
      </c>
      <c r="B3" s="853" t="s">
        <v>95</v>
      </c>
      <c r="C3" s="853" t="s">
        <v>83</v>
      </c>
      <c r="D3" s="92" t="s">
        <v>211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2.75" customHeight="1">
      <c r="A4" s="51" t="s">
        <v>625</v>
      </c>
      <c r="B4" s="289"/>
      <c r="C4" s="289"/>
      <c r="D4" s="446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80"/>
      <c r="B5" s="289"/>
      <c r="C5" s="289"/>
      <c r="D5" s="446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80" t="s">
        <v>626</v>
      </c>
      <c r="B6" s="289">
        <f>'E-Inv AF y Am'!B20</f>
        <v>17120278.42</v>
      </c>
      <c r="C6" s="279">
        <v>0.0</v>
      </c>
      <c r="D6" s="446">
        <f t="shared" ref="D6:D10" si="1">B6+C6</f>
        <v>17120278.42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80" t="s">
        <v>627</v>
      </c>
      <c r="B7" s="289">
        <f>'E-Inv AF y Am'!B31</f>
        <v>2201099.77</v>
      </c>
      <c r="C7" s="289">
        <f>'E-Inv AF y Am'!C31</f>
        <v>4367863.602</v>
      </c>
      <c r="D7" s="446">
        <f t="shared" si="1"/>
        <v>6568963.372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51" t="s">
        <v>628</v>
      </c>
      <c r="B8" s="289">
        <f>B6+B7</f>
        <v>19321378.19</v>
      </c>
      <c r="C8" s="289">
        <f>C7+C6</f>
        <v>4367863.602</v>
      </c>
      <c r="D8" s="446">
        <f t="shared" si="1"/>
        <v>23689241.79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847" t="s">
        <v>629</v>
      </c>
      <c r="B9" s="289">
        <f t="shared" ref="B9:C9" si="2">B8*0.21</f>
        <v>4057489.42</v>
      </c>
      <c r="C9" s="289">
        <f t="shared" si="2"/>
        <v>917251.3564</v>
      </c>
      <c r="D9" s="446">
        <f t="shared" si="1"/>
        <v>4974740.776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51" t="s">
        <v>630</v>
      </c>
      <c r="B10" s="289">
        <f t="shared" ref="B10:C10" si="3">B8+B9</f>
        <v>23378867.61</v>
      </c>
      <c r="C10" s="289">
        <f t="shared" si="3"/>
        <v>5285114.958</v>
      </c>
      <c r="D10" s="446">
        <f t="shared" si="1"/>
        <v>28663982.57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51" t="s">
        <v>631</v>
      </c>
      <c r="B11" s="289"/>
      <c r="C11" s="289"/>
      <c r="D11" s="446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847" t="s">
        <v>632</v>
      </c>
      <c r="B12" s="279">
        <f>'E-InvAT'!B6</f>
        <v>5350800</v>
      </c>
      <c r="C12" s="279">
        <f>'E-InvAT'!C6</f>
        <v>6688500</v>
      </c>
      <c r="D12" s="446">
        <f t="shared" ref="D12:D15" si="4">B12+C12</f>
        <v>12039300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80" t="s">
        <v>633</v>
      </c>
      <c r="B13" s="289">
        <f>'E-InvAT'!B7</f>
        <v>0</v>
      </c>
      <c r="C13" s="289">
        <f>'E-InvAT'!C7</f>
        <v>27486986.3</v>
      </c>
      <c r="D13" s="446">
        <f t="shared" si="4"/>
        <v>27486986.3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80" t="s">
        <v>634</v>
      </c>
      <c r="B14" s="289">
        <f>'E-InvAT'!B9</f>
        <v>12478362.11</v>
      </c>
      <c r="C14" s="289">
        <f>'E-InvAT'!C9</f>
        <v>57171610.41</v>
      </c>
      <c r="D14" s="446">
        <f t="shared" si="4"/>
        <v>69649972.52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51" t="s">
        <v>635</v>
      </c>
      <c r="B15" s="289">
        <f t="shared" ref="B15:C15" si="5">B12+B13+B14</f>
        <v>17829162.11</v>
      </c>
      <c r="C15" s="289">
        <f t="shared" si="5"/>
        <v>91347096.71</v>
      </c>
      <c r="D15" s="446">
        <f t="shared" si="4"/>
        <v>109176258.8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80" t="s">
        <v>287</v>
      </c>
      <c r="B16" s="289"/>
      <c r="C16" s="289"/>
      <c r="D16" s="446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80" t="s">
        <v>636</v>
      </c>
      <c r="B17" s="289"/>
      <c r="C17" s="289">
        <f>'E-InvAT'!C17+'E-InvAT'!C18</f>
        <v>2359354.444</v>
      </c>
      <c r="D17" s="446">
        <f t="shared" ref="D17:D23" si="6">B17+C17</f>
        <v>2359354.444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80" t="s">
        <v>637</v>
      </c>
      <c r="B18" s="289"/>
      <c r="C18" s="289">
        <f>('E-Inv AF y Am'!D56+('Apertura Financiera'!D37+'Apertura Financiera'!G37)/3-C17)*30/365</f>
        <v>82202.26743</v>
      </c>
      <c r="D18" s="446">
        <f t="shared" si="6"/>
        <v>82202.26743</v>
      </c>
      <c r="E18" s="855" t="s">
        <v>638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80" t="s">
        <v>639</v>
      </c>
      <c r="B19" s="289"/>
      <c r="C19" s="289">
        <f>('F-CRes'!B14/'E-Costos'!B87)*'E-InvAT'!C7</f>
        <v>3158050.99</v>
      </c>
      <c r="D19" s="446">
        <f t="shared" si="6"/>
        <v>3158050.99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51" t="s">
        <v>640</v>
      </c>
      <c r="B20" s="289">
        <f>B15</f>
        <v>17829162.11</v>
      </c>
      <c r="C20" s="289">
        <f>C15-C17-C18-C19</f>
        <v>85747489.01</v>
      </c>
      <c r="D20" s="446">
        <f t="shared" si="6"/>
        <v>103576651.1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80" t="s">
        <v>531</v>
      </c>
      <c r="B21" s="289">
        <f>'E-InvAT'!B34</f>
        <v>2620456.043</v>
      </c>
      <c r="C21" s="289">
        <f>'E-InvAT'!C34</f>
        <v>15543346.63</v>
      </c>
      <c r="D21" s="446">
        <f t="shared" si="6"/>
        <v>18163802.67</v>
      </c>
      <c r="E21" s="855" t="s">
        <v>641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51" t="s">
        <v>642</v>
      </c>
      <c r="B22" s="856">
        <f t="shared" ref="B22:C22" si="7">B15+B21</f>
        <v>20449618.15</v>
      </c>
      <c r="C22" s="856">
        <f t="shared" si="7"/>
        <v>106890443.3</v>
      </c>
      <c r="D22" s="446">
        <f t="shared" si="6"/>
        <v>127340061.5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51" t="s">
        <v>643</v>
      </c>
      <c r="B23" s="289">
        <f t="shared" ref="B23:C23" si="8">B20+B21</f>
        <v>20449618.15</v>
      </c>
      <c r="C23" s="289">
        <f t="shared" si="8"/>
        <v>101290835.6</v>
      </c>
      <c r="D23" s="446">
        <f t="shared" si="6"/>
        <v>121740453.8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51" t="s">
        <v>644</v>
      </c>
      <c r="B24" s="289"/>
      <c r="C24" s="289"/>
      <c r="D24" s="446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80" t="s">
        <v>645</v>
      </c>
      <c r="B25" s="289">
        <f t="shared" ref="B25:C25" si="9">B10</f>
        <v>23378867.61</v>
      </c>
      <c r="C25" s="289">
        <f t="shared" si="9"/>
        <v>5285114.958</v>
      </c>
      <c r="D25" s="446">
        <f t="shared" ref="D25:D27" si="11">B25+C25</f>
        <v>28663982.57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80" t="s">
        <v>646</v>
      </c>
      <c r="B26" s="289">
        <f t="shared" ref="B26:C26" si="10">B23</f>
        <v>20449618.15</v>
      </c>
      <c r="C26" s="289">
        <f t="shared" si="10"/>
        <v>101290835.6</v>
      </c>
      <c r="D26" s="446">
        <f t="shared" si="11"/>
        <v>121740453.8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51" t="s">
        <v>647</v>
      </c>
      <c r="B27" s="289">
        <f t="shared" ref="B27:C27" si="12">B25+B26</f>
        <v>43828485.76</v>
      </c>
      <c r="C27" s="289">
        <f t="shared" si="12"/>
        <v>106575950.6</v>
      </c>
      <c r="D27" s="446">
        <f t="shared" si="11"/>
        <v>150404436.4</v>
      </c>
      <c r="E27" s="857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51" t="s">
        <v>648</v>
      </c>
      <c r="B28" s="289"/>
      <c r="C28" s="289"/>
      <c r="D28" s="446"/>
      <c r="E28" s="858" t="s">
        <v>649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51" t="s">
        <v>650</v>
      </c>
      <c r="B29" s="289">
        <f>'Apertura Financiera'!B53</f>
        <v>0</v>
      </c>
      <c r="C29" s="289">
        <f>'Apertura Financiera'!B54</f>
        <v>12333150.46</v>
      </c>
      <c r="D29" s="446">
        <f t="shared" ref="D29:D32" si="13">B29+C29</f>
        <v>12333150.46</v>
      </c>
      <c r="E29" s="781">
        <f>D29/D32</f>
        <v>0.08199991144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51" t="s">
        <v>652</v>
      </c>
      <c r="B30" s="289">
        <f>'Apertura Financiera'!B36</f>
        <v>8974897.295</v>
      </c>
      <c r="C30" s="279">
        <v>0.0</v>
      </c>
      <c r="D30" s="446">
        <f t="shared" si="13"/>
        <v>8974897.295</v>
      </c>
      <c r="E30" s="781">
        <f>D30/D32</f>
        <v>0.0596717591</v>
      </c>
      <c r="F30" s="363" t="s">
        <v>654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51" t="s">
        <v>655</v>
      </c>
      <c r="B31" s="289">
        <f>B32-B30-B29</f>
        <v>34853588.47</v>
      </c>
      <c r="C31" s="289">
        <f>C32-C29-C30</f>
        <v>94242800.14</v>
      </c>
      <c r="D31" s="446">
        <f t="shared" si="13"/>
        <v>129096388.6</v>
      </c>
      <c r="E31" s="781">
        <f>D31/D32</f>
        <v>0.8583283295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849" t="s">
        <v>211</v>
      </c>
      <c r="B32" s="487">
        <f t="shared" ref="B32:C32" si="14">B27</f>
        <v>43828485.76</v>
      </c>
      <c r="C32" s="487">
        <f t="shared" si="14"/>
        <v>106575950.6</v>
      </c>
      <c r="D32" s="446">
        <f t="shared" si="13"/>
        <v>150404436.4</v>
      </c>
      <c r="E32" s="862">
        <f>E29+E30+E31</f>
        <v>1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5.75" customHeight="1">
      <c r="A34" s="655" t="s">
        <v>658</v>
      </c>
      <c r="B34" s="271"/>
      <c r="C34" s="271"/>
      <c r="D34" s="271"/>
      <c r="E34" s="271"/>
      <c r="F34" s="271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273" t="s">
        <v>227</v>
      </c>
      <c r="B35" s="91" t="s">
        <v>83</v>
      </c>
      <c r="C35" s="91" t="s">
        <v>228</v>
      </c>
      <c r="D35" s="91" t="s">
        <v>229</v>
      </c>
      <c r="E35" s="91" t="s">
        <v>230</v>
      </c>
      <c r="F35" s="91" t="s">
        <v>231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95" t="s">
        <v>414</v>
      </c>
      <c r="B36" s="98">
        <f>'E-Costos'!B130</f>
        <v>214128931.5</v>
      </c>
      <c r="C36" s="98">
        <f>'E-Costos'!C130</f>
        <v>250267520.4</v>
      </c>
      <c r="D36" s="98">
        <f>'E-Costos'!D130</f>
        <v>250267520.4</v>
      </c>
      <c r="E36" s="98">
        <f>'E-Costos'!E130</f>
        <v>250267562.3</v>
      </c>
      <c r="F36" s="98">
        <f>'E-Costos'!F130</f>
        <v>250267562.3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188" t="s">
        <v>412</v>
      </c>
      <c r="B37" s="98">
        <f>'E-Costos'!B129</f>
        <v>3787443.288</v>
      </c>
      <c r="C37" s="98">
        <f>'E-Costos'!C129</f>
        <v>4016557.751</v>
      </c>
      <c r="D37" s="98">
        <f>'E-Costos'!D129</f>
        <v>4016557.751</v>
      </c>
      <c r="E37" s="98">
        <f>'E-Costos'!E129</f>
        <v>3772990.587</v>
      </c>
      <c r="F37" s="98">
        <f>'E-Costos'!F129</f>
        <v>3772990.587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95" t="s">
        <v>418</v>
      </c>
      <c r="B38" s="98">
        <f>'E-Costos'!B132</f>
        <v>0</v>
      </c>
      <c r="C38" s="98">
        <f>'E-Costos'!C132</f>
        <v>0</v>
      </c>
      <c r="D38" s="98">
        <f>'E-Costos'!D132</f>
        <v>0</v>
      </c>
      <c r="E38" s="98">
        <f>'E-Costos'!E132</f>
        <v>0</v>
      </c>
      <c r="F38" s="98">
        <f>'E-Costos'!F132</f>
        <v>0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188" t="s">
        <v>417</v>
      </c>
      <c r="B39" s="98">
        <f>'E-Costos'!B131</f>
        <v>45143404.43</v>
      </c>
      <c r="C39" s="98">
        <f>'E-Costos'!C131</f>
        <v>45957568.44</v>
      </c>
      <c r="D39" s="98">
        <f>'E-Costos'!D131</f>
        <v>45957568.44</v>
      </c>
      <c r="E39" s="98">
        <f>'E-Costos'!E131</f>
        <v>45964240.14</v>
      </c>
      <c r="F39" s="98">
        <f>'E-Costos'!F131</f>
        <v>45964240.14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95" t="s">
        <v>421</v>
      </c>
      <c r="B40" s="98">
        <f>'E-Costos'!B134</f>
        <v>10068748.36</v>
      </c>
      <c r="C40" s="98">
        <f>'E-Costos'!C134</f>
        <v>11872125</v>
      </c>
      <c r="D40" s="98">
        <f>'E-Costos'!D134</f>
        <v>11872125</v>
      </c>
      <c r="E40" s="98">
        <f>'E-Costos'!E134</f>
        <v>11872123.72</v>
      </c>
      <c r="F40" s="98">
        <f>'E-Costos'!F134</f>
        <v>11872125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188" t="s">
        <v>419</v>
      </c>
      <c r="B41" s="98">
        <f>'E-Costos'!B133</f>
        <v>2852326.66</v>
      </c>
      <c r="C41" s="98">
        <f>'E-Costos'!C133</f>
        <v>3084405.346</v>
      </c>
      <c r="D41" s="98">
        <f>'E-Costos'!D133</f>
        <v>3084405.346</v>
      </c>
      <c r="E41" s="98">
        <f>'E-Costos'!E133</f>
        <v>3089292.327</v>
      </c>
      <c r="F41" s="98">
        <f>'E-Costos'!F133</f>
        <v>3089291.047</v>
      </c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188" t="s">
        <v>665</v>
      </c>
      <c r="B42" s="98">
        <f>'F-CRes'!B10</f>
        <v>2080264.443</v>
      </c>
      <c r="C42" s="98">
        <f>'F-CRes'!C10</f>
        <v>2020165.463</v>
      </c>
      <c r="D42" s="98">
        <f>'F-CRes'!D10</f>
        <v>1713403.473</v>
      </c>
      <c r="E42" s="98">
        <f>'F-CRes'!E10</f>
        <v>1028947.889</v>
      </c>
      <c r="F42" s="98">
        <f>'F-CRes'!F10</f>
        <v>722993.6402</v>
      </c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95" t="s">
        <v>423</v>
      </c>
      <c r="B43" s="98">
        <f>'E-Costos'!B87-B36-B38-B40</f>
        <v>110227320.2</v>
      </c>
      <c r="C43" s="98">
        <f>'E-Costos'!C87-C36-C38-C40</f>
        <v>132397854.6</v>
      </c>
      <c r="D43" s="98">
        <f>'E-Costos'!D87-D36-D38-D40</f>
        <v>132397854.6</v>
      </c>
      <c r="E43" s="98">
        <f>'E-Costos'!E87-E36-E38-E40</f>
        <v>132397814</v>
      </c>
      <c r="F43" s="98">
        <f>'E-Costos'!F87-F36-F38-F40</f>
        <v>132397812.7</v>
      </c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126" t="s">
        <v>424</v>
      </c>
      <c r="B44" s="866">
        <f t="shared" ref="B44:F44" si="15">(B37+B39+B41+B42)/B43</f>
        <v>0.4886577913</v>
      </c>
      <c r="C44" s="866">
        <f t="shared" si="15"/>
        <v>0.4160089841</v>
      </c>
      <c r="D44" s="866">
        <f t="shared" si="15"/>
        <v>0.4136920131</v>
      </c>
      <c r="E44" s="866">
        <f t="shared" si="15"/>
        <v>0.4067700917</v>
      </c>
      <c r="F44" s="866">
        <f t="shared" si="15"/>
        <v>0.4044592151</v>
      </c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5.75" customHeight="1">
      <c r="A45" s="577" t="s">
        <v>667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580" t="s">
        <v>83</v>
      </c>
      <c r="B47" s="582"/>
      <c r="C47" s="582"/>
      <c r="D47" s="582"/>
      <c r="E47" s="584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585" t="s">
        <v>21</v>
      </c>
      <c r="B48" s="587" t="s">
        <v>430</v>
      </c>
      <c r="C48" s="867" t="s">
        <v>431</v>
      </c>
      <c r="D48" s="867" t="s">
        <v>432</v>
      </c>
      <c r="E48" s="867" t="s">
        <v>433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502">
        <v>0.0</v>
      </c>
      <c r="B49" s="591">
        <f t="shared" ref="B49:B65" si="16">$B$37+$B$39+$B$41+$B$42</f>
        <v>53863438.82</v>
      </c>
      <c r="C49" s="868">
        <f>A49*($B$36+$B$38+$B$40)/'E-Costos'!$B$85</f>
        <v>0</v>
      </c>
      <c r="D49" s="868">
        <f t="shared" ref="D49:D65" si="17">B49+C49</f>
        <v>53863438.82</v>
      </c>
      <c r="E49" s="869">
        <f>A49*'E-Costos'!$B$86</f>
        <v>0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870">
        <v>1000000.0</v>
      </c>
      <c r="B50" s="591">
        <f t="shared" si="16"/>
        <v>53863438.82</v>
      </c>
      <c r="C50" s="868">
        <f>A50*($B$36+$B$38+$B$40)/'E-Costos'!$B$85</f>
        <v>9385564.828</v>
      </c>
      <c r="D50" s="868">
        <f t="shared" si="17"/>
        <v>63249003.65</v>
      </c>
      <c r="E50" s="869">
        <f>A50*'E-Costos'!$B$86</f>
        <v>14000000</v>
      </c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71">
        <v>2000000.0</v>
      </c>
      <c r="B51" s="591">
        <f t="shared" si="16"/>
        <v>53863438.82</v>
      </c>
      <c r="C51" s="868">
        <f>A51*($B$36+$B$38+$B$40)/'E-Costos'!$B$85</f>
        <v>18771129.66</v>
      </c>
      <c r="D51" s="868">
        <f t="shared" si="17"/>
        <v>72634568.47</v>
      </c>
      <c r="E51" s="869">
        <f>A51*'E-Costos'!$B$86</f>
        <v>28000000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70">
        <v>3000000.0</v>
      </c>
      <c r="B52" s="591">
        <f t="shared" si="16"/>
        <v>53863438.82</v>
      </c>
      <c r="C52" s="868">
        <f>A52*($B$36+$B$38+$B$40)/'E-Costos'!$B$85</f>
        <v>28156694.48</v>
      </c>
      <c r="D52" s="868">
        <f t="shared" si="17"/>
        <v>82020133.3</v>
      </c>
      <c r="E52" s="869">
        <f>A52*'E-Costos'!$B$86</f>
        <v>42000000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71">
        <v>4000000.0</v>
      </c>
      <c r="B53" s="591">
        <f t="shared" si="16"/>
        <v>53863438.82</v>
      </c>
      <c r="C53" s="868">
        <f>A53*($B$36+$B$38+$B$40)/'E-Costos'!$B$85</f>
        <v>37542259.31</v>
      </c>
      <c r="D53" s="868">
        <f t="shared" si="17"/>
        <v>91405698.13</v>
      </c>
      <c r="E53" s="869">
        <f>A53*'E-Costos'!$B$86</f>
        <v>56000000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70">
        <v>5000000.0</v>
      </c>
      <c r="B54" s="591">
        <f t="shared" si="16"/>
        <v>53863438.82</v>
      </c>
      <c r="C54" s="868">
        <f>A54*($B$36+$B$38+$B$40)/'E-Costos'!$B$85</f>
        <v>46927824.14</v>
      </c>
      <c r="D54" s="868">
        <f t="shared" si="17"/>
        <v>100791263</v>
      </c>
      <c r="E54" s="869">
        <f>A54*'E-Costos'!$B$86</f>
        <v>70000000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71">
        <v>6000000.0</v>
      </c>
      <c r="B55" s="591">
        <f t="shared" si="16"/>
        <v>53863438.82</v>
      </c>
      <c r="C55" s="868">
        <f>A55*($B$36+$B$38+$B$40)/'E-Costos'!$B$85</f>
        <v>56313388.97</v>
      </c>
      <c r="D55" s="868">
        <f t="shared" si="17"/>
        <v>110176827.8</v>
      </c>
      <c r="E55" s="869">
        <f>A55*'E-Costos'!$B$86</f>
        <v>84000000</v>
      </c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70">
        <v>7000000.0</v>
      </c>
      <c r="B56" s="591">
        <f t="shared" si="16"/>
        <v>53863438.82</v>
      </c>
      <c r="C56" s="868">
        <f>A56*($B$36+$B$38+$B$40)/'E-Costos'!$B$85</f>
        <v>65698953.8</v>
      </c>
      <c r="D56" s="868">
        <f t="shared" si="17"/>
        <v>119562392.6</v>
      </c>
      <c r="E56" s="869">
        <f>A56*'E-Costos'!$B$86</f>
        <v>98000000</v>
      </c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71">
        <v>8000000.0</v>
      </c>
      <c r="B57" s="591">
        <f t="shared" si="16"/>
        <v>53863438.82</v>
      </c>
      <c r="C57" s="868">
        <f>A57*($B$36+$B$38+$B$40)/'E-Costos'!$B$85</f>
        <v>75084518.62</v>
      </c>
      <c r="D57" s="868">
        <f t="shared" si="17"/>
        <v>128947957.4</v>
      </c>
      <c r="E57" s="869">
        <f>A57*'E-Costos'!$B$86</f>
        <v>112000000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70">
        <v>9000000.0</v>
      </c>
      <c r="B58" s="591">
        <f t="shared" si="16"/>
        <v>53863438.82</v>
      </c>
      <c r="C58" s="868">
        <f>A58*($B$36+$B$38+$B$40)/'E-Costos'!$B$85</f>
        <v>84470083.45</v>
      </c>
      <c r="D58" s="868">
        <f t="shared" si="17"/>
        <v>138333522.3</v>
      </c>
      <c r="E58" s="869">
        <f>A58*'E-Costos'!$B$86</f>
        <v>126000000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71">
        <v>1.0E7</v>
      </c>
      <c r="B59" s="591">
        <f t="shared" si="16"/>
        <v>53863438.82</v>
      </c>
      <c r="C59" s="868">
        <f>A59*($B$36+$B$38+$B$40)/'E-Costos'!$B$85</f>
        <v>93855648.28</v>
      </c>
      <c r="D59" s="868">
        <f t="shared" si="17"/>
        <v>147719087.1</v>
      </c>
      <c r="E59" s="869">
        <f>A59*'E-Costos'!$B$86</f>
        <v>140000000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70">
        <v>1.1E7</v>
      </c>
      <c r="B60" s="591">
        <f t="shared" si="16"/>
        <v>53863438.82</v>
      </c>
      <c r="C60" s="868">
        <f>A60*($B$36+$B$38+$B$40)/'E-Costos'!$B$85</f>
        <v>103241213.1</v>
      </c>
      <c r="D60" s="868">
        <f t="shared" si="17"/>
        <v>157104651.9</v>
      </c>
      <c r="E60" s="869">
        <f>A60*'E-Costos'!$B$86</f>
        <v>154000000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71">
        <v>1.2E7</v>
      </c>
      <c r="B61" s="591">
        <f t="shared" si="16"/>
        <v>53863438.82</v>
      </c>
      <c r="C61" s="868">
        <f>A61*($B$36+$B$38+$B$40)/'E-Costos'!$B$85</f>
        <v>112626777.9</v>
      </c>
      <c r="D61" s="868">
        <f t="shared" si="17"/>
        <v>166490216.8</v>
      </c>
      <c r="E61" s="869">
        <f>A61*'E-Costos'!$B$86</f>
        <v>168000000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70">
        <v>1.3E7</v>
      </c>
      <c r="B62" s="591">
        <f t="shared" si="16"/>
        <v>53863438.82</v>
      </c>
      <c r="C62" s="868">
        <f>A62*($B$36+$B$38+$B$40)/'E-Costos'!$B$85</f>
        <v>122012342.8</v>
      </c>
      <c r="D62" s="868">
        <f t="shared" si="17"/>
        <v>175875781.6</v>
      </c>
      <c r="E62" s="869">
        <f>A62*'E-Costos'!$B$86</f>
        <v>182000000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71">
        <v>1.4E7</v>
      </c>
      <c r="B63" s="591">
        <f t="shared" si="16"/>
        <v>53863438.82</v>
      </c>
      <c r="C63" s="868">
        <f>A63*($B$36+$B$38+$B$40)/'E-Costos'!$B$85</f>
        <v>131397907.6</v>
      </c>
      <c r="D63" s="868">
        <f t="shared" si="17"/>
        <v>185261346.4</v>
      </c>
      <c r="E63" s="869">
        <f>A63*'E-Costos'!$B$86</f>
        <v>196000000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70">
        <v>1.5E7</v>
      </c>
      <c r="B64" s="591">
        <f t="shared" si="16"/>
        <v>53863438.82</v>
      </c>
      <c r="C64" s="868">
        <f>A64*($B$36+$B$38+$B$40)/'E-Costos'!$B$85</f>
        <v>140783472.4</v>
      </c>
      <c r="D64" s="868">
        <f t="shared" si="17"/>
        <v>194646911.2</v>
      </c>
      <c r="E64" s="869">
        <f>A64*'E-Costos'!$B$86</f>
        <v>210000000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71">
        <v>1.6E7</v>
      </c>
      <c r="B65" s="591">
        <f t="shared" si="16"/>
        <v>53863438.82</v>
      </c>
      <c r="C65" s="868">
        <f>A65*($B$36+$B$38+$B$40)/'E-Costos'!$B$85</f>
        <v>150169037.2</v>
      </c>
      <c r="D65" s="868">
        <f t="shared" si="17"/>
        <v>204032476.1</v>
      </c>
      <c r="E65" s="869">
        <f>A65*'E-Costos'!$B$86</f>
        <v>224000000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616" t="s">
        <v>450</v>
      </c>
      <c r="B66" s="617">
        <f>($B$37+$B$39+$B$41+$B$42)/(B43/'E-Costos'!B87)</f>
        <v>163419381.9</v>
      </c>
      <c r="C66" s="582"/>
      <c r="D66" s="619" t="s">
        <v>454</v>
      </c>
      <c r="E66" s="877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492"/>
      <c r="B67" s="492"/>
      <c r="C67" s="492"/>
      <c r="D67" s="492"/>
      <c r="E67" s="492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580" t="s">
        <v>231</v>
      </c>
      <c r="B68" s="582"/>
      <c r="C68" s="582"/>
      <c r="D68" s="582"/>
      <c r="E68" s="584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585" t="s">
        <v>21</v>
      </c>
      <c r="B69" s="587" t="s">
        <v>430</v>
      </c>
      <c r="C69" s="587" t="s">
        <v>431</v>
      </c>
      <c r="D69" s="587" t="s">
        <v>432</v>
      </c>
      <c r="E69" s="587" t="s">
        <v>433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502">
        <v>0.0</v>
      </c>
      <c r="B70" s="591">
        <f t="shared" ref="B70:B86" si="18">$F$37+$F$39+$F$41+$F$42</f>
        <v>53549515.42</v>
      </c>
      <c r="C70" s="624">
        <f>A70*($F$36+$F$38+$F$40)/'E-Costos'!$F$85</f>
        <v>0</v>
      </c>
      <c r="D70" s="868">
        <f t="shared" ref="D70:D86" si="19">B70+C70</f>
        <v>53549515.42</v>
      </c>
      <c r="E70" s="878">
        <f>A70*'E-Costos'!$F$86</f>
        <v>0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70">
        <v>1000000.0</v>
      </c>
      <c r="B71" s="591">
        <f t="shared" si="18"/>
        <v>53549515.42</v>
      </c>
      <c r="C71" s="624">
        <f>A71*($F$36+$F$38+$F$40)/'E-Costos'!$F$85</f>
        <v>9301918.378</v>
      </c>
      <c r="D71" s="868">
        <f t="shared" si="19"/>
        <v>62851433.79</v>
      </c>
      <c r="E71" s="878">
        <f>A71*'E-Costos'!$F$86</f>
        <v>14000000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71">
        <v>2000000.0</v>
      </c>
      <c r="B72" s="591">
        <f t="shared" si="18"/>
        <v>53549515.42</v>
      </c>
      <c r="C72" s="624">
        <f>A72*($F$36+$F$38+$F$40)/'E-Costos'!$F$85</f>
        <v>18603836.76</v>
      </c>
      <c r="D72" s="868">
        <f t="shared" si="19"/>
        <v>72153352.17</v>
      </c>
      <c r="E72" s="878">
        <f>A72*'E-Costos'!$F$86</f>
        <v>28000000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70">
        <v>3000000.0</v>
      </c>
      <c r="B73" s="591">
        <f t="shared" si="18"/>
        <v>53549515.42</v>
      </c>
      <c r="C73" s="624">
        <f>A73*($F$36+$F$38+$F$40)/'E-Costos'!$F$85</f>
        <v>27905755.13</v>
      </c>
      <c r="D73" s="868">
        <f t="shared" si="19"/>
        <v>81455270.55</v>
      </c>
      <c r="E73" s="878">
        <f>A73*'E-Costos'!$F$86</f>
        <v>42000000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71">
        <v>4000000.0</v>
      </c>
      <c r="B74" s="591">
        <f t="shared" si="18"/>
        <v>53549515.42</v>
      </c>
      <c r="C74" s="624">
        <f>A74*($F$36+$F$38+$F$40)/'E-Costos'!$F$85</f>
        <v>37207673.51</v>
      </c>
      <c r="D74" s="868">
        <f t="shared" si="19"/>
        <v>90757188.93</v>
      </c>
      <c r="E74" s="878">
        <f>A74*'E-Costos'!$F$86</f>
        <v>56000000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70">
        <v>5000000.0</v>
      </c>
      <c r="B75" s="591">
        <f t="shared" si="18"/>
        <v>53549515.42</v>
      </c>
      <c r="C75" s="624">
        <f>A75*($F$36+$F$38+$F$40)/'E-Costos'!$F$85</f>
        <v>46509591.89</v>
      </c>
      <c r="D75" s="868">
        <f t="shared" si="19"/>
        <v>100059107.3</v>
      </c>
      <c r="E75" s="878">
        <f>A75*'E-Costos'!$F$86</f>
        <v>70000000</v>
      </c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71">
        <v>6000000.0</v>
      </c>
      <c r="B76" s="591">
        <f t="shared" si="18"/>
        <v>53549515.42</v>
      </c>
      <c r="C76" s="624">
        <f>A76*($F$36+$F$38+$F$40)/'E-Costos'!$F$85</f>
        <v>55811510.27</v>
      </c>
      <c r="D76" s="868">
        <f t="shared" si="19"/>
        <v>109361025.7</v>
      </c>
      <c r="E76" s="878">
        <f>A76*'E-Costos'!$F$86</f>
        <v>84000000</v>
      </c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70">
        <v>7000000.0</v>
      </c>
      <c r="B77" s="591">
        <f t="shared" si="18"/>
        <v>53549515.42</v>
      </c>
      <c r="C77" s="624">
        <f>A77*($F$36+$F$38+$F$40)/'E-Costos'!$F$85</f>
        <v>65113428.64</v>
      </c>
      <c r="D77" s="868">
        <f t="shared" si="19"/>
        <v>118662944.1</v>
      </c>
      <c r="E77" s="878">
        <f>A77*'E-Costos'!$F$86</f>
        <v>98000000</v>
      </c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71">
        <v>8000000.0</v>
      </c>
      <c r="B78" s="591">
        <f t="shared" si="18"/>
        <v>53549515.42</v>
      </c>
      <c r="C78" s="624">
        <f>A78*($F$36+$F$38+$F$40)/'E-Costos'!$F$85</f>
        <v>74415347.02</v>
      </c>
      <c r="D78" s="868">
        <f t="shared" si="19"/>
        <v>127964862.4</v>
      </c>
      <c r="E78" s="878">
        <f>A78*'E-Costos'!$F$86</f>
        <v>112000000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70">
        <v>9000000.0</v>
      </c>
      <c r="B79" s="591">
        <f t="shared" si="18"/>
        <v>53549515.42</v>
      </c>
      <c r="C79" s="624">
        <f>A79*($F$36+$F$38+$F$40)/'E-Costos'!$F$85</f>
        <v>83717265.4</v>
      </c>
      <c r="D79" s="868">
        <f t="shared" si="19"/>
        <v>137266780.8</v>
      </c>
      <c r="E79" s="878">
        <f>A79*'E-Costos'!$F$86</f>
        <v>126000000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71">
        <v>1.0E7</v>
      </c>
      <c r="B80" s="591">
        <f t="shared" si="18"/>
        <v>53549515.42</v>
      </c>
      <c r="C80" s="624">
        <f>A80*($F$36+$F$38+$F$40)/'E-Costos'!$F$85</f>
        <v>93019183.78</v>
      </c>
      <c r="D80" s="868">
        <f t="shared" si="19"/>
        <v>146568699.2</v>
      </c>
      <c r="E80" s="878">
        <f>A80*'E-Costos'!$F$86</f>
        <v>140000000</v>
      </c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70">
        <v>1.1E7</v>
      </c>
      <c r="B81" s="591">
        <f t="shared" si="18"/>
        <v>53549515.42</v>
      </c>
      <c r="C81" s="624">
        <f>A81*($F$36+$F$38+$F$40)/'E-Costos'!$F$85</f>
        <v>102321102.2</v>
      </c>
      <c r="D81" s="868">
        <f t="shared" si="19"/>
        <v>155870617.6</v>
      </c>
      <c r="E81" s="878">
        <f>A81*'E-Costos'!$F$86</f>
        <v>154000000</v>
      </c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71">
        <v>1.2E7</v>
      </c>
      <c r="B82" s="591">
        <f t="shared" si="18"/>
        <v>53549515.42</v>
      </c>
      <c r="C82" s="624">
        <f>A82*($F$36+$F$38+$F$40)/'E-Costos'!$F$85</f>
        <v>111623020.5</v>
      </c>
      <c r="D82" s="868">
        <f t="shared" si="19"/>
        <v>165172535.9</v>
      </c>
      <c r="E82" s="878">
        <f>A82*'E-Costos'!$F$86</f>
        <v>168000000</v>
      </c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70">
        <v>1.3E7</v>
      </c>
      <c r="B83" s="591">
        <f t="shared" si="18"/>
        <v>53549515.42</v>
      </c>
      <c r="C83" s="624">
        <f>A83*($F$36+$F$38+$F$40)/'E-Costos'!$F$85</f>
        <v>120924938.9</v>
      </c>
      <c r="D83" s="868">
        <f t="shared" si="19"/>
        <v>174474454.3</v>
      </c>
      <c r="E83" s="878">
        <f>A83*'E-Costos'!$F$86</f>
        <v>182000000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71">
        <v>1.4E7</v>
      </c>
      <c r="B84" s="591">
        <f t="shared" si="18"/>
        <v>53549515.42</v>
      </c>
      <c r="C84" s="624">
        <f>A84*($F$36+$F$38+$F$40)/'E-Costos'!$F$85</f>
        <v>130226857.3</v>
      </c>
      <c r="D84" s="868">
        <f t="shared" si="19"/>
        <v>183776372.7</v>
      </c>
      <c r="E84" s="878">
        <f>A84*'E-Costos'!$F$86</f>
        <v>196000000</v>
      </c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70">
        <v>1.5E7</v>
      </c>
      <c r="B85" s="591">
        <f t="shared" si="18"/>
        <v>53549515.42</v>
      </c>
      <c r="C85" s="624">
        <f>A85*($F$36+$F$38+$F$40)/'E-Costos'!$F$85</f>
        <v>139528775.7</v>
      </c>
      <c r="D85" s="868">
        <f t="shared" si="19"/>
        <v>193078291.1</v>
      </c>
      <c r="E85" s="878">
        <f>A85*'E-Costos'!$F$86</f>
        <v>210000000</v>
      </c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71">
        <v>1.6E7</v>
      </c>
      <c r="B86" s="591">
        <f t="shared" si="18"/>
        <v>53549515.42</v>
      </c>
      <c r="C86" s="624">
        <f>A86*($F$36+$F$38+$F$40)/'E-Costos'!$F$85</f>
        <v>148830694</v>
      </c>
      <c r="D86" s="868">
        <f t="shared" si="19"/>
        <v>202380209.5</v>
      </c>
      <c r="E86" s="878">
        <f>A86*'E-Costos'!$F$86</f>
        <v>224000000</v>
      </c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616" t="s">
        <v>450</v>
      </c>
      <c r="B87" s="617">
        <f>(F37+F39+F41+F42)/(50-((F36+F38+F40)/'E-Costos'!F100))</f>
        <v>1315774.928</v>
      </c>
      <c r="C87" s="582"/>
      <c r="D87" s="619" t="s">
        <v>454</v>
      </c>
      <c r="E87" s="879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4">
    <mergeCell ref="A47:E47"/>
    <mergeCell ref="A68:E68"/>
    <mergeCell ref="B87:C87"/>
    <mergeCell ref="B66:C66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86"/>
    <col customWidth="1" min="2" max="2" width="13.86"/>
    <col customWidth="1" min="3" max="3" width="17.14"/>
    <col customWidth="1" min="4" max="7" width="13.86"/>
    <col customWidth="1" min="8" max="26" width="10.0"/>
  </cols>
  <sheetData>
    <row r="1" ht="12.75" customHeight="1">
      <c r="A1" s="2" t="s">
        <v>0</v>
      </c>
      <c r="E1" s="4">
        <f>InfoInicial!E1</f>
        <v>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5.75" customHeight="1">
      <c r="A2" s="655" t="s">
        <v>471</v>
      </c>
      <c r="B2" s="271"/>
      <c r="C2" s="271"/>
      <c r="D2" s="271"/>
      <c r="E2" s="271"/>
      <c r="F2" s="271"/>
      <c r="G2" s="27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5.75" customHeight="1">
      <c r="A3" s="656"/>
      <c r="B3" s="657" t="s">
        <v>472</v>
      </c>
      <c r="C3" s="657"/>
      <c r="D3" s="657"/>
      <c r="E3" s="657"/>
      <c r="F3" s="657"/>
      <c r="G3" s="658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2.75" customHeight="1">
      <c r="A4" s="659" t="s">
        <v>227</v>
      </c>
      <c r="B4" s="660" t="s">
        <v>95</v>
      </c>
      <c r="C4" s="91" t="s">
        <v>83</v>
      </c>
      <c r="D4" s="91" t="s">
        <v>228</v>
      </c>
      <c r="E4" s="91" t="s">
        <v>229</v>
      </c>
      <c r="F4" s="91" t="s">
        <v>230</v>
      </c>
      <c r="G4" s="92" t="s">
        <v>231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661" t="s">
        <v>613</v>
      </c>
      <c r="B5" s="662"/>
      <c r="C5" s="277"/>
      <c r="D5" s="277"/>
      <c r="E5" s="277"/>
      <c r="F5" s="277"/>
      <c r="G5" s="431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663" t="s">
        <v>614</v>
      </c>
      <c r="B6" s="668">
        <v>0.0</v>
      </c>
      <c r="C6" s="289">
        <f>'E-IVA '!C17</f>
        <v>37072111.92</v>
      </c>
      <c r="D6" s="289">
        <f>'E-IVA '!D17</f>
        <v>50491651.65</v>
      </c>
      <c r="E6" s="289">
        <f>'E-IVA '!E17</f>
        <v>51815148.08</v>
      </c>
      <c r="F6" s="289">
        <f>'E-IVA '!F17</f>
        <v>51815151.27</v>
      </c>
      <c r="G6" s="289">
        <f>'E-IVA '!G17</f>
        <v>51815156.88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663" t="s">
        <v>615</v>
      </c>
      <c r="B7" s="668">
        <v>0.0</v>
      </c>
      <c r="C7" s="289">
        <f>'E-IVA '!C18</f>
        <v>7701818.259</v>
      </c>
      <c r="D7" s="289">
        <f>'E-IVA '!D18</f>
        <v>7704162.402</v>
      </c>
      <c r="E7" s="289">
        <f>'E-IVA '!E18</f>
        <v>7704162.402</v>
      </c>
      <c r="F7" s="289">
        <f>'E-IVA '!F18</f>
        <v>7705465.711</v>
      </c>
      <c r="G7" s="289">
        <f>'E-IVA '!G18</f>
        <v>7705465.711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851" t="s">
        <v>616</v>
      </c>
      <c r="B8" s="668">
        <v>0.0</v>
      </c>
      <c r="C8" s="289">
        <f>'E-IVA '!C19</f>
        <v>34913.50223</v>
      </c>
      <c r="D8" s="289">
        <f>'E-IVA '!D19</f>
        <v>36346.08418</v>
      </c>
      <c r="E8" s="289">
        <f>'E-IVA '!E19</f>
        <v>36346.08418</v>
      </c>
      <c r="F8" s="289">
        <f>'E-IVA '!F19</f>
        <v>37300.50028</v>
      </c>
      <c r="G8" s="289">
        <f>'E-IVA '!G19</f>
        <v>37300.50028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851" t="s">
        <v>617</v>
      </c>
      <c r="B9" s="668">
        <v>0.0</v>
      </c>
      <c r="C9" s="289">
        <f>('F-Cred'!$G19+'F-Cred'!$I19)*0.021</f>
        <v>35753.98782</v>
      </c>
      <c r="D9" s="289">
        <f>('F-Cred'!$G19+'F-Cred'!$I19)*0.021</f>
        <v>35753.98782</v>
      </c>
      <c r="E9" s="289">
        <f>('F-Cred'!$G19+'F-Cred'!$I19)*0.021</f>
        <v>35753.98782</v>
      </c>
      <c r="F9" s="289">
        <f>('F-Cred'!$G19+'F-Cred'!$I19)*0.021</f>
        <v>35753.98782</v>
      </c>
      <c r="G9" s="289">
        <f>('F-Cred'!$G19+'F-Cred'!$I19)*0.021</f>
        <v>35753.98782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665" t="s">
        <v>618</v>
      </c>
      <c r="B10" s="852">
        <v>0.0</v>
      </c>
      <c r="C10" s="442">
        <f t="shared" ref="C10:G10" si="1">SUM(C6:C9)</f>
        <v>44844597.67</v>
      </c>
      <c r="D10" s="442">
        <f t="shared" si="1"/>
        <v>58267914.12</v>
      </c>
      <c r="E10" s="442">
        <f t="shared" si="1"/>
        <v>59591410.55</v>
      </c>
      <c r="F10" s="442">
        <f t="shared" si="1"/>
        <v>59593671.47</v>
      </c>
      <c r="G10" s="442">
        <f t="shared" si="1"/>
        <v>59593677.08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665"/>
      <c r="B11" s="664"/>
      <c r="C11" s="289"/>
      <c r="D11" s="289"/>
      <c r="E11" s="289"/>
      <c r="F11" s="289"/>
      <c r="G11" s="446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663" t="s">
        <v>482</v>
      </c>
      <c r="B12" s="668">
        <v>0.0</v>
      </c>
      <c r="C12" s="289">
        <f t="shared" ref="C12:G12" si="2">+C10</f>
        <v>44844597.67</v>
      </c>
      <c r="D12" s="289">
        <f t="shared" si="2"/>
        <v>58267914.12</v>
      </c>
      <c r="E12" s="289">
        <f t="shared" si="2"/>
        <v>59591410.55</v>
      </c>
      <c r="F12" s="289">
        <f t="shared" si="2"/>
        <v>59593671.47</v>
      </c>
      <c r="G12" s="289">
        <f t="shared" si="2"/>
        <v>59593677.08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663" t="s">
        <v>483</v>
      </c>
      <c r="B13" s="668">
        <v>0.0</v>
      </c>
      <c r="C13" s="289">
        <f>'E-IVA '!C22</f>
        <v>70229250</v>
      </c>
      <c r="D13" s="289">
        <f>'E-IVA '!D22</f>
        <v>82852875</v>
      </c>
      <c r="E13" s="289">
        <f>'E-IVA '!E22</f>
        <v>82852875</v>
      </c>
      <c r="F13" s="289">
        <f>'E-IVA '!F22</f>
        <v>82852875</v>
      </c>
      <c r="G13" s="289">
        <f>'E-IVA '!G22</f>
        <v>82852875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665" t="s">
        <v>619</v>
      </c>
      <c r="B14" s="668">
        <v>0.0</v>
      </c>
      <c r="C14" s="289">
        <f t="shared" ref="C14:G14" si="3">C13-C12</f>
        <v>25384652.33</v>
      </c>
      <c r="D14" s="289">
        <f t="shared" si="3"/>
        <v>24584960.88</v>
      </c>
      <c r="E14" s="289">
        <f t="shared" si="3"/>
        <v>23261464.45</v>
      </c>
      <c r="F14" s="289">
        <f t="shared" si="3"/>
        <v>23259203.53</v>
      </c>
      <c r="G14" s="289">
        <f t="shared" si="3"/>
        <v>23259197.92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663"/>
      <c r="B15" s="664"/>
      <c r="C15" s="289"/>
      <c r="D15" s="289"/>
      <c r="E15" s="289"/>
      <c r="F15" s="289"/>
      <c r="G15" s="446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667" t="s">
        <v>620</v>
      </c>
      <c r="B16" s="668">
        <v>0.0</v>
      </c>
      <c r="C16" s="289">
        <f t="shared" ref="C16:G16" si="4">B18</f>
        <v>6677945.463</v>
      </c>
      <c r="D16" s="289">
        <f t="shared" si="4"/>
        <v>0</v>
      </c>
      <c r="E16" s="289">
        <f t="shared" si="4"/>
        <v>0</v>
      </c>
      <c r="F16" s="289">
        <f t="shared" si="4"/>
        <v>0</v>
      </c>
      <c r="G16" s="289">
        <f t="shared" si="4"/>
        <v>0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667" t="s">
        <v>621</v>
      </c>
      <c r="B17" s="664">
        <f>'E-Cal Inv.'!B23+'E-Cal Inv.'!C23</f>
        <v>6677945.463</v>
      </c>
      <c r="C17" s="289">
        <f>'E-IVA '!C26</f>
        <v>15543346.63</v>
      </c>
      <c r="D17" s="289">
        <f>'E-IVA '!D26</f>
        <v>0</v>
      </c>
      <c r="E17" s="289">
        <f>'E-IVA '!E26</f>
        <v>0</v>
      </c>
      <c r="F17" s="289">
        <f>'E-IVA '!F26</f>
        <v>0</v>
      </c>
      <c r="G17" s="289">
        <f>'E-IVA '!G26</f>
        <v>0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665" t="s">
        <v>622</v>
      </c>
      <c r="B18" s="664">
        <f>'E-Cal Inv.'!B23+'E-Cal Inv.'!C23</f>
        <v>6677945.463</v>
      </c>
      <c r="C18" s="289">
        <f t="shared" ref="C18:G18" si="5">IF(C16+C17-C14&gt;0,C16+C17-C14,0)</f>
        <v>0</v>
      </c>
      <c r="D18" s="289">
        <f t="shared" si="5"/>
        <v>0</v>
      </c>
      <c r="E18" s="289">
        <f t="shared" si="5"/>
        <v>0</v>
      </c>
      <c r="F18" s="289">
        <f t="shared" si="5"/>
        <v>0</v>
      </c>
      <c r="G18" s="289">
        <f t="shared" si="5"/>
        <v>0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665" t="s">
        <v>624</v>
      </c>
      <c r="B19" s="668">
        <v>0.0</v>
      </c>
      <c r="C19" s="289">
        <f t="shared" ref="C19:G19" si="6">IF(C16+C17&gt;C14,C14,IF(C14-C16-C17&gt;0,C16+C17,0))</f>
        <v>22221292.09</v>
      </c>
      <c r="D19" s="289">
        <f t="shared" si="6"/>
        <v>0</v>
      </c>
      <c r="E19" s="289">
        <f t="shared" si="6"/>
        <v>0</v>
      </c>
      <c r="F19" s="289">
        <f t="shared" si="6"/>
        <v>0</v>
      </c>
      <c r="G19" s="289">
        <f t="shared" si="6"/>
        <v>0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663"/>
      <c r="B20" s="664"/>
      <c r="C20" s="289"/>
      <c r="D20" s="481"/>
      <c r="E20" s="481"/>
      <c r="F20" s="481"/>
      <c r="G20" s="854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670" t="s">
        <v>489</v>
      </c>
      <c r="B21" s="671">
        <v>0.0</v>
      </c>
      <c r="C21" s="377">
        <f t="shared" ref="C21:G21" si="7">IF(C14-C18-C19&gt;0,C14-C18-C19,0)</f>
        <v>3163360.242</v>
      </c>
      <c r="D21" s="377">
        <f t="shared" si="7"/>
        <v>24584960.88</v>
      </c>
      <c r="E21" s="377">
        <f t="shared" si="7"/>
        <v>23261464.45</v>
      </c>
      <c r="F21" s="377">
        <f t="shared" si="7"/>
        <v>23259203.53</v>
      </c>
      <c r="G21" s="377">
        <f t="shared" si="7"/>
        <v>23259197.92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86"/>
    <col customWidth="1" min="2" max="2" width="14.71"/>
    <col customWidth="1" min="3" max="3" width="17.86"/>
    <col customWidth="1" min="4" max="4" width="17.71"/>
    <col customWidth="1" min="5" max="5" width="18.43"/>
    <col customWidth="1" min="6" max="6" width="17.71"/>
    <col customWidth="1" min="7" max="7" width="14.71"/>
    <col customWidth="1" min="8" max="8" width="21.71"/>
    <col customWidth="1" min="9" max="9" width="17.29"/>
    <col customWidth="1" min="10" max="14" width="11.29"/>
    <col customWidth="1" min="15" max="26" width="10.0"/>
  </cols>
  <sheetData>
    <row r="1" ht="12.75" customHeight="1">
      <c r="A1" s="2" t="s">
        <v>0</v>
      </c>
      <c r="E1" s="4">
        <f>InfoInicial!E1</f>
        <v>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5.75" customHeight="1">
      <c r="A3" s="769" t="s">
        <v>651</v>
      </c>
      <c r="B3" s="475"/>
      <c r="C3" s="475"/>
      <c r="D3" s="475"/>
      <c r="E3" s="475"/>
      <c r="F3" s="475"/>
      <c r="G3" s="859"/>
      <c r="H3" s="477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2.75" customHeight="1">
      <c r="A4" s="97"/>
      <c r="B4" s="274" t="s">
        <v>95</v>
      </c>
      <c r="C4" s="274" t="s">
        <v>83</v>
      </c>
      <c r="D4" s="274" t="s">
        <v>228</v>
      </c>
      <c r="E4" s="274" t="s">
        <v>229</v>
      </c>
      <c r="F4" s="274" t="s">
        <v>230</v>
      </c>
      <c r="G4" s="337" t="s">
        <v>231</v>
      </c>
      <c r="H4" s="275" t="s">
        <v>211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51" t="s">
        <v>653</v>
      </c>
      <c r="B5" s="321">
        <f t="shared" ref="B5:G5" si="1">SUM(B6:B11)</f>
        <v>39341037.12</v>
      </c>
      <c r="C5" s="321">
        <f t="shared" si="1"/>
        <v>463222242.7</v>
      </c>
      <c r="D5" s="321">
        <f t="shared" si="1"/>
        <v>471310340</v>
      </c>
      <c r="E5" s="321">
        <f t="shared" si="1"/>
        <v>526189689.2</v>
      </c>
      <c r="F5" s="321">
        <f t="shared" si="1"/>
        <v>577687665.8</v>
      </c>
      <c r="G5" s="321">
        <f t="shared" si="1"/>
        <v>629343493.8</v>
      </c>
      <c r="H5" s="860">
        <f t="shared" ref="H5:H11" si="3">SUM(B5:G5)</f>
        <v>2707094469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80" t="s">
        <v>656</v>
      </c>
      <c r="B6" s="279">
        <v>0.0</v>
      </c>
      <c r="C6" s="279">
        <v>0.0</v>
      </c>
      <c r="D6" s="861">
        <f t="shared" ref="D6:G6" si="2">C27</f>
        <v>76772840.01</v>
      </c>
      <c r="E6" s="861">
        <f t="shared" si="2"/>
        <v>131652189.2</v>
      </c>
      <c r="F6" s="861">
        <f t="shared" si="2"/>
        <v>183150165.8</v>
      </c>
      <c r="G6" s="861">
        <f t="shared" si="2"/>
        <v>234805993.8</v>
      </c>
      <c r="H6" s="860">
        <f t="shared" si="3"/>
        <v>626381188.8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80" t="s">
        <v>657</v>
      </c>
      <c r="B7" s="863">
        <f>'F-2 Estructura'!B31</f>
        <v>34853588.47</v>
      </c>
      <c r="C7" s="863">
        <f>'F-2 Estructura'!C31</f>
        <v>94242800.14</v>
      </c>
      <c r="D7" s="863"/>
      <c r="E7" s="863"/>
      <c r="F7" s="547"/>
      <c r="G7" s="547"/>
      <c r="H7" s="860">
        <f t="shared" si="3"/>
        <v>129096388.6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80" t="s">
        <v>659</v>
      </c>
      <c r="B8" s="279">
        <f>'F-2 Estructura'!B29</f>
        <v>0</v>
      </c>
      <c r="C8" s="279">
        <f>'F-2 Estructura'!C29</f>
        <v>12333150.46</v>
      </c>
      <c r="D8" s="279"/>
      <c r="E8" s="279"/>
      <c r="F8" s="861"/>
      <c r="G8" s="861"/>
      <c r="H8" s="860">
        <f t="shared" si="3"/>
        <v>12333150.46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80" t="s">
        <v>660</v>
      </c>
      <c r="B9" s="863">
        <f>'F-Cred'!B13</f>
        <v>4487448.647</v>
      </c>
      <c r="C9" s="863">
        <f>'F-Cred'!C13</f>
        <v>0</v>
      </c>
      <c r="D9" s="863"/>
      <c r="E9" s="863"/>
      <c r="F9" s="547"/>
      <c r="G9" s="547"/>
      <c r="H9" s="860">
        <f t="shared" si="3"/>
        <v>4487448.647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80" t="s">
        <v>661</v>
      </c>
      <c r="B10" s="279">
        <v>0.0</v>
      </c>
      <c r="C10" s="279">
        <f>'F-CRes'!B4</f>
        <v>334425000</v>
      </c>
      <c r="D10" s="279">
        <f>'F-CRes'!C4</f>
        <v>394537500</v>
      </c>
      <c r="E10" s="279">
        <f>'F-CRes'!D4</f>
        <v>394537500</v>
      </c>
      <c r="F10" s="279">
        <f>'F-CRes'!E4</f>
        <v>394537500</v>
      </c>
      <c r="G10" s="279">
        <f>'F-CRes'!F4</f>
        <v>394537500</v>
      </c>
      <c r="H10" s="860">
        <f t="shared" si="3"/>
        <v>1912575000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80" t="s">
        <v>662</v>
      </c>
      <c r="B11" s="864">
        <f>'F-IVA'!B19</f>
        <v>0</v>
      </c>
      <c r="C11" s="864">
        <f>'F-IVA'!C19</f>
        <v>22221292.09</v>
      </c>
      <c r="D11" s="481">
        <f>'F-IVA'!D19</f>
        <v>0</v>
      </c>
      <c r="E11" s="481">
        <f>'F-IVA'!E19</f>
        <v>0</v>
      </c>
      <c r="F11" s="481">
        <f>'F-IVA'!F19</f>
        <v>0</v>
      </c>
      <c r="G11" s="481">
        <f>'F-IVA'!G19</f>
        <v>0</v>
      </c>
      <c r="H11" s="860">
        <f t="shared" si="3"/>
        <v>22221292.09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80"/>
      <c r="B12" s="289"/>
      <c r="C12" s="289"/>
      <c r="D12" s="289"/>
      <c r="E12" s="289"/>
      <c r="F12" s="289"/>
      <c r="G12" s="357"/>
      <c r="H12" s="86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51" t="s">
        <v>663</v>
      </c>
      <c r="B13" s="289">
        <f t="shared" ref="B13:G13" si="4">SUM(B14:B22)</f>
        <v>52803383.06</v>
      </c>
      <c r="C13" s="289">
        <f t="shared" si="4"/>
        <v>391226170.6</v>
      </c>
      <c r="D13" s="289">
        <f t="shared" si="4"/>
        <v>344434918.7</v>
      </c>
      <c r="E13" s="289">
        <f t="shared" si="4"/>
        <v>347816291.3</v>
      </c>
      <c r="F13" s="289">
        <f t="shared" si="4"/>
        <v>347252967.2</v>
      </c>
      <c r="G13" s="289">
        <f t="shared" si="4"/>
        <v>347052291.9</v>
      </c>
      <c r="H13" s="860">
        <f t="shared" ref="H13:H22" si="5">SUM(B13:G13)</f>
        <v>1830586023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80" t="s">
        <v>664</v>
      </c>
      <c r="B14" s="863">
        <f>'F-2 Estructura'!B8</f>
        <v>19321378.19</v>
      </c>
      <c r="C14" s="863">
        <f>'F-2 Estructura'!C8</f>
        <v>4367863.602</v>
      </c>
      <c r="D14" s="863"/>
      <c r="E14" s="863"/>
      <c r="F14" s="863"/>
      <c r="G14" s="865"/>
      <c r="H14" s="860">
        <f t="shared" si="5"/>
        <v>23689241.79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80" t="s">
        <v>593</v>
      </c>
      <c r="B15" s="289">
        <f>'E-InvAT'!B24</f>
        <v>17829162.11</v>
      </c>
      <c r="C15" s="289">
        <f>'E-InvAT'!C24</f>
        <v>73517934.6</v>
      </c>
      <c r="D15" s="289">
        <f>'E-InvAT'!D24</f>
        <v>-3544941.819</v>
      </c>
      <c r="E15" s="289">
        <f>'E-InvAT'!E24</f>
        <v>30.96547011</v>
      </c>
      <c r="F15" s="289">
        <f>'E-InvAT'!F24</f>
        <v>7217.363403</v>
      </c>
      <c r="G15" s="289">
        <f>'E-InvAT'!G24</f>
        <v>-4.744637668</v>
      </c>
      <c r="H15" s="860">
        <f t="shared" si="5"/>
        <v>87809398.48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80" t="s">
        <v>666</v>
      </c>
      <c r="B16" s="279">
        <v>0.0</v>
      </c>
      <c r="C16" s="300">
        <f>SUM('F-CRes'!B5,'F-CRes'!B8:B10)</f>
        <v>272948274.1</v>
      </c>
      <c r="D16" s="300">
        <f>SUM('F-CRes'!C5,'F-CRes'!C8:C10)</f>
        <v>317173309.7</v>
      </c>
      <c r="E16" s="300">
        <f>SUM('F-CRes'!D5,'F-CRes'!D8:D10)</f>
        <v>316911549.4</v>
      </c>
      <c r="F16" s="300">
        <f>SUM('F-CRes'!E5,'F-CRes'!E8:E10)</f>
        <v>315998732.6</v>
      </c>
      <c r="G16" s="300">
        <f>SUM('F-CRes'!F5,'F-CRes'!F8:F10)</f>
        <v>315689207.4</v>
      </c>
      <c r="H16" s="860">
        <f t="shared" si="5"/>
        <v>1538721073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80" t="s">
        <v>668</v>
      </c>
      <c r="B17" s="279">
        <v>0.0</v>
      </c>
      <c r="C17" s="300">
        <f>'F-CRes'!B13</f>
        <v>21516854.08</v>
      </c>
      <c r="D17" s="300">
        <f>'F-CRes'!C13</f>
        <v>27077466.6</v>
      </c>
      <c r="E17" s="300">
        <f>'F-CRes'!D13</f>
        <v>27169082.7</v>
      </c>
      <c r="F17" s="300">
        <f>'F-CRes'!E13</f>
        <v>27488568.6</v>
      </c>
      <c r="G17" s="300">
        <f>'F-CRes'!F13</f>
        <v>27596902.39</v>
      </c>
      <c r="H17" s="860">
        <f t="shared" si="5"/>
        <v>130848874.4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80" t="s">
        <v>669</v>
      </c>
      <c r="B18" s="547">
        <f>'F-Cred'!B15</f>
        <v>8974897.295</v>
      </c>
      <c r="C18" s="863">
        <f>'F-Cred'!$E19</f>
        <v>1794979.459</v>
      </c>
      <c r="D18" s="863">
        <f>'F-Cred'!$E21</f>
        <v>1794979.459</v>
      </c>
      <c r="E18" s="863">
        <f>'F-Cred'!$E23</f>
        <v>1794979.459</v>
      </c>
      <c r="F18" s="863">
        <f>'F-Cred'!$E25</f>
        <v>1794979.459</v>
      </c>
      <c r="G18" s="863">
        <f>'F-Cred'!$E27</f>
        <v>1794979.459</v>
      </c>
      <c r="H18" s="860">
        <f t="shared" si="5"/>
        <v>17949794.59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80" t="s">
        <v>670</v>
      </c>
      <c r="B19" s="279">
        <v>0.0</v>
      </c>
      <c r="C19" s="289">
        <f>'F-CRes'!B12</f>
        <v>1536918.149</v>
      </c>
      <c r="D19" s="289">
        <f>'F-CRes'!C12</f>
        <v>1934104.757</v>
      </c>
      <c r="E19" s="289">
        <f>'F-CRes'!D12</f>
        <v>1940648.765</v>
      </c>
      <c r="F19" s="289">
        <f>'F-CRes'!E12</f>
        <v>1963469.186</v>
      </c>
      <c r="G19" s="289">
        <f>'F-CRes'!F12</f>
        <v>1971207.314</v>
      </c>
      <c r="H19" s="860">
        <f t="shared" si="5"/>
        <v>9346348.17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80" t="s">
        <v>671</v>
      </c>
      <c r="B20" s="872">
        <v>0.0</v>
      </c>
      <c r="C20" s="872">
        <v>0.0</v>
      </c>
      <c r="D20" s="872">
        <v>0.0</v>
      </c>
      <c r="E20" s="872">
        <v>0.0</v>
      </c>
      <c r="F20" s="872">
        <v>0.0</v>
      </c>
      <c r="G20" s="872">
        <v>0.0</v>
      </c>
      <c r="H20" s="860">
        <f t="shared" si="5"/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80" t="s">
        <v>672</v>
      </c>
      <c r="B21" s="289">
        <f>'F-IVA'!B17</f>
        <v>6677945.463</v>
      </c>
      <c r="C21" s="289">
        <f>'F-IVA'!C17</f>
        <v>15543346.63</v>
      </c>
      <c r="D21" s="289">
        <f>'F-IVA'!D17</f>
        <v>0</v>
      </c>
      <c r="E21" s="289">
        <f>'F-IVA'!E17</f>
        <v>0</v>
      </c>
      <c r="F21" s="289">
        <f>'F-IVA'!F17</f>
        <v>0</v>
      </c>
      <c r="G21" s="289">
        <f>'F-IVA'!G17</f>
        <v>0</v>
      </c>
      <c r="H21" s="860">
        <f t="shared" si="5"/>
        <v>22221292.09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80" t="s">
        <v>673</v>
      </c>
      <c r="B22" s="479">
        <v>0.0</v>
      </c>
      <c r="C22" s="864"/>
      <c r="D22" s="864"/>
      <c r="E22" s="864"/>
      <c r="F22" s="864"/>
      <c r="G22" s="873"/>
      <c r="H22" s="860">
        <f t="shared" si="5"/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80"/>
      <c r="B23" s="289"/>
      <c r="C23" s="289"/>
      <c r="D23" s="289"/>
      <c r="E23" s="289"/>
      <c r="F23" s="289"/>
      <c r="G23" s="357"/>
      <c r="H23" s="86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51" t="s">
        <v>674</v>
      </c>
      <c r="B24" s="874">
        <v>0.0</v>
      </c>
      <c r="C24" s="442">
        <f t="shared" ref="C24:G24" si="6">C5-C13</f>
        <v>71996072.11</v>
      </c>
      <c r="D24" s="442">
        <f t="shared" si="6"/>
        <v>126875421.3</v>
      </c>
      <c r="E24" s="442">
        <f t="shared" si="6"/>
        <v>178373397.9</v>
      </c>
      <c r="F24" s="442">
        <f t="shared" si="6"/>
        <v>230434698.6</v>
      </c>
      <c r="G24" s="442">
        <f t="shared" si="6"/>
        <v>282291202</v>
      </c>
      <c r="H24" s="875">
        <f t="shared" ref="H24:H25" si="7">SUM(B24:G24)</f>
        <v>889970791.9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51" t="s">
        <v>675</v>
      </c>
      <c r="B25" s="874">
        <v>0.0</v>
      </c>
      <c r="C25" s="442">
        <f>+'E-Inv AF y Am'!D56+'F-Cred'!E19</f>
        <v>4776767.896</v>
      </c>
      <c r="D25" s="442">
        <f>+'E-Inv AF y Am'!D56+'F-Cred'!E21</f>
        <v>4776767.896</v>
      </c>
      <c r="E25" s="442">
        <f>+'E-Inv AF y Am'!D56+'F-Cred'!E23</f>
        <v>4776767.896</v>
      </c>
      <c r="F25" s="442">
        <f>+'E-Inv AF y Am'!E56+'F-Cred'!E25</f>
        <v>4371295.219</v>
      </c>
      <c r="G25" s="442">
        <f>+'E-Inv AF y Am'!E56+'F-Cred'!E27</f>
        <v>4371295.219</v>
      </c>
      <c r="H25" s="875">
        <f t="shared" si="7"/>
        <v>23072894.13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51"/>
      <c r="B26" s="442"/>
      <c r="C26" s="442"/>
      <c r="D26" s="442"/>
      <c r="E26" s="442"/>
      <c r="F26" s="442"/>
      <c r="G26" s="876"/>
      <c r="H26" s="875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51" t="s">
        <v>676</v>
      </c>
      <c r="B27" s="442">
        <f t="shared" ref="B27:G27" si="8">B24+B25</f>
        <v>0</v>
      </c>
      <c r="C27" s="442">
        <f t="shared" si="8"/>
        <v>76772840.01</v>
      </c>
      <c r="D27" s="442">
        <f t="shared" si="8"/>
        <v>131652189.2</v>
      </c>
      <c r="E27" s="442">
        <f t="shared" si="8"/>
        <v>183150165.8</v>
      </c>
      <c r="F27" s="442">
        <f t="shared" si="8"/>
        <v>234805993.8</v>
      </c>
      <c r="G27" s="442">
        <f t="shared" si="8"/>
        <v>286662497.2</v>
      </c>
      <c r="H27" s="875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126" t="s">
        <v>677</v>
      </c>
      <c r="B28" s="116">
        <f>B27</f>
        <v>0</v>
      </c>
      <c r="C28" s="116">
        <f t="shared" ref="C28:G28" si="9">C27-C6</f>
        <v>76772840.01</v>
      </c>
      <c r="D28" s="116">
        <f t="shared" si="9"/>
        <v>54879349.19</v>
      </c>
      <c r="E28" s="116">
        <f t="shared" si="9"/>
        <v>51497976.59</v>
      </c>
      <c r="F28" s="116">
        <f t="shared" si="9"/>
        <v>51655828.04</v>
      </c>
      <c r="G28" s="116">
        <f t="shared" si="9"/>
        <v>51856503.35</v>
      </c>
      <c r="H28" s="875">
        <f>SUM(B28:G28)</f>
        <v>286662497.2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57"/>
    <col customWidth="1" min="2" max="7" width="14.71"/>
    <col customWidth="1" min="8" max="26" width="10.0"/>
  </cols>
  <sheetData>
    <row r="1" ht="12.75" customHeight="1">
      <c r="A1" s="2" t="s">
        <v>0</v>
      </c>
      <c r="E1" s="4">
        <f>InfoInicial!E1</f>
        <v>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5.75" customHeight="1">
      <c r="A3" s="769" t="s">
        <v>678</v>
      </c>
      <c r="B3" s="475"/>
      <c r="C3" s="475"/>
      <c r="D3" s="475"/>
      <c r="E3" s="475"/>
      <c r="F3" s="475"/>
      <c r="G3" s="477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2.75" customHeight="1">
      <c r="A4" s="102"/>
      <c r="B4" s="880" t="s">
        <v>95</v>
      </c>
      <c r="C4" s="880" t="s">
        <v>83</v>
      </c>
      <c r="D4" s="880" t="s">
        <v>228</v>
      </c>
      <c r="E4" s="880" t="s">
        <v>229</v>
      </c>
      <c r="F4" s="880" t="s">
        <v>230</v>
      </c>
      <c r="G4" s="881" t="s">
        <v>231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132" t="s">
        <v>679</v>
      </c>
      <c r="B5" s="882">
        <f t="shared" ref="B5:G5" si="1">+SUM(B7:B11)</f>
        <v>40050454.2</v>
      </c>
      <c r="C5" s="882">
        <f t="shared" si="1"/>
        <v>168119936.7</v>
      </c>
      <c r="D5" s="882">
        <f t="shared" si="1"/>
        <v>219454344.1</v>
      </c>
      <c r="E5" s="882">
        <f t="shared" si="1"/>
        <v>270952351.6</v>
      </c>
      <c r="F5" s="882">
        <f t="shared" si="1"/>
        <v>322615397.1</v>
      </c>
      <c r="G5" s="882">
        <f t="shared" si="1"/>
        <v>374471895.7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95" t="s">
        <v>680</v>
      </c>
      <c r="B6" s="289"/>
      <c r="C6" s="289"/>
      <c r="D6" s="289"/>
      <c r="E6" s="289"/>
      <c r="F6" s="289"/>
      <c r="G6" s="446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97" t="s">
        <v>681</v>
      </c>
      <c r="B7" s="864">
        <f>'E-InvAT'!B6</f>
        <v>5350800</v>
      </c>
      <c r="C7" s="864">
        <f>'E-InvAT'!C6</f>
        <v>6688500</v>
      </c>
      <c r="D7" s="864">
        <f>'E-InvAT'!D6</f>
        <v>7890750</v>
      </c>
      <c r="E7" s="864">
        <f>'E-InvAT'!E6</f>
        <v>7890750</v>
      </c>
      <c r="F7" s="864">
        <f>'E-InvAT'!F6</f>
        <v>7890750</v>
      </c>
      <c r="G7" s="864">
        <f>'E-InvAT'!G6</f>
        <v>7890750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97" t="s">
        <v>682</v>
      </c>
      <c r="B8" s="289">
        <f>'F- CFyU'!B27</f>
        <v>0</v>
      </c>
      <c r="C8" s="289">
        <f>'F- CFyU'!C27</f>
        <v>76772840.01</v>
      </c>
      <c r="D8" s="289">
        <f>'F- CFyU'!D27</f>
        <v>131652189.2</v>
      </c>
      <c r="E8" s="289">
        <f>'F- CFyU'!E27</f>
        <v>183150165.8</v>
      </c>
      <c r="F8" s="289">
        <f>'F- CFyU'!F27</f>
        <v>234805993.8</v>
      </c>
      <c r="G8" s="289">
        <f>'F- CFyU'!G27</f>
        <v>286662497.2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95" t="s">
        <v>683</v>
      </c>
      <c r="B9" s="864">
        <f>'E-InvAT'!B7</f>
        <v>0</v>
      </c>
      <c r="C9" s="864">
        <f>'E-InvAT'!C7</f>
        <v>27486986.3</v>
      </c>
      <c r="D9" s="864">
        <f>'E-InvAT'!D7</f>
        <v>32427739.73</v>
      </c>
      <c r="E9" s="864">
        <f>'E-InvAT'!E7</f>
        <v>32427739.73</v>
      </c>
      <c r="F9" s="864">
        <f>'E-InvAT'!F7</f>
        <v>32427739.73</v>
      </c>
      <c r="G9" s="864">
        <f>'E-InvAT'!G7</f>
        <v>32427739.73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95" t="s">
        <v>684</v>
      </c>
      <c r="B10" s="289">
        <f>'E-InvAT'!B9</f>
        <v>12478362.11</v>
      </c>
      <c r="C10" s="289">
        <f>'E-InvAT'!C9</f>
        <v>57171610.41</v>
      </c>
      <c r="D10" s="289">
        <f>'E-InvAT'!D9</f>
        <v>47483665.17</v>
      </c>
      <c r="E10" s="289">
        <f>'E-InvAT'!E9</f>
        <v>47483696.13</v>
      </c>
      <c r="F10" s="289">
        <f>'E-InvAT'!F9</f>
        <v>47490913.5</v>
      </c>
      <c r="G10" s="289">
        <f>'E-InvAT'!G9</f>
        <v>47490908.75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95" t="s">
        <v>685</v>
      </c>
      <c r="B11" s="864">
        <f>'F-IVA'!C19</f>
        <v>22221292.09</v>
      </c>
      <c r="C11" s="864"/>
      <c r="D11" s="864">
        <f>'F-IVA'!D18+'F-IVA'!E17</f>
        <v>0</v>
      </c>
      <c r="E11" s="864"/>
      <c r="F11" s="864">
        <f>'F-IVA'!F18+'F-IVA'!G17</f>
        <v>0</v>
      </c>
      <c r="G11" s="860">
        <f>'F-IVA'!G18+'F-IVA'!H17</f>
        <v>0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95" t="s">
        <v>686</v>
      </c>
      <c r="B12" s="321">
        <f t="shared" ref="B12:G12" si="2">+B17+B22+B23</f>
        <v>3778031.562</v>
      </c>
      <c r="C12" s="321">
        <f t="shared" si="2"/>
        <v>20389592.41</v>
      </c>
      <c r="D12" s="321">
        <f t="shared" si="2"/>
        <v>17089943.03</v>
      </c>
      <c r="E12" s="321">
        <f t="shared" si="2"/>
        <v>13790293.64</v>
      </c>
      <c r="F12" s="321">
        <f t="shared" si="2"/>
        <v>11162708.29</v>
      </c>
      <c r="G12" s="321">
        <f t="shared" si="2"/>
        <v>8535122.946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95" t="s">
        <v>687</v>
      </c>
      <c r="B13" s="864"/>
      <c r="C13" s="864"/>
      <c r="D13" s="864"/>
      <c r="E13" s="864"/>
      <c r="F13" s="864"/>
      <c r="G13" s="86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97" t="s">
        <v>688</v>
      </c>
      <c r="B14" s="289">
        <f>'F-2 Estructura'!B7</f>
        <v>2201099.77</v>
      </c>
      <c r="C14" s="289">
        <f t="shared" ref="C14:G14" si="3">B17</f>
        <v>2201099.77</v>
      </c>
      <c r="D14" s="289">
        <f t="shared" si="3"/>
        <v>4937309.752</v>
      </c>
      <c r="E14" s="289">
        <f t="shared" si="3"/>
        <v>3305656.132</v>
      </c>
      <c r="F14" s="289">
        <f t="shared" si="3"/>
        <v>1674002.511</v>
      </c>
      <c r="G14" s="289">
        <f t="shared" si="3"/>
        <v>360209.8369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97" t="s">
        <v>689</v>
      </c>
      <c r="B15" s="864"/>
      <c r="C15" s="864">
        <f>'F-2 Estructura'!C7</f>
        <v>4367863.602</v>
      </c>
      <c r="D15" s="864"/>
      <c r="E15" s="864"/>
      <c r="F15" s="864"/>
      <c r="G15" s="86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97" t="s">
        <v>690</v>
      </c>
      <c r="B16" s="289"/>
      <c r="C16" s="289">
        <f>+'E-Inv AF y Am'!D53+SUM('F-Cred'!G16:I16)/3</f>
        <v>1631653.62</v>
      </c>
      <c r="D16" s="289">
        <f>C16</f>
        <v>1631653.62</v>
      </c>
      <c r="E16" s="289">
        <f>C16</f>
        <v>1631653.62</v>
      </c>
      <c r="F16" s="883">
        <f>'E-Inv AF y Am'!E53</f>
        <v>1313792.674</v>
      </c>
      <c r="G16" s="883">
        <f>'E-Inv AF y Am'!E53</f>
        <v>1313792.674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97" t="s">
        <v>691</v>
      </c>
      <c r="B17" s="289">
        <f t="shared" ref="B17:G17" si="4">B14+B15-B16</f>
        <v>2201099.77</v>
      </c>
      <c r="C17" s="289">
        <f t="shared" si="4"/>
        <v>4937309.752</v>
      </c>
      <c r="D17" s="289">
        <f t="shared" si="4"/>
        <v>3305656.132</v>
      </c>
      <c r="E17" s="289">
        <f t="shared" si="4"/>
        <v>1674002.511</v>
      </c>
      <c r="F17" s="289">
        <f t="shared" si="4"/>
        <v>360209.8369</v>
      </c>
      <c r="G17" s="289">
        <f t="shared" si="4"/>
        <v>-953582.8375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95" t="s">
        <v>1</v>
      </c>
      <c r="B18" s="864"/>
      <c r="C18" s="864"/>
      <c r="D18" s="864"/>
      <c r="E18" s="864"/>
      <c r="F18" s="864"/>
      <c r="G18" s="86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97" t="s">
        <v>688</v>
      </c>
      <c r="B19" s="289">
        <f>'F-2 Estructura'!B6</f>
        <v>17120278.42</v>
      </c>
      <c r="C19" s="289">
        <f t="shared" ref="C19:G19" si="5">B22</f>
        <v>17120278.42</v>
      </c>
      <c r="D19" s="289">
        <f t="shared" si="5"/>
        <v>15452282.66</v>
      </c>
      <c r="E19" s="289">
        <f t="shared" si="5"/>
        <v>13784286.89</v>
      </c>
      <c r="F19" s="289">
        <f t="shared" si="5"/>
        <v>12116291.13</v>
      </c>
      <c r="G19" s="289">
        <f t="shared" si="5"/>
        <v>10802498.46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97" t="s">
        <v>692</v>
      </c>
      <c r="B20" s="861">
        <v>0.0</v>
      </c>
      <c r="C20" s="861">
        <v>0.0</v>
      </c>
      <c r="D20" s="861">
        <v>0.0</v>
      </c>
      <c r="E20" s="861">
        <v>0.0</v>
      </c>
      <c r="F20" s="861">
        <v>0.0</v>
      </c>
      <c r="G20" s="884">
        <v>0.0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97" t="s">
        <v>693</v>
      </c>
      <c r="B21" s="289"/>
      <c r="C21" s="289">
        <f>'E-Inv AF y Am'!D51</f>
        <v>1667995.762</v>
      </c>
      <c r="D21" s="289">
        <f t="shared" ref="D21:E21" si="6">$C$21</f>
        <v>1667995.762</v>
      </c>
      <c r="E21" s="289">
        <f t="shared" si="6"/>
        <v>1667995.762</v>
      </c>
      <c r="F21" s="289">
        <f>'E-Inv AF y Am'!E53</f>
        <v>1313792.674</v>
      </c>
      <c r="G21" s="446">
        <f>F21</f>
        <v>1313792.674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97" t="s">
        <v>691</v>
      </c>
      <c r="B22" s="481">
        <f t="shared" ref="B22:G22" si="7">B19+B20-B21</f>
        <v>17120278.42</v>
      </c>
      <c r="C22" s="481">
        <f t="shared" si="7"/>
        <v>15452282.66</v>
      </c>
      <c r="D22" s="481">
        <f t="shared" si="7"/>
        <v>13784286.89</v>
      </c>
      <c r="E22" s="481">
        <f t="shared" si="7"/>
        <v>12116291.13</v>
      </c>
      <c r="F22" s="481">
        <f t="shared" si="7"/>
        <v>10802498.46</v>
      </c>
      <c r="G22" s="481">
        <f t="shared" si="7"/>
        <v>9488705.783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95" t="s">
        <v>694</v>
      </c>
      <c r="B23" s="481">
        <f>+'F-IVA'!B18-'F-IVA'!C19</f>
        <v>-15543346.63</v>
      </c>
      <c r="C23" s="481">
        <f>'F-IVA'!D18</f>
        <v>0</v>
      </c>
      <c r="D23" s="481">
        <f>'F-IVA'!E18</f>
        <v>0</v>
      </c>
      <c r="E23" s="481">
        <f>'F-IVA'!F18</f>
        <v>0</v>
      </c>
      <c r="F23" s="481">
        <f>'F-IVA'!G18</f>
        <v>0</v>
      </c>
      <c r="G23" s="481" t="str">
        <f>'F-IVA'!H18</f>
        <v/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95" t="s">
        <v>695</v>
      </c>
      <c r="B24" s="481">
        <f t="shared" ref="B24:G24" si="8">+B5+B12</f>
        <v>43828485.76</v>
      </c>
      <c r="C24" s="481">
        <f t="shared" si="8"/>
        <v>188509529.1</v>
      </c>
      <c r="D24" s="481">
        <f t="shared" si="8"/>
        <v>236544287.1</v>
      </c>
      <c r="E24" s="481">
        <f t="shared" si="8"/>
        <v>284742645.3</v>
      </c>
      <c r="F24" s="481">
        <f t="shared" si="8"/>
        <v>333778105.3</v>
      </c>
      <c r="G24" s="481">
        <f t="shared" si="8"/>
        <v>383007018.6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95" t="s">
        <v>696</v>
      </c>
      <c r="B25" s="481">
        <f t="shared" ref="B25:G25" si="9">SUM(B26:B27)</f>
        <v>1794979.459</v>
      </c>
      <c r="C25" s="481">
        <f t="shared" si="9"/>
        <v>14128129.92</v>
      </c>
      <c r="D25" s="481">
        <f t="shared" si="9"/>
        <v>14128129.92</v>
      </c>
      <c r="E25" s="481">
        <f t="shared" si="9"/>
        <v>14128129.92</v>
      </c>
      <c r="F25" s="481">
        <f t="shared" si="9"/>
        <v>14128129.92</v>
      </c>
      <c r="G25" s="481">
        <f t="shared" si="9"/>
        <v>14128129.92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95" t="s">
        <v>697</v>
      </c>
      <c r="B26" s="321"/>
      <c r="C26" s="321">
        <f>'Apertura Financiera'!$B$54</f>
        <v>12333150.46</v>
      </c>
      <c r="D26" s="321">
        <f>'Apertura Financiera'!$B$54</f>
        <v>12333150.46</v>
      </c>
      <c r="E26" s="321">
        <f>'Apertura Financiera'!$B$54</f>
        <v>12333150.46</v>
      </c>
      <c r="F26" s="321">
        <f>'Apertura Financiera'!$B$54</f>
        <v>12333150.46</v>
      </c>
      <c r="G26" s="321">
        <f>'Apertura Financiera'!$B$54</f>
        <v>12333150.46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95" t="s">
        <v>698</v>
      </c>
      <c r="B27" s="321">
        <f>'F-Cred'!$E19</f>
        <v>1794979.459</v>
      </c>
      <c r="C27" s="321">
        <f>'F-Cred'!$E21</f>
        <v>1794979.459</v>
      </c>
      <c r="D27" s="321">
        <f>'F-Cred'!$E23</f>
        <v>1794979.459</v>
      </c>
      <c r="E27" s="321">
        <f>'F-Cred'!$E25</f>
        <v>1794979.459</v>
      </c>
      <c r="F27" s="321">
        <f>'F-Cred'!$E25</f>
        <v>1794979.459</v>
      </c>
      <c r="G27" s="321">
        <f>'F-Cred'!$E27</f>
        <v>1794979.459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95" t="s">
        <v>699</v>
      </c>
      <c r="B28" s="321">
        <f t="shared" ref="B28:G28" si="10">B29</f>
        <v>7179917.836</v>
      </c>
      <c r="C28" s="321">
        <f t="shared" si="10"/>
        <v>897489.7295</v>
      </c>
      <c r="D28" s="321">
        <f t="shared" si="10"/>
        <v>686579.643</v>
      </c>
      <c r="E28" s="321">
        <f t="shared" si="10"/>
        <v>1794979.459</v>
      </c>
      <c r="F28" s="321">
        <f t="shared" si="10"/>
        <v>1449445.913</v>
      </c>
      <c r="G28" s="321">
        <f t="shared" si="10"/>
        <v>6461.926052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95" t="s">
        <v>698</v>
      </c>
      <c r="B29" s="321">
        <f>'Apertura Financiera'!B39</f>
        <v>7179917.836</v>
      </c>
      <c r="C29" s="321">
        <f>'Apertura Financiera'!C39</f>
        <v>897489.7295</v>
      </c>
      <c r="D29" s="321">
        <f>'Apertura Financiera'!D39</f>
        <v>686579.643</v>
      </c>
      <c r="E29" s="321">
        <f>'Apertura Financiera'!E39</f>
        <v>1794979.459</v>
      </c>
      <c r="F29" s="321">
        <f>'Apertura Financiera'!F39</f>
        <v>1449445.913</v>
      </c>
      <c r="G29" s="321">
        <f>'Apertura Financiera'!G39</f>
        <v>6461.926052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95" t="s">
        <v>700</v>
      </c>
      <c r="B30" s="321">
        <f t="shared" ref="B30:G30" si="11">+B25+B28</f>
        <v>8974897.295</v>
      </c>
      <c r="C30" s="321">
        <f t="shared" si="11"/>
        <v>15025619.65</v>
      </c>
      <c r="D30" s="321">
        <f t="shared" si="11"/>
        <v>14814709.56</v>
      </c>
      <c r="E30" s="321">
        <f t="shared" si="11"/>
        <v>15923109.38</v>
      </c>
      <c r="F30" s="321">
        <f t="shared" si="11"/>
        <v>15577575.83</v>
      </c>
      <c r="G30" s="321">
        <f t="shared" si="11"/>
        <v>14134591.85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95" t="s">
        <v>701</v>
      </c>
      <c r="B31" s="321">
        <f t="shared" ref="B31:G31" si="12">+SUM(B32:B34)</f>
        <v>34853588.47</v>
      </c>
      <c r="C31" s="321">
        <f t="shared" si="12"/>
        <v>167519342.3</v>
      </c>
      <c r="D31" s="321">
        <f t="shared" si="12"/>
        <v>215871961.3</v>
      </c>
      <c r="E31" s="321">
        <f t="shared" si="12"/>
        <v>264388180.4</v>
      </c>
      <c r="F31" s="321">
        <f t="shared" si="12"/>
        <v>313474910</v>
      </c>
      <c r="G31" s="321">
        <f t="shared" si="12"/>
        <v>362755092.9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95" t="s">
        <v>702</v>
      </c>
      <c r="B32" s="321">
        <f>+'F-2 Estructura'!$B$31</f>
        <v>34853588.47</v>
      </c>
      <c r="C32" s="321">
        <f>+'F-2 Estructura'!$B$31+'F-2 Estructura'!$C$31</f>
        <v>129096388.6</v>
      </c>
      <c r="D32" s="321">
        <f>+C32</f>
        <v>129096388.6</v>
      </c>
      <c r="E32" s="321">
        <f>+C32</f>
        <v>129096388.6</v>
      </c>
      <c r="F32" s="321">
        <f>+C32</f>
        <v>129096388.6</v>
      </c>
      <c r="G32" s="885">
        <f>+C32</f>
        <v>129096388.6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95" t="s">
        <v>703</v>
      </c>
      <c r="B33" s="886">
        <v>0.0</v>
      </c>
      <c r="C33" s="321">
        <f>+'F-CRes'!B14</f>
        <v>38422953.72</v>
      </c>
      <c r="D33" s="321">
        <f>+'F-CRes'!C14</f>
        <v>48352618.94</v>
      </c>
      <c r="E33" s="321">
        <f>+'F-CRes'!D14</f>
        <v>48516219.12</v>
      </c>
      <c r="F33" s="321">
        <f>+'F-CRes'!E14</f>
        <v>49086729.64</v>
      </c>
      <c r="G33" s="321">
        <f>+'F-CRes'!F14</f>
        <v>49280182.85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95" t="s">
        <v>704</v>
      </c>
      <c r="B34" s="886">
        <v>0.0</v>
      </c>
      <c r="C34" s="886">
        <v>0.0</v>
      </c>
      <c r="D34" s="321">
        <f t="shared" ref="D34:G34" si="13">+C33+C34</f>
        <v>38422953.72</v>
      </c>
      <c r="E34" s="321">
        <f t="shared" si="13"/>
        <v>86775572.65</v>
      </c>
      <c r="F34" s="321">
        <f t="shared" si="13"/>
        <v>135291791.8</v>
      </c>
      <c r="G34" s="321">
        <f t="shared" si="13"/>
        <v>184378521.4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126" t="s">
        <v>705</v>
      </c>
      <c r="B35" s="887">
        <f t="shared" ref="B35:G35" si="14">+B30+B31</f>
        <v>43828485.76</v>
      </c>
      <c r="C35" s="887">
        <f t="shared" si="14"/>
        <v>182544962</v>
      </c>
      <c r="D35" s="887">
        <f t="shared" si="14"/>
        <v>230686670.8</v>
      </c>
      <c r="E35" s="887">
        <f t="shared" si="14"/>
        <v>280311289.8</v>
      </c>
      <c r="F35" s="887">
        <f t="shared" si="14"/>
        <v>329052485.8</v>
      </c>
      <c r="G35" s="887">
        <f t="shared" si="14"/>
        <v>376889684.7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88" t="s">
        <v>706</v>
      </c>
      <c r="B38" s="701" t="str">
        <f t="shared" ref="B38:G38" si="15">IF(B24=B35,"OK","MAL")</f>
        <v>OK</v>
      </c>
      <c r="C38" s="701" t="str">
        <f t="shared" si="15"/>
        <v>MAL</v>
      </c>
      <c r="D38" s="701" t="str">
        <f t="shared" si="15"/>
        <v>MAL</v>
      </c>
      <c r="E38" s="701" t="str">
        <f t="shared" si="15"/>
        <v>MAL</v>
      </c>
      <c r="F38" s="701" t="str">
        <f t="shared" si="15"/>
        <v>MAL</v>
      </c>
      <c r="G38" s="701" t="str">
        <f t="shared" si="15"/>
        <v>MAL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80"/>
      <c r="B39" s="889">
        <f t="shared" ref="B39:G39" si="16">B24-B35</f>
        <v>0</v>
      </c>
      <c r="C39" s="889">
        <f t="shared" si="16"/>
        <v>5964567.16</v>
      </c>
      <c r="D39" s="889">
        <f t="shared" si="16"/>
        <v>5857616.301</v>
      </c>
      <c r="E39" s="889">
        <f t="shared" si="16"/>
        <v>4431355.539</v>
      </c>
      <c r="F39" s="889">
        <f t="shared" si="16"/>
        <v>4725619.497</v>
      </c>
      <c r="G39" s="889">
        <f t="shared" si="16"/>
        <v>6117333.895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conditionalFormatting sqref="B38">
    <cfRule type="cellIs" dxfId="1" priority="1" operator="equal">
      <formula>"OK"</formula>
    </cfRule>
  </conditionalFormatting>
  <conditionalFormatting sqref="B38">
    <cfRule type="cellIs" dxfId="2" priority="2" operator="equal">
      <formula>"MAL"</formula>
    </cfRule>
  </conditionalFormatting>
  <conditionalFormatting sqref="C38">
    <cfRule type="cellIs" dxfId="1" priority="3" operator="equal">
      <formula>"OK"</formula>
    </cfRule>
  </conditionalFormatting>
  <conditionalFormatting sqref="C38">
    <cfRule type="cellIs" dxfId="2" priority="4" operator="equal">
      <formula>"MAL"</formula>
    </cfRule>
  </conditionalFormatting>
  <conditionalFormatting sqref="D38">
    <cfRule type="cellIs" dxfId="1" priority="5" operator="equal">
      <formula>"OK"</formula>
    </cfRule>
  </conditionalFormatting>
  <conditionalFormatting sqref="D38">
    <cfRule type="cellIs" dxfId="2" priority="6" operator="equal">
      <formula>"MAL"</formula>
    </cfRule>
  </conditionalFormatting>
  <conditionalFormatting sqref="E38">
    <cfRule type="cellIs" dxfId="1" priority="7" operator="equal">
      <formula>"OK"</formula>
    </cfRule>
  </conditionalFormatting>
  <conditionalFormatting sqref="E38">
    <cfRule type="cellIs" dxfId="2" priority="8" operator="equal">
      <formula>"MAL"</formula>
    </cfRule>
  </conditionalFormatting>
  <conditionalFormatting sqref="F38">
    <cfRule type="cellIs" dxfId="1" priority="9" operator="equal">
      <formula>"OK"</formula>
    </cfRule>
  </conditionalFormatting>
  <conditionalFormatting sqref="F38">
    <cfRule type="cellIs" dxfId="2" priority="10" operator="equal">
      <formula>"MAL"</formula>
    </cfRule>
  </conditionalFormatting>
  <conditionalFormatting sqref="G38">
    <cfRule type="cellIs" dxfId="1" priority="11" operator="equal">
      <formula>"OK"</formula>
    </cfRule>
  </conditionalFormatting>
  <conditionalFormatting sqref="G38">
    <cfRule type="cellIs" dxfId="2" priority="12" operator="equal">
      <formula>"MAL"</formula>
    </cfRule>
  </conditionalFormatting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6" width="14.71"/>
    <col customWidth="1" min="7" max="7" width="16.0"/>
    <col customWidth="1" min="8" max="9" width="14.71"/>
    <col customWidth="1" min="10" max="10" width="17.43"/>
    <col customWidth="1" min="11" max="11" width="14.71"/>
    <col customWidth="1" min="12" max="12" width="16.57"/>
    <col customWidth="1" min="13" max="13" width="18.43"/>
    <col customWidth="1" min="14" max="14" width="17.43"/>
    <col customWidth="1" min="15" max="15" width="17.29"/>
    <col customWidth="1" min="16" max="26" width="10.0"/>
  </cols>
  <sheetData>
    <row r="1" ht="12.75" customHeight="1">
      <c r="A1" s="2" t="s">
        <v>0</v>
      </c>
      <c r="E1" s="80"/>
      <c r="F1" s="80"/>
      <c r="G1" s="4">
        <f>InfoInicial!E1</f>
        <v>4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5.75" customHeight="1">
      <c r="A3" s="655" t="s">
        <v>707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2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25.5" customHeight="1">
      <c r="A4" s="659" t="s">
        <v>512</v>
      </c>
      <c r="B4" s="660" t="s">
        <v>664</v>
      </c>
      <c r="C4" s="660" t="s">
        <v>708</v>
      </c>
      <c r="D4" s="660" t="s">
        <v>515</v>
      </c>
      <c r="E4" s="660" t="s">
        <v>11</v>
      </c>
      <c r="F4" s="660" t="s">
        <v>516</v>
      </c>
      <c r="G4" s="660" t="s">
        <v>517</v>
      </c>
      <c r="H4" s="660" t="s">
        <v>709</v>
      </c>
      <c r="I4" s="660" t="s">
        <v>710</v>
      </c>
      <c r="J4" s="660" t="s">
        <v>241</v>
      </c>
      <c r="K4" s="660" t="s">
        <v>519</v>
      </c>
      <c r="L4" s="660" t="s">
        <v>520</v>
      </c>
      <c r="M4" s="681" t="s">
        <v>521</v>
      </c>
      <c r="N4" s="682" t="s">
        <v>522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683">
        <v>0.0</v>
      </c>
      <c r="B5" s="662">
        <f>'E-Cal Inv.'!B8+'E-Cal Inv.'!C8+'F-Cred'!B15</f>
        <v>28296275.48</v>
      </c>
      <c r="C5" s="277">
        <f>'F-2 Estructura'!B15</f>
        <v>17829162.11</v>
      </c>
      <c r="D5" s="277">
        <f>'F-IVA'!B$17</f>
        <v>6677945.463</v>
      </c>
      <c r="E5" s="277"/>
      <c r="F5" s="277"/>
      <c r="G5" s="277">
        <f t="shared" ref="G5:G10" si="1">SUM(B5:F5)</f>
        <v>52803383.06</v>
      </c>
      <c r="H5" s="277"/>
      <c r="I5" s="277">
        <f>'F-Cred'!G17</f>
        <v>953582.8375</v>
      </c>
      <c r="J5" s="277"/>
      <c r="K5" s="277"/>
      <c r="L5" s="277">
        <f t="shared" ref="L5:L10" si="2">SUM(H5:K5)</f>
        <v>953582.8375</v>
      </c>
      <c r="M5" s="349">
        <f t="shared" ref="M5:M10" si="3">L5-G5</f>
        <v>-51849800.22</v>
      </c>
      <c r="N5" s="431">
        <f>M5</f>
        <v>-51849800.22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688">
        <v>1.0</v>
      </c>
      <c r="B6" s="662">
        <f>'E-Cal Inv.'!D8</f>
        <v>4367863.602</v>
      </c>
      <c r="C6" s="277">
        <f>'F-2 Estructura'!C15</f>
        <v>91347096.71</v>
      </c>
      <c r="D6" s="277">
        <f>'F-IVA'!C$17</f>
        <v>15543346.63</v>
      </c>
      <c r="E6" s="289">
        <f>'F-CRes'!B12</f>
        <v>1536918.149</v>
      </c>
      <c r="F6" s="289">
        <f>'F-CRes'!B13</f>
        <v>21516854.08</v>
      </c>
      <c r="G6" s="289">
        <f t="shared" si="1"/>
        <v>134312079.2</v>
      </c>
      <c r="H6" s="289">
        <f>'F-CRes'!B11</f>
        <v>61476725.95</v>
      </c>
      <c r="I6" s="289">
        <f>'F-Cred'!G19</f>
        <v>1696108.922</v>
      </c>
      <c r="J6" s="289">
        <f>'F- CFyU'!C25</f>
        <v>4776767.896</v>
      </c>
      <c r="K6" s="289">
        <f>'F-IVA'!C19</f>
        <v>22221292.09</v>
      </c>
      <c r="L6" s="277">
        <f t="shared" si="2"/>
        <v>90170894.85</v>
      </c>
      <c r="M6" s="349">
        <f t="shared" si="3"/>
        <v>-44141184.32</v>
      </c>
      <c r="N6" s="446">
        <f t="shared" ref="N6:N10" si="4">M6+N5</f>
        <v>-95990984.54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688">
        <v>2.0</v>
      </c>
      <c r="B7" s="664"/>
      <c r="C7" s="277"/>
      <c r="D7" s="277">
        <f>'F-IVA'!D$17</f>
        <v>0</v>
      </c>
      <c r="E7" s="289">
        <f>'F-CRes'!C12</f>
        <v>1934104.757</v>
      </c>
      <c r="F7" s="289">
        <f>'F-CRes'!C13</f>
        <v>27077466.6</v>
      </c>
      <c r="G7" s="289">
        <f t="shared" si="1"/>
        <v>29011571.36</v>
      </c>
      <c r="H7" s="289">
        <f>'F-CRes'!C11</f>
        <v>77364190.3</v>
      </c>
      <c r="I7" s="289">
        <f>'F-Cred'!G21</f>
        <v>1637625.424</v>
      </c>
      <c r="J7" s="289">
        <f>'F- CFyU'!D25</f>
        <v>4776767.896</v>
      </c>
      <c r="K7" s="289">
        <f>'F-IVA'!D19</f>
        <v>0</v>
      </c>
      <c r="L7" s="277">
        <f t="shared" si="2"/>
        <v>83778583.62</v>
      </c>
      <c r="M7" s="349">
        <f t="shared" si="3"/>
        <v>54767012.26</v>
      </c>
      <c r="N7" s="446">
        <f t="shared" si="4"/>
        <v>-41223972.28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688">
        <v>3.0</v>
      </c>
      <c r="B8" s="664"/>
      <c r="C8" s="277"/>
      <c r="D8" s="277">
        <f>'F-IVA'!E$17</f>
        <v>0</v>
      </c>
      <c r="E8" s="289">
        <f>'F-CRes'!D12</f>
        <v>1940648.765</v>
      </c>
      <c r="F8" s="289">
        <f>'F-CRes'!D13</f>
        <v>27169082.7</v>
      </c>
      <c r="G8" s="289">
        <f t="shared" si="1"/>
        <v>29109731.47</v>
      </c>
      <c r="H8" s="289">
        <f>'F-CRes'!D11</f>
        <v>77625950.58</v>
      </c>
      <c r="I8" s="289">
        <f>'F-Cred'!G23</f>
        <v>1332478.916</v>
      </c>
      <c r="J8" s="289">
        <f>'F- CFyU'!E25</f>
        <v>4776767.896</v>
      </c>
      <c r="K8" s="289">
        <f>'F-IVA'!E19</f>
        <v>0</v>
      </c>
      <c r="L8" s="277">
        <f t="shared" si="2"/>
        <v>83735197.4</v>
      </c>
      <c r="M8" s="349">
        <f t="shared" si="3"/>
        <v>54625465.93</v>
      </c>
      <c r="N8" s="446">
        <f t="shared" si="4"/>
        <v>13401493.64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688">
        <v>4.0</v>
      </c>
      <c r="B9" s="664"/>
      <c r="C9" s="289"/>
      <c r="D9" s="277">
        <f>'F-IVA'!E$17</f>
        <v>0</v>
      </c>
      <c r="E9" s="289">
        <f>'F-CRes'!E12</f>
        <v>1963469.186</v>
      </c>
      <c r="F9" s="289">
        <f>'F-CRes'!E13</f>
        <v>27488568.6</v>
      </c>
      <c r="G9" s="289">
        <f t="shared" si="1"/>
        <v>29452037.79</v>
      </c>
      <c r="H9" s="289">
        <f>'F-CRes'!E11</f>
        <v>78538767.43</v>
      </c>
      <c r="I9" s="289">
        <f>'F-Cred'!G25</f>
        <v>1027332.408</v>
      </c>
      <c r="J9" s="289">
        <f>'F- CFyU'!F25</f>
        <v>4371295.219</v>
      </c>
      <c r="K9" s="289">
        <f>'F-IVA'!F19</f>
        <v>0</v>
      </c>
      <c r="L9" s="277">
        <f t="shared" si="2"/>
        <v>83937395.06</v>
      </c>
      <c r="M9" s="349">
        <f t="shared" si="3"/>
        <v>54485357.27</v>
      </c>
      <c r="N9" s="446">
        <f t="shared" si="4"/>
        <v>67886850.91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688">
        <v>5.0</v>
      </c>
      <c r="B10" s="664">
        <f>'E-Inv AF y Am'!F56</f>
        <v>-9591244.96</v>
      </c>
      <c r="C10" s="289">
        <f>-'F-2 Estructura'!D15</f>
        <v>-109176258.8</v>
      </c>
      <c r="D10" s="277">
        <f>'F-IVA'!F17</f>
        <v>0</v>
      </c>
      <c r="E10" s="289">
        <f>'F-CRes'!F12</f>
        <v>1971207.314</v>
      </c>
      <c r="F10" s="289">
        <f>'F-CRes'!F13</f>
        <v>27596902.39</v>
      </c>
      <c r="G10" s="289">
        <f t="shared" si="1"/>
        <v>-89199394.08</v>
      </c>
      <c r="H10" s="289">
        <f>'F-CRes'!F11</f>
        <v>78848292.55</v>
      </c>
      <c r="I10" s="289">
        <f>'F-Cred'!G27</f>
        <v>722185.8995</v>
      </c>
      <c r="J10" s="289">
        <f>'F- CFyU'!G25</f>
        <v>4371295.219</v>
      </c>
      <c r="K10" s="289">
        <f>'F-IVA'!G19</f>
        <v>0</v>
      </c>
      <c r="L10" s="277">
        <f t="shared" si="2"/>
        <v>83941773.67</v>
      </c>
      <c r="M10" s="349">
        <f t="shared" si="3"/>
        <v>173141167.8</v>
      </c>
      <c r="N10" s="446">
        <f t="shared" si="4"/>
        <v>241028018.7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688"/>
      <c r="B11" s="664"/>
      <c r="C11" s="289"/>
      <c r="D11" s="289"/>
      <c r="E11" s="289"/>
      <c r="F11" s="289"/>
      <c r="G11" s="289"/>
      <c r="H11" s="289"/>
      <c r="I11" s="289"/>
      <c r="J11" s="289"/>
      <c r="K11" s="289"/>
      <c r="L11" s="277"/>
      <c r="M11" s="357"/>
      <c r="N11" s="446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691" t="s">
        <v>523</v>
      </c>
      <c r="B12" s="692">
        <f t="shared" ref="B12:M12" si="5">SUM(B5:B10)</f>
        <v>23072894.13</v>
      </c>
      <c r="C12" s="692">
        <f t="shared" si="5"/>
        <v>0</v>
      </c>
      <c r="D12" s="692">
        <f t="shared" si="5"/>
        <v>22221292.09</v>
      </c>
      <c r="E12" s="692">
        <f t="shared" si="5"/>
        <v>9346348.17</v>
      </c>
      <c r="F12" s="692">
        <f t="shared" si="5"/>
        <v>130848874.4</v>
      </c>
      <c r="G12" s="692">
        <f t="shared" si="5"/>
        <v>185489408.8</v>
      </c>
      <c r="H12" s="692">
        <f t="shared" si="5"/>
        <v>373853926.8</v>
      </c>
      <c r="I12" s="692">
        <f t="shared" si="5"/>
        <v>7369314.406</v>
      </c>
      <c r="J12" s="692">
        <f t="shared" si="5"/>
        <v>23072894.13</v>
      </c>
      <c r="K12" s="692">
        <f t="shared" si="5"/>
        <v>22221292.09</v>
      </c>
      <c r="L12" s="692">
        <f t="shared" si="5"/>
        <v>426517427.4</v>
      </c>
      <c r="M12" s="692">
        <f t="shared" si="5"/>
        <v>241028018.7</v>
      </c>
      <c r="N12" s="692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80"/>
      <c r="B14" s="80"/>
      <c r="C14" s="35" t="s">
        <v>524</v>
      </c>
      <c r="D14" s="890">
        <f>H12+I12-E12-F12</f>
        <v>241028018.7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51"/>
      <c r="B15" s="80"/>
      <c r="C15" s="35" t="s">
        <v>525</v>
      </c>
      <c r="D15" s="768">
        <f>3+(-N7/M8)</f>
        <v>3.754665825</v>
      </c>
      <c r="E15" s="80" t="s">
        <v>526</v>
      </c>
      <c r="F15" s="80"/>
      <c r="G15" s="80"/>
      <c r="H15" s="891">
        <f>H12-E12-F12</f>
        <v>233658704.3</v>
      </c>
      <c r="I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80"/>
      <c r="B16" s="80"/>
      <c r="C16" s="35" t="s">
        <v>711</v>
      </c>
      <c r="D16" s="892">
        <f>IRR(M5:M10)</f>
        <v>0.4557097322</v>
      </c>
      <c r="E16" s="80"/>
      <c r="F16" s="80"/>
      <c r="G16" s="80"/>
      <c r="H16" s="80"/>
      <c r="I16" s="80"/>
      <c r="J16" s="893"/>
      <c r="K16" s="893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80"/>
      <c r="B17" s="80"/>
      <c r="C17" s="35"/>
      <c r="D17" s="892"/>
      <c r="E17" s="80"/>
      <c r="F17" s="80"/>
      <c r="G17" s="80"/>
      <c r="H17" s="80"/>
      <c r="I17" s="80"/>
      <c r="J17" s="894"/>
      <c r="K17" s="891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698"/>
      <c r="B18" s="381"/>
      <c r="C18" s="381"/>
      <c r="D18" s="381"/>
      <c r="E18" s="381"/>
      <c r="F18" s="895"/>
      <c r="G18" s="895"/>
      <c r="H18" s="895"/>
      <c r="I18" s="895"/>
      <c r="J18" s="894"/>
      <c r="K18" s="891"/>
      <c r="L18" s="895"/>
      <c r="M18" s="895"/>
      <c r="N18" s="895"/>
      <c r="O18" s="381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5.75" customHeight="1">
      <c r="A19" s="896"/>
      <c r="B19" s="895"/>
      <c r="C19" s="897"/>
      <c r="D19" s="895"/>
      <c r="E19" s="895"/>
      <c r="F19" s="895"/>
      <c r="G19" s="895"/>
      <c r="H19" s="895"/>
      <c r="I19" s="895"/>
      <c r="J19" s="894"/>
      <c r="K19" s="891"/>
      <c r="L19" s="895"/>
      <c r="M19" s="895"/>
      <c r="N19" s="895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80"/>
      <c r="B20" s="80"/>
      <c r="C20" s="80"/>
      <c r="D20" s="80"/>
      <c r="E20" s="80"/>
      <c r="F20" s="80"/>
      <c r="G20" s="80"/>
      <c r="H20" s="80"/>
      <c r="I20" s="80"/>
      <c r="J20" s="894"/>
      <c r="K20" s="891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898"/>
      <c r="B21" s="80"/>
      <c r="C21" s="80"/>
      <c r="D21" s="80"/>
      <c r="E21" s="80"/>
      <c r="F21" s="80"/>
      <c r="G21" s="80"/>
      <c r="H21" s="80"/>
      <c r="I21" s="80"/>
      <c r="J21" s="80"/>
      <c r="K21" s="891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5.75" customHeight="1">
      <c r="A22" s="655" t="s">
        <v>712</v>
      </c>
      <c r="B22" s="271"/>
      <c r="C22" s="271"/>
      <c r="D22" s="271"/>
      <c r="E22" s="271"/>
      <c r="F22" s="271"/>
      <c r="G22" s="271"/>
      <c r="H22" s="272"/>
      <c r="I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38.25" customHeight="1">
      <c r="A23" s="659" t="s">
        <v>512</v>
      </c>
      <c r="B23" s="660" t="s">
        <v>713</v>
      </c>
      <c r="C23" s="660" t="s">
        <v>517</v>
      </c>
      <c r="D23" s="660" t="s">
        <v>671</v>
      </c>
      <c r="E23" s="660" t="s">
        <v>714</v>
      </c>
      <c r="F23" s="660" t="s">
        <v>520</v>
      </c>
      <c r="G23" s="681" t="s">
        <v>521</v>
      </c>
      <c r="H23" s="682" t="s">
        <v>522</v>
      </c>
      <c r="I23" s="80"/>
      <c r="J23" s="80"/>
      <c r="K23" s="697" t="s">
        <v>529</v>
      </c>
      <c r="L23" s="9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683">
        <v>0.0</v>
      </c>
      <c r="B24" s="662">
        <f>'F-2 Estructura'!B31</f>
        <v>34853588.47</v>
      </c>
      <c r="C24" s="277">
        <f t="shared" ref="C24:C29" si="6">B24</f>
        <v>34853588.47</v>
      </c>
      <c r="D24" s="277">
        <f>'F- CFyU'!B20</f>
        <v>0</v>
      </c>
      <c r="E24" s="277"/>
      <c r="F24" s="277">
        <f t="shared" ref="F24:F29" si="7">D24+E24</f>
        <v>0</v>
      </c>
      <c r="G24" s="349">
        <f t="shared" ref="G24:G29" si="8">F24-C24</f>
        <v>-34853588.47</v>
      </c>
      <c r="H24" s="431">
        <f>G24</f>
        <v>-34853588.47</v>
      </c>
      <c r="I24" s="80"/>
      <c r="J24" s="80"/>
      <c r="K24" s="899" t="s">
        <v>530</v>
      </c>
      <c r="L24" s="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688">
        <v>1.0</v>
      </c>
      <c r="B25" s="664">
        <f>'F-2 Estructura'!C31</f>
        <v>94242800.14</v>
      </c>
      <c r="C25" s="277">
        <f t="shared" si="6"/>
        <v>94242800.14</v>
      </c>
      <c r="D25" s="289">
        <f>'F- CFyU'!C20</f>
        <v>0</v>
      </c>
      <c r="E25" s="289">
        <f>'F- CFyU'!C28</f>
        <v>76772840.01</v>
      </c>
      <c r="F25" s="277">
        <f t="shared" si="7"/>
        <v>76772840.01</v>
      </c>
      <c r="G25" s="349">
        <f t="shared" si="8"/>
        <v>-17469960.13</v>
      </c>
      <c r="H25" s="446">
        <f t="shared" ref="H25:H29" si="9">G25+H24</f>
        <v>-52323548.6</v>
      </c>
      <c r="I25" s="80"/>
      <c r="J25" s="80"/>
      <c r="K25" s="700" t="s">
        <v>241</v>
      </c>
      <c r="L25" s="701" t="str">
        <f>IF(B12=J12,"OK","MAL")</f>
        <v>OK</v>
      </c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688">
        <v>2.0</v>
      </c>
      <c r="B26" s="664"/>
      <c r="C26" s="277" t="str">
        <f t="shared" si="6"/>
        <v/>
      </c>
      <c r="D26" s="289">
        <f>'F- CFyU'!D20</f>
        <v>0</v>
      </c>
      <c r="E26" s="289">
        <f>'F- CFyU'!D28</f>
        <v>54879349.19</v>
      </c>
      <c r="F26" s="277">
        <f t="shared" si="7"/>
        <v>54879349.19</v>
      </c>
      <c r="G26" s="349">
        <f t="shared" si="8"/>
        <v>54879349.19</v>
      </c>
      <c r="H26" s="446">
        <f t="shared" si="9"/>
        <v>2555800.596</v>
      </c>
      <c r="I26" s="80"/>
      <c r="K26" s="700" t="s">
        <v>531</v>
      </c>
      <c r="L26" s="701" t="str">
        <f>IF(D12=K12,"OK","MAL")</f>
        <v>OK</v>
      </c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688">
        <v>3.0</v>
      </c>
      <c r="B27" s="664"/>
      <c r="C27" s="277" t="str">
        <f t="shared" si="6"/>
        <v/>
      </c>
      <c r="D27" s="289">
        <f>'F- CFyU'!E20</f>
        <v>0</v>
      </c>
      <c r="E27" s="289">
        <f>'F- CFyU'!E28</f>
        <v>51497976.59</v>
      </c>
      <c r="F27" s="277">
        <f t="shared" si="7"/>
        <v>51497976.59</v>
      </c>
      <c r="G27" s="349">
        <f t="shared" si="8"/>
        <v>51497976.59</v>
      </c>
      <c r="H27" s="446">
        <f t="shared" si="9"/>
        <v>54053777.18</v>
      </c>
      <c r="I27" s="80"/>
      <c r="K27" s="700" t="s">
        <v>533</v>
      </c>
      <c r="L27" s="701" t="str">
        <f>IF(C12=0,"OK","MAL")</f>
        <v>OK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688">
        <v>4.0</v>
      </c>
      <c r="B28" s="664"/>
      <c r="C28" s="277" t="str">
        <f t="shared" si="6"/>
        <v/>
      </c>
      <c r="D28" s="289">
        <f>'F- CFyU'!F20</f>
        <v>0</v>
      </c>
      <c r="E28" s="289">
        <f>'F- CFyU'!F28</f>
        <v>51655828.04</v>
      </c>
      <c r="F28" s="277">
        <f t="shared" si="7"/>
        <v>51655828.04</v>
      </c>
      <c r="G28" s="349">
        <f t="shared" si="8"/>
        <v>51655828.04</v>
      </c>
      <c r="H28" s="446">
        <f t="shared" si="9"/>
        <v>105709605.2</v>
      </c>
      <c r="I28" s="80"/>
      <c r="K28" s="700" t="s">
        <v>535</v>
      </c>
      <c r="L28" s="701" t="str">
        <f>IF((H12-F12-E12+I12)=M12,IF(M12=N10,"OK","MAL"),"MAL")</f>
        <v>OK</v>
      </c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688">
        <v>5.0</v>
      </c>
      <c r="B29" s="664">
        <f>B10+C10-'F-Cred'!D6</f>
        <v>-131100654.2</v>
      </c>
      <c r="C29" s="277">
        <f t="shared" si="6"/>
        <v>-131100654.2</v>
      </c>
      <c r="D29" s="289">
        <f>'F- CFyU'!G20</f>
        <v>0</v>
      </c>
      <c r="E29" s="289">
        <f>'F- CFyU'!G28</f>
        <v>51856503.35</v>
      </c>
      <c r="F29" s="277">
        <f t="shared" si="7"/>
        <v>51856503.35</v>
      </c>
      <c r="G29" s="349">
        <f t="shared" si="8"/>
        <v>182957157.6</v>
      </c>
      <c r="H29" s="446">
        <f t="shared" si="9"/>
        <v>288666762.8</v>
      </c>
      <c r="I29" s="80"/>
      <c r="K29" s="899" t="s">
        <v>715</v>
      </c>
      <c r="L29" s="9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688"/>
      <c r="B30" s="664"/>
      <c r="C30" s="289"/>
      <c r="D30" s="289"/>
      <c r="E30" s="289"/>
      <c r="F30" s="289"/>
      <c r="G30" s="357"/>
      <c r="H30" s="446"/>
      <c r="I30" s="80"/>
      <c r="K30" s="700" t="s">
        <v>716</v>
      </c>
      <c r="L30" s="701" t="str">
        <f>IF((H12-E12-F12)=G31,"OK","MAL")</f>
        <v>MAL</v>
      </c>
      <c r="M30" s="891">
        <f>H12-E12-F12</f>
        <v>233658704.3</v>
      </c>
      <c r="N30" s="891">
        <f>G31</f>
        <v>288666762.8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691" t="s">
        <v>523</v>
      </c>
      <c r="B31" s="900">
        <f t="shared" ref="B31:G31" si="10">SUM(B24:B29)</f>
        <v>-2004265.642</v>
      </c>
      <c r="C31" s="900">
        <f t="shared" si="10"/>
        <v>-2004265.642</v>
      </c>
      <c r="D31" s="900">
        <f t="shared" si="10"/>
        <v>0</v>
      </c>
      <c r="E31" s="900">
        <f t="shared" si="10"/>
        <v>286662497.2</v>
      </c>
      <c r="F31" s="900">
        <f t="shared" si="10"/>
        <v>286662497.2</v>
      </c>
      <c r="G31" s="900">
        <f t="shared" si="10"/>
        <v>288666762.8</v>
      </c>
      <c r="H31" s="901"/>
      <c r="I31" s="80"/>
      <c r="J31" s="80"/>
      <c r="K31" s="700" t="s">
        <v>717</v>
      </c>
      <c r="L31" s="701" t="str">
        <f>IF(('F- CFyU'!H28-'F- CFyU'!H7-'F- CFyU'!H8+'F- CFyU'!H14-'F- CFyU'!H25+'F- CFyU'!H15)='F- Form'!G31,"OK","MAL")</f>
        <v>MAL</v>
      </c>
      <c r="M31" s="902">
        <f>'F- CFyU'!H28-'F- CFyU'!H7-'F- CFyU'!H8+'F- CFyU'!H14-'F- CFyU'!H25+'F- CFyU'!H15</f>
        <v>233658704.3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700" t="s">
        <v>718</v>
      </c>
      <c r="L32" s="701" t="str">
        <f>IF('F-CRes'!G14=G31,"OK","MAL")</f>
        <v>MAL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700" t="s">
        <v>719</v>
      </c>
      <c r="L33" s="701" t="str">
        <f>IF(('F-Balance'!G33+'F-Balance'!G34)='F- Form'!G31,"OK","MAL")</f>
        <v>MAL</v>
      </c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80"/>
      <c r="B34" s="80"/>
      <c r="C34" s="35" t="s">
        <v>524</v>
      </c>
      <c r="D34" s="890">
        <f>G31</f>
        <v>288666762.8</v>
      </c>
      <c r="E34" s="80" t="s">
        <v>720</v>
      </c>
      <c r="F34" s="80"/>
      <c r="G34" s="80"/>
      <c r="H34" s="80"/>
      <c r="I34" s="80"/>
      <c r="J34" s="80"/>
      <c r="K34" s="700" t="s">
        <v>721</v>
      </c>
      <c r="L34" s="701" t="str">
        <f>IF(('F- CFyU'!H10-'F- CFyU'!H16-'F- CFyU'!H19-'F- CFyU'!H17)=G31,"OK","MAL")</f>
        <v>MAL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80"/>
      <c r="B35" s="80"/>
      <c r="C35" s="35" t="s">
        <v>525</v>
      </c>
      <c r="D35" s="768">
        <f>2+(-H25/G26)</f>
        <v>2.953428737</v>
      </c>
      <c r="E35" s="80" t="s">
        <v>722</v>
      </c>
      <c r="F35" s="80"/>
      <c r="G35" s="80"/>
      <c r="H35" s="80"/>
      <c r="I35" s="80"/>
      <c r="J35" s="80"/>
      <c r="K35" s="899" t="s">
        <v>723</v>
      </c>
      <c r="L35" s="9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80"/>
      <c r="B36" s="80"/>
      <c r="C36" s="35" t="s">
        <v>724</v>
      </c>
      <c r="D36" s="892">
        <f>IRR(H24:H29)</f>
        <v>0.5350177635</v>
      </c>
      <c r="E36" s="80"/>
      <c r="F36" s="80"/>
      <c r="G36" s="80"/>
      <c r="H36" s="80"/>
      <c r="I36" s="80"/>
      <c r="J36" s="80"/>
      <c r="K36" s="700" t="s">
        <v>725</v>
      </c>
      <c r="L36" s="701" t="str">
        <f>IF(SUM('F-Balance'!B35:G35)=SUM('F-Balance'!B24:G24),"OK","MAL")</f>
        <v>MAL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4">
    <mergeCell ref="K23:L23"/>
    <mergeCell ref="K24:L24"/>
    <mergeCell ref="K29:L29"/>
    <mergeCell ref="K35:L35"/>
  </mergeCells>
  <conditionalFormatting sqref="L25">
    <cfRule type="cellIs" dxfId="1" priority="1" operator="equal">
      <formula>"OK"</formula>
    </cfRule>
  </conditionalFormatting>
  <conditionalFormatting sqref="L25">
    <cfRule type="cellIs" dxfId="2" priority="2" operator="equal">
      <formula>"MAL"</formula>
    </cfRule>
  </conditionalFormatting>
  <conditionalFormatting sqref="L26">
    <cfRule type="cellIs" dxfId="1" priority="3" operator="equal">
      <formula>"OK"</formula>
    </cfRule>
  </conditionalFormatting>
  <conditionalFormatting sqref="L26">
    <cfRule type="cellIs" dxfId="2" priority="4" operator="equal">
      <formula>"MAL"</formula>
    </cfRule>
  </conditionalFormatting>
  <conditionalFormatting sqref="L27">
    <cfRule type="cellIs" dxfId="1" priority="5" operator="equal">
      <formula>"OK"</formula>
    </cfRule>
  </conditionalFormatting>
  <conditionalFormatting sqref="L27">
    <cfRule type="cellIs" dxfId="2" priority="6" operator="equal">
      <formula>"MAL"</formula>
    </cfRule>
  </conditionalFormatting>
  <conditionalFormatting sqref="L28">
    <cfRule type="cellIs" dxfId="1" priority="7" operator="equal">
      <formula>"OK"</formula>
    </cfRule>
  </conditionalFormatting>
  <conditionalFormatting sqref="L28">
    <cfRule type="cellIs" dxfId="2" priority="8" operator="equal">
      <formula>"MAL"</formula>
    </cfRule>
  </conditionalFormatting>
  <conditionalFormatting sqref="L30">
    <cfRule type="cellIs" dxfId="1" priority="9" operator="equal">
      <formula>"OK"</formula>
    </cfRule>
  </conditionalFormatting>
  <conditionalFormatting sqref="L30">
    <cfRule type="cellIs" dxfId="2" priority="10" operator="equal">
      <formula>"MAL"</formula>
    </cfRule>
  </conditionalFormatting>
  <conditionalFormatting sqref="L31">
    <cfRule type="cellIs" dxfId="1" priority="11" operator="equal">
      <formula>"OK"</formula>
    </cfRule>
  </conditionalFormatting>
  <conditionalFormatting sqref="L31">
    <cfRule type="cellIs" dxfId="2" priority="12" operator="equal">
      <formula>"MAL"</formula>
    </cfRule>
  </conditionalFormatting>
  <conditionalFormatting sqref="L32">
    <cfRule type="cellIs" dxfId="1" priority="13" operator="equal">
      <formula>"OK"</formula>
    </cfRule>
  </conditionalFormatting>
  <conditionalFormatting sqref="L32">
    <cfRule type="cellIs" dxfId="2" priority="14" operator="equal">
      <formula>"MAL"</formula>
    </cfRule>
  </conditionalFormatting>
  <conditionalFormatting sqref="L33">
    <cfRule type="cellIs" dxfId="1" priority="15" operator="equal">
      <formula>"OK"</formula>
    </cfRule>
  </conditionalFormatting>
  <conditionalFormatting sqref="L33">
    <cfRule type="cellIs" dxfId="2" priority="16" operator="equal">
      <formula>"MAL"</formula>
    </cfRule>
  </conditionalFormatting>
  <conditionalFormatting sqref="L34">
    <cfRule type="cellIs" dxfId="1" priority="17" operator="equal">
      <formula>"OK"</formula>
    </cfRule>
  </conditionalFormatting>
  <conditionalFormatting sqref="L34">
    <cfRule type="cellIs" dxfId="2" priority="18" operator="equal">
      <formula>"MAL"</formula>
    </cfRule>
  </conditionalFormatting>
  <conditionalFormatting sqref="L36">
    <cfRule type="cellIs" dxfId="1" priority="19" operator="equal">
      <formula>"OK"</formula>
    </cfRule>
  </conditionalFormatting>
  <conditionalFormatting sqref="L36">
    <cfRule type="cellIs" dxfId="2" priority="20" operator="equal">
      <formula>"MAL"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10.0"/>
    <col customWidth="1" min="3" max="3" width="13.0"/>
    <col customWidth="1" min="4" max="4" width="12.29"/>
    <col customWidth="1" min="5" max="5" width="27.71"/>
    <col customWidth="1" min="6" max="6" width="18.0"/>
    <col customWidth="1" min="7" max="7" width="24.86"/>
    <col customWidth="1" min="8" max="8" width="27.43"/>
    <col customWidth="1" min="9" max="9" width="13.14"/>
    <col customWidth="1" min="10" max="10" width="17.71"/>
    <col customWidth="1" min="11" max="11" width="19.29"/>
    <col customWidth="1" min="12" max="12" width="14.43"/>
    <col customWidth="1" min="13" max="13" width="10.0"/>
    <col customWidth="1" min="14" max="14" width="11.43"/>
    <col customWidth="1" min="15" max="26" width="10.0"/>
  </cols>
  <sheetData>
    <row r="1" ht="15.75" customHeight="1">
      <c r="B1" s="1"/>
      <c r="C1" s="1"/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3.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3.5" customHeight="1">
      <c r="B3">
        <f>F218/12</f>
        <v>240480</v>
      </c>
      <c r="C3" s="8" t="s">
        <v>3</v>
      </c>
      <c r="D3" s="10" t="s">
        <v>4</v>
      </c>
      <c r="E3" s="12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ht="15.75" customHeight="1">
      <c r="C4" s="14" t="s">
        <v>7</v>
      </c>
      <c r="D4" s="16">
        <v>75000.0</v>
      </c>
      <c r="E4" s="20">
        <f>+'Calculos auxiliares'!D4*InfoInicial!B32</f>
        <v>3000000</v>
      </c>
      <c r="F4" s="22" t="s">
        <v>10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 customHeight="1">
      <c r="A5" s="1"/>
      <c r="B5" s="24"/>
      <c r="C5" s="24"/>
      <c r="D5" s="2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ht="15.75" customHeight="1">
      <c r="C6" s="26" t="s">
        <v>13</v>
      </c>
      <c r="D6" s="28" t="s">
        <v>14</v>
      </c>
      <c r="E6" s="30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ht="15.75" customHeight="1">
      <c r="C7" s="31"/>
      <c r="D7" s="32">
        <v>11244.67</v>
      </c>
      <c r="E7" s="34">
        <v>4479314.2945</v>
      </c>
      <c r="F7" s="1" t="s">
        <v>19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ht="13.5" customHeight="1">
      <c r="B9" s="8" t="s">
        <v>20</v>
      </c>
      <c r="C9" s="10" t="s">
        <v>6</v>
      </c>
      <c r="D9" s="10" t="s">
        <v>21</v>
      </c>
      <c r="E9" s="12" t="s">
        <v>22</v>
      </c>
      <c r="O9" s="1"/>
      <c r="P9" s="1"/>
      <c r="Q9" s="1"/>
      <c r="R9" s="1"/>
    </row>
    <row r="10" ht="12.75" customHeight="1">
      <c r="B10" s="37" t="s">
        <v>23</v>
      </c>
      <c r="C10" s="39">
        <v>60409.0</v>
      </c>
      <c r="D10" s="40">
        <v>1.0</v>
      </c>
      <c r="E10" s="42">
        <f t="shared" ref="E10:E13" si="1">+C10*D10</f>
        <v>60409</v>
      </c>
      <c r="F10" s="45" t="s">
        <v>37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ht="12.75" customHeight="1">
      <c r="B11" s="37" t="s">
        <v>38</v>
      </c>
      <c r="C11" s="39">
        <v>81180.0</v>
      </c>
      <c r="D11" s="40">
        <v>1.0</v>
      </c>
      <c r="E11" s="42">
        <f t="shared" si="1"/>
        <v>81180</v>
      </c>
      <c r="F11" s="45" t="s">
        <v>40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ht="12.75" customHeight="1">
      <c r="B12" s="48" t="s">
        <v>41</v>
      </c>
      <c r="C12" s="50">
        <v>82998.0</v>
      </c>
      <c r="D12" s="52">
        <v>3.0</v>
      </c>
      <c r="E12" s="42">
        <f t="shared" si="1"/>
        <v>248994</v>
      </c>
      <c r="F12" s="45" t="s">
        <v>62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ht="12.75" customHeight="1">
      <c r="B13" s="48" t="s">
        <v>63</v>
      </c>
      <c r="C13" s="50">
        <v>240000.0</v>
      </c>
      <c r="D13" s="55">
        <v>4.0</v>
      </c>
      <c r="E13" s="42">
        <f t="shared" si="1"/>
        <v>960000</v>
      </c>
      <c r="F13" s="45" t="s">
        <v>68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ht="12.75" customHeight="1">
      <c r="B14" s="48" t="s">
        <v>69</v>
      </c>
      <c r="C14" s="58">
        <v>280000.0</v>
      </c>
      <c r="D14" s="52">
        <v>1.0</v>
      </c>
      <c r="E14" s="42">
        <f>C14*D14</f>
        <v>280000</v>
      </c>
      <c r="F14" s="1" t="s">
        <v>73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ht="13.5" customHeight="1">
      <c r="B15" s="48" t="s">
        <v>74</v>
      </c>
      <c r="C15" s="58">
        <v>465000.0</v>
      </c>
      <c r="D15" s="52">
        <v>1.0</v>
      </c>
      <c r="E15" s="42">
        <f>+C15*D15</f>
        <v>465000</v>
      </c>
      <c r="F15" s="62" t="s">
        <v>76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ht="13.5" customHeight="1">
      <c r="E16" s="63">
        <f>+SUM(E10:E15)</f>
        <v>2095583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ht="13.5" customHeight="1">
      <c r="A17" s="5"/>
      <c r="B17" s="1"/>
      <c r="C17" s="6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ht="13.5" customHeight="1">
      <c r="B18" s="8" t="s">
        <v>77</v>
      </c>
      <c r="C18" s="10" t="s">
        <v>6</v>
      </c>
      <c r="D18" s="10" t="s">
        <v>21</v>
      </c>
      <c r="E18" s="12" t="s">
        <v>22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ht="12.75" customHeight="1">
      <c r="B19" s="65" t="s">
        <v>78</v>
      </c>
      <c r="C19" s="66">
        <v>1200000.0</v>
      </c>
      <c r="D19" s="40">
        <v>2.0</v>
      </c>
      <c r="E19" s="42">
        <f>+C19*D19</f>
        <v>2400000</v>
      </c>
      <c r="F19" s="67" t="s">
        <v>79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ht="12.75" customHeight="1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ht="12.75" customHeight="1">
      <c r="A21" s="68" t="s">
        <v>80</v>
      </c>
      <c r="B21" s="6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ht="12.75" customHeight="1">
      <c r="B22" s="70" t="s">
        <v>81</v>
      </c>
      <c r="C22" s="71">
        <v>118800.0</v>
      </c>
      <c r="D22" s="72" t="s">
        <v>82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ht="12.75" customHeight="1">
      <c r="B23" s="73" t="s">
        <v>83</v>
      </c>
      <c r="C23" s="74">
        <v>79200.0</v>
      </c>
      <c r="D23" s="72" t="s">
        <v>84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ht="12.75" customHeight="1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ht="13.5" customHeight="1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ht="13.5" customHeight="1">
      <c r="B26" s="8" t="s">
        <v>85</v>
      </c>
      <c r="C26" s="10" t="s">
        <v>6</v>
      </c>
      <c r="D26" s="10" t="s">
        <v>21</v>
      </c>
      <c r="E26" s="75" t="s">
        <v>22</v>
      </c>
      <c r="F26" s="76" t="s">
        <v>86</v>
      </c>
      <c r="G26" s="12" t="s">
        <v>87</v>
      </c>
      <c r="H26" s="12" t="s">
        <v>88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ht="12.75" customHeight="1">
      <c r="B27" s="77" t="s">
        <v>89</v>
      </c>
      <c r="C27" s="39">
        <v>2500.0</v>
      </c>
      <c r="D27" s="78">
        <v>8.0</v>
      </c>
      <c r="E27" s="79">
        <f t="shared" ref="E27:E52" si="2">C27*D27</f>
        <v>20000</v>
      </c>
      <c r="F27" s="81">
        <f>4*C27</f>
        <v>10000</v>
      </c>
      <c r="G27" s="81">
        <f>2*C27</f>
        <v>5000</v>
      </c>
      <c r="H27" s="81">
        <f t="shared" ref="H27:H28" si="3">2*C27</f>
        <v>5000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ht="12.75" customHeight="1">
      <c r="B28" s="84" t="s">
        <v>93</v>
      </c>
      <c r="C28" s="50">
        <v>1500.0</v>
      </c>
      <c r="D28" s="55">
        <v>11.0</v>
      </c>
      <c r="E28" s="86">
        <f t="shared" si="2"/>
        <v>16500</v>
      </c>
      <c r="F28" s="88">
        <f>6*C28</f>
        <v>9000</v>
      </c>
      <c r="G28" s="90">
        <f>3*C28</f>
        <v>4500</v>
      </c>
      <c r="H28" s="90">
        <f t="shared" si="3"/>
        <v>3000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ht="12.75" customHeight="1">
      <c r="B29" s="84" t="s">
        <v>96</v>
      </c>
      <c r="C29" s="50">
        <v>8000.0</v>
      </c>
      <c r="D29" s="55">
        <v>4.0</v>
      </c>
      <c r="E29" s="86">
        <f t="shared" si="2"/>
        <v>32000</v>
      </c>
      <c r="F29" s="88">
        <f t="shared" ref="F29:F30" si="4">2*C29</f>
        <v>16000</v>
      </c>
      <c r="G29" s="90">
        <f t="shared" ref="G29:G30" si="5">C29</f>
        <v>8000</v>
      </c>
      <c r="H29" s="90">
        <f t="shared" ref="H29:H30" si="6">C29</f>
        <v>8000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ht="12.75" customHeight="1">
      <c r="B30" s="84" t="s">
        <v>97</v>
      </c>
      <c r="C30" s="50">
        <v>12000.0</v>
      </c>
      <c r="D30" s="55">
        <v>4.0</v>
      </c>
      <c r="E30" s="86">
        <f t="shared" si="2"/>
        <v>48000</v>
      </c>
      <c r="F30" s="88">
        <f t="shared" si="4"/>
        <v>24000</v>
      </c>
      <c r="G30" s="90">
        <f t="shared" si="5"/>
        <v>12000</v>
      </c>
      <c r="H30" s="90">
        <f t="shared" si="6"/>
        <v>12000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ht="12.75" customHeight="1">
      <c r="B31" s="84" t="s">
        <v>99</v>
      </c>
      <c r="C31" s="50">
        <v>400.0</v>
      </c>
      <c r="D31" s="55">
        <v>11.0</v>
      </c>
      <c r="E31" s="86">
        <f t="shared" si="2"/>
        <v>4400</v>
      </c>
      <c r="F31" s="88">
        <f>4*C31</f>
        <v>1600</v>
      </c>
      <c r="G31" s="50">
        <f>2*C31</f>
        <v>800</v>
      </c>
      <c r="H31" s="90">
        <f>5*C31</f>
        <v>2000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ht="12.75" customHeight="1">
      <c r="B32" s="84" t="s">
        <v>101</v>
      </c>
      <c r="C32" s="50">
        <v>600.0</v>
      </c>
      <c r="D32" s="55">
        <v>2.0</v>
      </c>
      <c r="E32" s="86">
        <f t="shared" si="2"/>
        <v>1200</v>
      </c>
      <c r="F32" s="81">
        <v>0.0</v>
      </c>
      <c r="G32" s="99">
        <v>0.0</v>
      </c>
      <c r="H32" s="90">
        <f>2*C32</f>
        <v>1200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ht="12.75" customHeight="1">
      <c r="B33" s="84" t="s">
        <v>103</v>
      </c>
      <c r="C33" s="50">
        <v>2200.0</v>
      </c>
      <c r="D33" s="55">
        <v>11.0</v>
      </c>
      <c r="E33" s="86">
        <f t="shared" si="2"/>
        <v>24200</v>
      </c>
      <c r="F33" s="88">
        <f>3*C33</f>
        <v>6600</v>
      </c>
      <c r="G33" s="90">
        <f>2*C33</f>
        <v>4400</v>
      </c>
      <c r="H33" s="90">
        <f>6*C33</f>
        <v>13200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ht="12.75" customHeight="1">
      <c r="B34" s="84" t="s">
        <v>107</v>
      </c>
      <c r="C34" s="50">
        <v>600.0</v>
      </c>
      <c r="D34" s="55">
        <v>4.0</v>
      </c>
      <c r="E34" s="86">
        <f t="shared" si="2"/>
        <v>2400</v>
      </c>
      <c r="F34" s="81">
        <v>600.0</v>
      </c>
      <c r="G34" s="90">
        <f>1*C34</f>
        <v>600</v>
      </c>
      <c r="H34" s="90">
        <f>2*C34</f>
        <v>1200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ht="12.75" customHeight="1">
      <c r="B35" s="84" t="s">
        <v>110</v>
      </c>
      <c r="C35" s="58">
        <v>250.0</v>
      </c>
      <c r="D35" s="55">
        <v>3.0</v>
      </c>
      <c r="E35" s="86">
        <f t="shared" si="2"/>
        <v>750</v>
      </c>
      <c r="F35" s="81">
        <v>250.0</v>
      </c>
      <c r="G35" s="99">
        <v>250.0</v>
      </c>
      <c r="H35" s="99">
        <v>250.0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ht="12.75" customHeight="1">
      <c r="B36" s="84" t="s">
        <v>111</v>
      </c>
      <c r="C36" s="50">
        <v>300.0</v>
      </c>
      <c r="D36" s="55">
        <v>7.0</v>
      </c>
      <c r="E36" s="86">
        <f t="shared" si="2"/>
        <v>2100</v>
      </c>
      <c r="F36" s="88">
        <f>2*C36</f>
        <v>600</v>
      </c>
      <c r="G36" s="90">
        <f>1*C36</f>
        <v>300</v>
      </c>
      <c r="H36" s="90">
        <f t="shared" ref="H36:H37" si="7">4*C36</f>
        <v>1200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ht="12.75" customHeight="1">
      <c r="B37" s="84" t="s">
        <v>113</v>
      </c>
      <c r="C37" s="50">
        <v>1500.0</v>
      </c>
      <c r="D37" s="55">
        <v>5.0</v>
      </c>
      <c r="E37" s="86">
        <f t="shared" si="2"/>
        <v>7500</v>
      </c>
      <c r="F37" s="88">
        <f>1*C37</f>
        <v>1500</v>
      </c>
      <c r="G37" s="99">
        <v>0.0</v>
      </c>
      <c r="H37" s="90">
        <f t="shared" si="7"/>
        <v>6000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ht="12.75" customHeight="1">
      <c r="B38" s="84" t="s">
        <v>116</v>
      </c>
      <c r="C38" s="50">
        <v>250.0</v>
      </c>
      <c r="D38" s="55">
        <v>3.0</v>
      </c>
      <c r="E38" s="86">
        <f t="shared" si="2"/>
        <v>750</v>
      </c>
      <c r="F38" s="88">
        <f t="shared" ref="F38:H38" si="8">1*$C$38</f>
        <v>250</v>
      </c>
      <c r="G38" s="88">
        <f t="shared" si="8"/>
        <v>250</v>
      </c>
      <c r="H38" s="88">
        <f t="shared" si="8"/>
        <v>250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ht="12.75" customHeight="1">
      <c r="B39" s="84" t="s">
        <v>117</v>
      </c>
      <c r="C39" s="50">
        <v>900.0</v>
      </c>
      <c r="D39" s="55">
        <v>3.0</v>
      </c>
      <c r="E39" s="86">
        <f t="shared" si="2"/>
        <v>2700</v>
      </c>
      <c r="F39" s="81">
        <v>900.0</v>
      </c>
      <c r="G39" s="99">
        <v>900.0</v>
      </c>
      <c r="H39" s="99">
        <v>900.0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ht="12.75" customHeight="1">
      <c r="B40" s="84" t="s">
        <v>118</v>
      </c>
      <c r="C40" s="50">
        <v>1400.0</v>
      </c>
      <c r="D40" s="55">
        <v>14.0</v>
      </c>
      <c r="E40" s="86">
        <f t="shared" si="2"/>
        <v>19600</v>
      </c>
      <c r="F40" s="81">
        <v>0.0</v>
      </c>
      <c r="G40" s="99">
        <v>0.0</v>
      </c>
      <c r="H40" s="90">
        <f t="shared" ref="H40:H44" si="9">14*C40</f>
        <v>19600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ht="12.75" customHeight="1">
      <c r="B41" s="84" t="s">
        <v>120</v>
      </c>
      <c r="C41" s="50">
        <v>3000.0</v>
      </c>
      <c r="D41" s="55">
        <v>14.0</v>
      </c>
      <c r="E41" s="86">
        <f t="shared" si="2"/>
        <v>42000</v>
      </c>
      <c r="F41" s="81">
        <v>0.0</v>
      </c>
      <c r="G41" s="99">
        <v>0.0</v>
      </c>
      <c r="H41" s="90">
        <f t="shared" si="9"/>
        <v>42000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2.75" customHeight="1">
      <c r="B42" s="84" t="s">
        <v>121</v>
      </c>
      <c r="C42" s="50">
        <v>25.0</v>
      </c>
      <c r="D42" s="55">
        <v>14.0</v>
      </c>
      <c r="E42" s="86">
        <f t="shared" si="2"/>
        <v>350</v>
      </c>
      <c r="F42" s="81">
        <v>0.0</v>
      </c>
      <c r="G42" s="99">
        <v>0.0</v>
      </c>
      <c r="H42" s="90">
        <f t="shared" si="9"/>
        <v>350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ht="12.75" customHeight="1">
      <c r="B43" s="84" t="s">
        <v>122</v>
      </c>
      <c r="C43" s="50">
        <v>10.0</v>
      </c>
      <c r="D43" s="55">
        <v>14.0</v>
      </c>
      <c r="E43" s="86">
        <f t="shared" si="2"/>
        <v>140</v>
      </c>
      <c r="F43" s="81">
        <v>0.0</v>
      </c>
      <c r="G43" s="99">
        <v>0.0</v>
      </c>
      <c r="H43" s="90">
        <f t="shared" si="9"/>
        <v>140</v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ht="12.75" customHeight="1">
      <c r="B44" s="84" t="s">
        <v>123</v>
      </c>
      <c r="C44" s="50">
        <v>60.0</v>
      </c>
      <c r="D44" s="55">
        <v>14.0</v>
      </c>
      <c r="E44" s="86">
        <f t="shared" si="2"/>
        <v>840</v>
      </c>
      <c r="F44" s="81">
        <v>0.0</v>
      </c>
      <c r="G44" s="99">
        <v>0.0</v>
      </c>
      <c r="H44" s="90">
        <f t="shared" si="9"/>
        <v>840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ht="12.75" customHeight="1">
      <c r="B45" s="84" t="s">
        <v>124</v>
      </c>
      <c r="C45" s="50">
        <v>12000.0</v>
      </c>
      <c r="D45" s="55">
        <v>2.0</v>
      </c>
      <c r="E45" s="86">
        <f t="shared" si="2"/>
        <v>24000</v>
      </c>
      <c r="F45" s="81">
        <v>0.0</v>
      </c>
      <c r="G45" s="99">
        <v>0.0</v>
      </c>
      <c r="H45" s="90">
        <f>2*C45</f>
        <v>24000</v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ht="12.75" customHeight="1">
      <c r="B46" s="84" t="s">
        <v>126</v>
      </c>
      <c r="C46" s="50">
        <v>350.0</v>
      </c>
      <c r="D46" s="55">
        <v>7.0</v>
      </c>
      <c r="E46" s="86">
        <f t="shared" si="2"/>
        <v>2450</v>
      </c>
      <c r="F46" s="81">
        <v>0.0</v>
      </c>
      <c r="G46" s="99">
        <v>0.0</v>
      </c>
      <c r="H46" s="90">
        <f>7*C46</f>
        <v>2450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ht="12.75" customHeight="1">
      <c r="B47" s="84" t="s">
        <v>127</v>
      </c>
      <c r="C47" s="50">
        <v>6000.0</v>
      </c>
      <c r="D47" s="55">
        <v>4.0</v>
      </c>
      <c r="E47" s="86">
        <f t="shared" si="2"/>
        <v>24000</v>
      </c>
      <c r="F47" s="88">
        <f>2*C47</f>
        <v>12000</v>
      </c>
      <c r="G47" s="90">
        <f>1*C47</f>
        <v>6000</v>
      </c>
      <c r="H47" s="90">
        <f>1*C47</f>
        <v>6000</v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ht="12.75" customHeight="1">
      <c r="B48" s="84" t="s">
        <v>132</v>
      </c>
      <c r="C48" s="50">
        <v>150.0</v>
      </c>
      <c r="D48" s="55">
        <v>14.0</v>
      </c>
      <c r="E48" s="86">
        <f t="shared" si="2"/>
        <v>2100</v>
      </c>
      <c r="F48" s="81">
        <v>0.0</v>
      </c>
      <c r="G48" s="99">
        <v>0.0</v>
      </c>
      <c r="H48" s="90">
        <f t="shared" ref="H48:H49" si="10">14*C48</f>
        <v>2100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ht="12.75" customHeight="1">
      <c r="B49" s="84" t="s">
        <v>134</v>
      </c>
      <c r="C49" s="50">
        <v>100.0</v>
      </c>
      <c r="D49" s="55">
        <v>14.0</v>
      </c>
      <c r="E49" s="86">
        <f t="shared" si="2"/>
        <v>1400</v>
      </c>
      <c r="F49" s="81">
        <v>0.0</v>
      </c>
      <c r="G49" s="99">
        <v>0.0</v>
      </c>
      <c r="H49" s="90">
        <f t="shared" si="10"/>
        <v>1400</v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ht="12.75" customHeight="1">
      <c r="B50" s="84" t="s">
        <v>136</v>
      </c>
      <c r="C50" s="50">
        <v>2000.0</v>
      </c>
      <c r="D50" s="55">
        <v>6.0</v>
      </c>
      <c r="E50" s="86">
        <f t="shared" si="2"/>
        <v>12000</v>
      </c>
      <c r="F50" s="88">
        <f t="shared" ref="F50:F51" si="11">4*C50</f>
        <v>8000</v>
      </c>
      <c r="G50" s="90">
        <f>2*C50</f>
        <v>4000</v>
      </c>
      <c r="H50" s="99">
        <v>0.0</v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ht="12.75" customHeight="1">
      <c r="B51" s="84" t="s">
        <v>139</v>
      </c>
      <c r="C51" s="50">
        <v>300.0</v>
      </c>
      <c r="D51" s="55">
        <v>4.0</v>
      </c>
      <c r="E51" s="86">
        <f t="shared" si="2"/>
        <v>1200</v>
      </c>
      <c r="F51" s="88">
        <f t="shared" si="11"/>
        <v>1200</v>
      </c>
      <c r="G51" s="90">
        <f>1*C51</f>
        <v>300</v>
      </c>
      <c r="H51" s="99">
        <v>0.0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ht="12.75" customHeight="1">
      <c r="B52" s="84" t="s">
        <v>140</v>
      </c>
      <c r="C52" s="50">
        <v>5000.0</v>
      </c>
      <c r="D52" s="55">
        <v>3.0</v>
      </c>
      <c r="E52" s="86">
        <f t="shared" si="2"/>
        <v>15000</v>
      </c>
      <c r="F52" s="81">
        <v>5000.0</v>
      </c>
      <c r="G52" s="99">
        <v>5000.0</v>
      </c>
      <c r="H52" s="99">
        <v>5000.0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ht="13.5" customHeight="1">
      <c r="B53" s="5"/>
      <c r="C53" s="1"/>
      <c r="D53" s="1"/>
      <c r="E53" s="109">
        <f t="shared" ref="E53:H53" si="12">SUM(E27:E52)</f>
        <v>307580</v>
      </c>
      <c r="F53" s="110">
        <f t="shared" si="12"/>
        <v>97500</v>
      </c>
      <c r="G53" s="110">
        <f t="shared" si="12"/>
        <v>52300</v>
      </c>
      <c r="H53" s="110">
        <f t="shared" si="12"/>
        <v>158080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ht="13.5" customHeight="1">
      <c r="B54" s="5"/>
      <c r="C54" s="1"/>
      <c r="D54" s="1"/>
      <c r="E54" s="1"/>
      <c r="F54" s="112">
        <f>F53/E53</f>
        <v>0.3169907016</v>
      </c>
      <c r="G54" s="113">
        <f>G53/E53</f>
        <v>0.1700370635</v>
      </c>
      <c r="H54" s="113">
        <f>H53/E53</f>
        <v>0.5139475909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ht="13.5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ht="12.75" customHeight="1">
      <c r="B56" s="8" t="s">
        <v>144</v>
      </c>
      <c r="C56" s="10" t="s">
        <v>6</v>
      </c>
      <c r="D56" s="10" t="s">
        <v>21</v>
      </c>
      <c r="E56" s="12" t="s">
        <v>22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ht="12.75" customHeight="1">
      <c r="B57" s="114" t="s">
        <v>145</v>
      </c>
      <c r="C57" s="58">
        <v>1.0</v>
      </c>
      <c r="D57" s="55">
        <v>500.0</v>
      </c>
      <c r="E57" s="90">
        <f t="shared" ref="E57:E64" si="13">C57*D57</f>
        <v>500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ht="12.75" customHeight="1">
      <c r="B58" s="114" t="s">
        <v>147</v>
      </c>
      <c r="C58" s="58">
        <v>1.0</v>
      </c>
      <c r="D58" s="55">
        <v>100.0</v>
      </c>
      <c r="E58" s="90">
        <f t="shared" si="13"/>
        <v>100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ht="12.75" customHeight="1">
      <c r="B59" s="114" t="s">
        <v>148</v>
      </c>
      <c r="C59" s="58">
        <v>5.0</v>
      </c>
      <c r="D59" s="55">
        <v>1000.0</v>
      </c>
      <c r="E59" s="90">
        <f t="shared" si="13"/>
        <v>5000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ht="12.75" customHeight="1">
      <c r="B60" s="84" t="s">
        <v>149</v>
      </c>
      <c r="C60" s="118">
        <v>48.0</v>
      </c>
      <c r="D60" s="55">
        <v>30.0</v>
      </c>
      <c r="E60" s="90">
        <f t="shared" si="13"/>
        <v>1440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ht="12.75" customHeight="1">
      <c r="B61" s="84" t="s">
        <v>150</v>
      </c>
      <c r="C61" s="58">
        <v>150.0</v>
      </c>
      <c r="D61" s="55">
        <v>50.0</v>
      </c>
      <c r="E61" s="90">
        <f t="shared" si="13"/>
        <v>7500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ht="12.75" customHeight="1">
      <c r="B62" s="84" t="s">
        <v>151</v>
      </c>
      <c r="C62" s="58">
        <v>720.0</v>
      </c>
      <c r="D62" s="55">
        <v>2.0</v>
      </c>
      <c r="E62" s="90">
        <f t="shared" si="13"/>
        <v>1440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ht="13.5" customHeight="1">
      <c r="B63" s="120" t="s">
        <v>153</v>
      </c>
      <c r="C63" s="122">
        <v>2.0</v>
      </c>
      <c r="D63" s="125">
        <v>1000.0</v>
      </c>
      <c r="E63" s="90">
        <f t="shared" si="13"/>
        <v>2000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ht="13.5" customHeight="1">
      <c r="B64" s="127" t="s">
        <v>161</v>
      </c>
      <c r="C64" s="129">
        <v>2000.0</v>
      </c>
      <c r="D64" s="130">
        <v>2.0</v>
      </c>
      <c r="E64" s="90">
        <f t="shared" si="13"/>
        <v>4000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ht="12.75" customHeight="1">
      <c r="A65" s="5"/>
      <c r="B65" s="5"/>
      <c r="C65" s="1"/>
      <c r="D65" s="1"/>
      <c r="E65" s="109">
        <f>SUM(E57:E64)</f>
        <v>21980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ht="13.5" customHeight="1">
      <c r="A66" s="135" t="s">
        <v>165</v>
      </c>
      <c r="B66" s="139"/>
      <c r="C66" s="140"/>
      <c r="D66" s="14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ht="15.75" customHeight="1">
      <c r="D67" s="14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ht="12.75" customHeight="1">
      <c r="D68" s="14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ht="12.75" customHeight="1">
      <c r="B69" s="143"/>
      <c r="C69" s="146" t="s">
        <v>166</v>
      </c>
      <c r="D69" s="146" t="s">
        <v>167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ht="13.5" customHeight="1">
      <c r="B70" s="150" t="s">
        <v>168</v>
      </c>
      <c r="C70" s="155">
        <v>221.15</v>
      </c>
      <c r="D70" s="157">
        <f t="shared" ref="D70:D72" si="14">C70/ SUM(C$70:C$72)</f>
        <v>0.5845116955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ht="13.5" customHeight="1">
      <c r="B71" s="158" t="s">
        <v>169</v>
      </c>
      <c r="C71" s="159">
        <v>127.2</v>
      </c>
      <c r="D71" s="157">
        <f t="shared" si="14"/>
        <v>0.3361966433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ht="12.75" customHeight="1">
      <c r="A72" s="143"/>
      <c r="B72" s="161" t="s">
        <v>170</v>
      </c>
      <c r="C72" s="162">
        <v>30.0</v>
      </c>
      <c r="D72" s="157">
        <f t="shared" si="14"/>
        <v>0.07929166116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ht="15.75" customHeight="1">
      <c r="A73" s="5"/>
      <c r="B73" s="163" t="s">
        <v>171</v>
      </c>
      <c r="C73" s="165">
        <f t="shared" ref="C73:D73" si="15">+SUM(C70:C72)</f>
        <v>378.35</v>
      </c>
      <c r="D73" s="167">
        <f t="shared" si="15"/>
        <v>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ht="15.75" customHeight="1">
      <c r="A74" s="5"/>
      <c r="B74" s="3"/>
      <c r="C74" s="1"/>
      <c r="D74" s="1"/>
      <c r="E74" s="1"/>
      <c r="F74" s="16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ht="12.75" customHeight="1">
      <c r="A75" s="5"/>
      <c r="B75" s="1"/>
      <c r="C75" s="169" t="s">
        <v>172</v>
      </c>
      <c r="D75" s="1"/>
      <c r="E75" s="170" t="s">
        <v>173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ht="13.5" customHeight="1">
      <c r="A76" s="5"/>
      <c r="B76" s="1"/>
      <c r="C76" s="1"/>
      <c r="D76" s="1"/>
      <c r="E76" s="1"/>
      <c r="F76" s="1"/>
      <c r="G76" s="1"/>
      <c r="H76" s="1"/>
      <c r="I76" s="171"/>
      <c r="J76" s="1"/>
      <c r="K76" s="1"/>
      <c r="L76" s="1"/>
      <c r="M76" s="1"/>
      <c r="N76" s="1"/>
      <c r="O76" s="1"/>
      <c r="P76" s="1"/>
      <c r="Q76" s="1"/>
      <c r="R76" s="1"/>
    </row>
    <row r="77" ht="13.5" customHeight="1">
      <c r="A77" s="5"/>
      <c r="B77" s="1"/>
      <c r="C77" s="1"/>
      <c r="D77" s="1"/>
      <c r="E77" s="8" t="s">
        <v>174</v>
      </c>
      <c r="F77" s="173" t="s">
        <v>175</v>
      </c>
      <c r="G77" s="174" t="s">
        <v>176</v>
      </c>
      <c r="H77" s="173" t="s">
        <v>177</v>
      </c>
      <c r="I77" s="175" t="s">
        <v>178</v>
      </c>
      <c r="J77" s="176" t="s">
        <v>179</v>
      </c>
      <c r="K77" s="1"/>
      <c r="L77" s="72"/>
      <c r="M77" s="1"/>
      <c r="N77" s="1"/>
      <c r="O77" s="1"/>
      <c r="P77" s="1"/>
      <c r="Q77" s="1"/>
      <c r="R77" s="1"/>
    </row>
    <row r="78" ht="12.75" customHeight="1">
      <c r="A78" s="5"/>
      <c r="B78" s="1"/>
      <c r="C78" s="1"/>
      <c r="D78" s="1"/>
      <c r="E78" s="177">
        <v>1.0</v>
      </c>
      <c r="F78" s="178" t="s">
        <v>180</v>
      </c>
      <c r="G78" s="180">
        <f>991.525/1000</f>
        <v>0.991525</v>
      </c>
      <c r="H78" s="78" t="s">
        <v>181</v>
      </c>
      <c r="I78" s="181">
        <v>81.0</v>
      </c>
      <c r="J78" s="182">
        <f t="shared" ref="J78:J82" si="16">$F$215*I78*G78</f>
        <v>203287185.1</v>
      </c>
      <c r="K78" s="183" t="s">
        <v>182</v>
      </c>
      <c r="L78" s="72"/>
      <c r="M78" s="1"/>
      <c r="N78" s="1"/>
      <c r="O78" s="1"/>
      <c r="P78" s="1"/>
      <c r="Q78" s="1"/>
      <c r="R78" s="1"/>
    </row>
    <row r="79" ht="12.75" customHeight="1">
      <c r="A79" s="5"/>
      <c r="B79" s="1"/>
      <c r="C79" s="1"/>
      <c r="D79" s="1"/>
      <c r="E79" s="184">
        <v>2.0</v>
      </c>
      <c r="F79" s="185" t="s">
        <v>183</v>
      </c>
      <c r="G79" s="186">
        <v>0.0084375</v>
      </c>
      <c r="H79" s="55" t="s">
        <v>181</v>
      </c>
      <c r="I79" s="187">
        <v>11.0</v>
      </c>
      <c r="J79" s="182">
        <f t="shared" si="16"/>
        <v>234924.2156</v>
      </c>
      <c r="K79" s="62" t="s">
        <v>185</v>
      </c>
      <c r="L79" s="1"/>
      <c r="M79" s="1"/>
      <c r="N79" s="1"/>
      <c r="O79" s="1"/>
      <c r="P79" s="1"/>
      <c r="Q79" s="1"/>
      <c r="R79" s="1"/>
    </row>
    <row r="80" ht="12.75" customHeight="1">
      <c r="A80" s="5"/>
      <c r="B80" s="1"/>
      <c r="C80" s="1"/>
      <c r="D80" s="1"/>
      <c r="E80" s="184">
        <v>3.0</v>
      </c>
      <c r="F80" s="185" t="s">
        <v>186</v>
      </c>
      <c r="G80" s="191">
        <v>1.25E-5</v>
      </c>
      <c r="H80" s="55" t="s">
        <v>181</v>
      </c>
      <c r="I80" s="187">
        <v>13.33</v>
      </c>
      <c r="J80" s="182">
        <f t="shared" si="16"/>
        <v>421.7562013</v>
      </c>
      <c r="K80" s="193" t="s">
        <v>187</v>
      </c>
      <c r="N80" s="1"/>
      <c r="O80" s="1"/>
      <c r="P80" s="1"/>
      <c r="Q80" s="1"/>
      <c r="R80" s="1"/>
    </row>
    <row r="81" ht="12.75" customHeight="1">
      <c r="A81" s="5"/>
      <c r="B81" s="1"/>
      <c r="C81" s="1"/>
      <c r="D81" s="1"/>
      <c r="E81" s="184">
        <v>4.0</v>
      </c>
      <c r="F81" s="185" t="s">
        <v>188</v>
      </c>
      <c r="G81" s="191">
        <v>1.25E-5</v>
      </c>
      <c r="H81" s="55" t="s">
        <v>181</v>
      </c>
      <c r="I81" s="187">
        <v>13.33</v>
      </c>
      <c r="J81" s="182">
        <f t="shared" si="16"/>
        <v>421.7562013</v>
      </c>
      <c r="N81" s="1"/>
      <c r="O81" s="1"/>
      <c r="P81" s="1"/>
      <c r="Q81" s="1"/>
      <c r="R81" s="1"/>
    </row>
    <row r="82" ht="12.75" customHeight="1">
      <c r="A82" s="5"/>
      <c r="B82" s="1"/>
      <c r="C82" s="1"/>
      <c r="D82" s="1"/>
      <c r="E82" s="184">
        <v>5.0</v>
      </c>
      <c r="F82" s="185" t="s">
        <v>189</v>
      </c>
      <c r="G82" s="191">
        <v>1.25E-5</v>
      </c>
      <c r="H82" s="55" t="s">
        <v>181</v>
      </c>
      <c r="I82" s="187">
        <v>13.33</v>
      </c>
      <c r="J82" s="182">
        <f t="shared" si="16"/>
        <v>421.7562013</v>
      </c>
      <c r="N82" s="1"/>
      <c r="O82" s="1"/>
      <c r="P82" s="1"/>
      <c r="Q82" s="1"/>
      <c r="R82" s="1"/>
    </row>
    <row r="83" ht="13.5" customHeight="1">
      <c r="A83" s="5"/>
      <c r="B83" s="1"/>
      <c r="C83" s="1"/>
      <c r="D83" s="1"/>
      <c r="E83" s="171"/>
      <c r="F83" s="195"/>
      <c r="G83" s="64"/>
      <c r="H83" s="64"/>
      <c r="I83" s="197" t="s">
        <v>190</v>
      </c>
      <c r="J83" s="199">
        <f>SUM(J78:J82)</f>
        <v>203523374.6</v>
      </c>
      <c r="K83" s="1"/>
      <c r="L83" s="1"/>
      <c r="M83" s="1"/>
      <c r="N83" s="1"/>
      <c r="O83" s="1"/>
      <c r="P83" s="1"/>
      <c r="Q83" s="1"/>
      <c r="R83" s="1"/>
    </row>
    <row r="84" ht="12.75" customHeight="1">
      <c r="A84" s="5"/>
      <c r="B84" s="1"/>
      <c r="C84" s="1"/>
      <c r="D84" s="1"/>
      <c r="E84" s="170" t="s">
        <v>192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ht="13.5" customHeight="1">
      <c r="A85" s="5"/>
      <c r="B85" s="1"/>
      <c r="C85" s="1"/>
      <c r="D85" s="1"/>
      <c r="E85" s="1"/>
      <c r="F85" s="1"/>
      <c r="G85" s="1"/>
      <c r="H85" s="1"/>
      <c r="I85" s="171"/>
      <c r="J85" s="1"/>
      <c r="K85" s="1"/>
      <c r="L85" s="1"/>
      <c r="M85" s="1"/>
      <c r="N85" s="1"/>
      <c r="O85" s="1"/>
      <c r="P85" s="1"/>
      <c r="Q85" s="1"/>
      <c r="R85" s="1"/>
    </row>
    <row r="86" ht="13.5" customHeight="1">
      <c r="A86" s="5"/>
      <c r="B86" s="1"/>
      <c r="C86" s="1"/>
      <c r="D86" s="1"/>
      <c r="E86" s="8" t="s">
        <v>174</v>
      </c>
      <c r="F86" s="173" t="s">
        <v>175</v>
      </c>
      <c r="G86" s="174" t="s">
        <v>176</v>
      </c>
      <c r="H86" s="173" t="s">
        <v>177</v>
      </c>
      <c r="I86" s="175" t="s">
        <v>178</v>
      </c>
      <c r="J86" s="176" t="s">
        <v>179</v>
      </c>
      <c r="K86" s="1"/>
      <c r="L86" s="1"/>
      <c r="M86" s="1"/>
      <c r="N86" s="1"/>
      <c r="O86" s="1"/>
      <c r="P86" s="1"/>
      <c r="Q86" s="1"/>
      <c r="R86" s="1"/>
    </row>
    <row r="87" ht="12.75" customHeight="1">
      <c r="A87" s="5"/>
      <c r="B87" s="1"/>
      <c r="C87" s="1"/>
      <c r="D87" s="1"/>
      <c r="E87" s="177">
        <v>1.0</v>
      </c>
      <c r="F87" s="178" t="s">
        <v>180</v>
      </c>
      <c r="G87" s="180">
        <f>991.525/1000</f>
        <v>0.991525</v>
      </c>
      <c r="H87" s="78" t="s">
        <v>181</v>
      </c>
      <c r="I87" s="181">
        <v>81.0</v>
      </c>
      <c r="J87" s="182">
        <f t="shared" ref="J87:J91" si="17">$F$218*I87*G87</f>
        <v>231765557.9</v>
      </c>
      <c r="K87" s="1"/>
      <c r="L87" s="1"/>
      <c r="M87" s="1"/>
      <c r="N87" s="1"/>
      <c r="O87" s="1"/>
      <c r="P87" s="1"/>
      <c r="Q87" s="1"/>
      <c r="R87" s="1"/>
    </row>
    <row r="88" ht="12.75" customHeight="1">
      <c r="A88" s="5"/>
      <c r="B88" s="1"/>
      <c r="C88" s="1"/>
      <c r="D88" s="1"/>
      <c r="E88" s="184">
        <v>2.0</v>
      </c>
      <c r="F88" s="185" t="s">
        <v>183</v>
      </c>
      <c r="G88" s="186">
        <v>0.084375</v>
      </c>
      <c r="H88" s="55" t="s">
        <v>181</v>
      </c>
      <c r="I88" s="187">
        <v>11.0</v>
      </c>
      <c r="J88" s="182">
        <f t="shared" si="17"/>
        <v>2678346</v>
      </c>
      <c r="K88" s="1"/>
      <c r="L88" s="1"/>
      <c r="M88" s="1"/>
      <c r="N88" s="1"/>
      <c r="O88" s="1"/>
      <c r="P88" s="1"/>
      <c r="Q88" s="1"/>
      <c r="R88" s="1"/>
    </row>
    <row r="89" ht="12.75" customHeight="1">
      <c r="A89" s="5"/>
      <c r="B89" s="1"/>
      <c r="C89" s="1"/>
      <c r="D89" s="1"/>
      <c r="E89" s="184">
        <v>3.0</v>
      </c>
      <c r="F89" s="185" t="s">
        <v>186</v>
      </c>
      <c r="G89" s="201">
        <v>1.25E-4</v>
      </c>
      <c r="H89" s="55" t="s">
        <v>181</v>
      </c>
      <c r="I89" s="187">
        <v>13.33</v>
      </c>
      <c r="J89" s="182">
        <f t="shared" si="17"/>
        <v>4808.3976</v>
      </c>
      <c r="K89" s="1"/>
      <c r="L89" s="1"/>
      <c r="M89" s="1"/>
      <c r="N89" s="1"/>
      <c r="O89" s="1"/>
      <c r="P89" s="1"/>
      <c r="Q89" s="1"/>
      <c r="R89" s="1"/>
    </row>
    <row r="90" ht="12.75" customHeight="1">
      <c r="A90" s="5"/>
      <c r="B90" s="1"/>
      <c r="C90" s="1"/>
      <c r="D90" s="1"/>
      <c r="E90" s="184">
        <v>4.0</v>
      </c>
      <c r="F90" s="185" t="s">
        <v>188</v>
      </c>
      <c r="G90" s="201">
        <v>1.25E-4</v>
      </c>
      <c r="H90" s="55" t="s">
        <v>181</v>
      </c>
      <c r="I90" s="187">
        <v>13.33</v>
      </c>
      <c r="J90" s="182">
        <f t="shared" si="17"/>
        <v>4808.3976</v>
      </c>
      <c r="K90" s="1"/>
      <c r="L90" s="1"/>
      <c r="M90" s="1"/>
      <c r="N90" s="1"/>
      <c r="O90" s="1"/>
      <c r="P90" s="1"/>
      <c r="Q90" s="1"/>
      <c r="R90" s="1"/>
    </row>
    <row r="91" ht="12.75" customHeight="1">
      <c r="A91" s="5"/>
      <c r="B91" s="1"/>
      <c r="C91" s="1"/>
      <c r="D91" s="1"/>
      <c r="E91" s="184">
        <v>5.0</v>
      </c>
      <c r="F91" s="185" t="s">
        <v>189</v>
      </c>
      <c r="G91" s="201">
        <v>1.25E-4</v>
      </c>
      <c r="H91" s="55" t="s">
        <v>181</v>
      </c>
      <c r="I91" s="187">
        <v>13.33</v>
      </c>
      <c r="J91" s="182">
        <f t="shared" si="17"/>
        <v>4808.3976</v>
      </c>
      <c r="K91" s="1"/>
      <c r="L91" s="1"/>
      <c r="M91" s="1"/>
      <c r="N91" s="1"/>
      <c r="O91" s="1"/>
      <c r="P91" s="1"/>
      <c r="Q91" s="1"/>
      <c r="R91" s="1"/>
    </row>
    <row r="92" ht="13.5" customHeight="1">
      <c r="A92" s="5"/>
      <c r="B92" s="1"/>
      <c r="C92" s="1"/>
      <c r="D92" s="1"/>
      <c r="E92" s="171"/>
      <c r="F92" s="195"/>
      <c r="G92" s="64"/>
      <c r="H92" s="64"/>
      <c r="I92" s="197" t="s">
        <v>190</v>
      </c>
      <c r="J92" s="199">
        <f>SUM(J87:J91)</f>
        <v>234458329.1</v>
      </c>
      <c r="K92" s="205"/>
      <c r="L92" s="1"/>
      <c r="M92" s="1"/>
      <c r="N92" s="1"/>
      <c r="O92" s="1"/>
      <c r="P92" s="1"/>
      <c r="Q92" s="1"/>
      <c r="R92" s="1"/>
    </row>
    <row r="93" ht="12.75" customHeight="1">
      <c r="A93" s="5"/>
      <c r="B93" s="1"/>
      <c r="C93" s="168"/>
      <c r="D93" s="1"/>
      <c r="E93" s="1"/>
      <c r="F93" s="168" t="s">
        <v>194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ht="13.5" customHeight="1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ht="39.0" customHeight="1">
      <c r="A95" s="207"/>
      <c r="B95" s="208"/>
      <c r="C95" s="208"/>
      <c r="D95" s="208"/>
      <c r="E95" s="209" t="s">
        <v>21</v>
      </c>
      <c r="F95" s="214" t="s">
        <v>195</v>
      </c>
      <c r="G95" s="215" t="s">
        <v>196</v>
      </c>
      <c r="H95" s="215" t="s">
        <v>197</v>
      </c>
      <c r="I95" s="216" t="s">
        <v>198</v>
      </c>
      <c r="J95" s="217" t="s">
        <v>199</v>
      </c>
      <c r="K95" s="208"/>
      <c r="L95" s="208"/>
      <c r="M95" s="208"/>
      <c r="N95" s="208"/>
      <c r="O95" s="208"/>
      <c r="P95" s="208"/>
      <c r="Q95" s="208"/>
      <c r="R95" s="208"/>
    </row>
    <row r="96" ht="13.5" customHeight="1">
      <c r="A96" s="5"/>
      <c r="B96" s="1"/>
      <c r="C96" s="1"/>
      <c r="D96" s="1"/>
      <c r="E96" s="218">
        <v>12.0</v>
      </c>
      <c r="F96" s="219">
        <v>100.0</v>
      </c>
      <c r="G96" s="220">
        <f>+E96*F96*G101*G102</f>
        <v>2304000</v>
      </c>
      <c r="H96" s="220">
        <f>+$G$96*0.23</f>
        <v>529920</v>
      </c>
      <c r="I96" s="221">
        <f>+$G$96*0.25</f>
        <v>576000</v>
      </c>
      <c r="J96" s="222">
        <f>+SUM(G96:I96)</f>
        <v>3409920</v>
      </c>
      <c r="K96" s="170" t="s">
        <v>81</v>
      </c>
      <c r="L96" s="223"/>
      <c r="M96" s="1"/>
      <c r="N96" s="1"/>
      <c r="O96" s="1"/>
      <c r="P96" s="1"/>
      <c r="Q96" s="1"/>
      <c r="R96" s="1"/>
    </row>
    <row r="97" ht="13.5" customHeight="1">
      <c r="A97" s="5"/>
      <c r="B97" s="1"/>
      <c r="C97" s="1"/>
      <c r="D97" s="1"/>
      <c r="E97" s="1"/>
      <c r="F97" s="1"/>
      <c r="G97" s="1"/>
      <c r="H97" s="1"/>
      <c r="I97" s="1"/>
      <c r="J97" s="224">
        <f>+J96*K101</f>
        <v>3143520</v>
      </c>
      <c r="K97" s="170" t="s">
        <v>83</v>
      </c>
      <c r="L97" s="1"/>
      <c r="M97" s="1"/>
      <c r="N97" s="1"/>
      <c r="O97" s="1"/>
      <c r="P97" s="1"/>
      <c r="Q97" s="1"/>
      <c r="R97" s="1"/>
    </row>
    <row r="98" ht="12.75" customHeight="1">
      <c r="A98" s="5"/>
      <c r="B98" s="1"/>
      <c r="C98" s="1"/>
      <c r="D98" s="1"/>
      <c r="E98" s="225"/>
      <c r="J98" s="1"/>
      <c r="K98" s="1"/>
      <c r="L98" s="1"/>
      <c r="M98" s="1"/>
      <c r="N98" s="1"/>
      <c r="O98" s="1"/>
      <c r="P98" s="1"/>
      <c r="Q98" s="1"/>
      <c r="R98" s="1"/>
    </row>
    <row r="99" ht="12.75" customHeight="1">
      <c r="A99" s="5"/>
      <c r="B99" s="1"/>
      <c r="C99" s="1"/>
      <c r="D99" s="1"/>
      <c r="E99" s="140"/>
      <c r="F99" s="140"/>
      <c r="G99" s="140"/>
      <c r="H99" s="140"/>
      <c r="I99" s="140"/>
      <c r="J99" s="72"/>
      <c r="K99" s="1"/>
      <c r="L99" s="1"/>
      <c r="M99" s="1"/>
      <c r="N99" s="1"/>
      <c r="O99" s="1"/>
      <c r="P99" s="1"/>
      <c r="Q99" s="1"/>
      <c r="R99" s="1"/>
    </row>
    <row r="100" ht="13.5" customHeight="1">
      <c r="A100" s="5"/>
      <c r="B100" s="1"/>
      <c r="C100" s="1"/>
      <c r="D100" s="1"/>
      <c r="E100" s="1"/>
      <c r="F100" s="22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ht="13.5" customHeight="1">
      <c r="A101" s="5"/>
      <c r="B101" s="1"/>
      <c r="C101" s="1"/>
      <c r="D101" s="1"/>
      <c r="E101" s="1"/>
      <c r="F101" s="227" t="s">
        <v>200</v>
      </c>
      <c r="G101" s="228">
        <v>240.0</v>
      </c>
      <c r="H101" s="1"/>
      <c r="I101" s="229" t="s">
        <v>201</v>
      </c>
      <c r="J101" s="230">
        <f>+G102*45*5</f>
        <v>1800</v>
      </c>
      <c r="K101" s="231">
        <f>+(J102-J101)/J102</f>
        <v>0.921875</v>
      </c>
      <c r="L101" s="1"/>
      <c r="M101" s="1"/>
      <c r="N101" s="1"/>
      <c r="O101" s="1"/>
      <c r="P101" s="1"/>
      <c r="Q101" s="1"/>
      <c r="R101" s="1"/>
    </row>
    <row r="102" ht="12.75" customHeight="1">
      <c r="A102" s="5"/>
      <c r="B102" s="1"/>
      <c r="C102" s="1"/>
      <c r="D102" s="1"/>
      <c r="E102" s="1"/>
      <c r="F102" s="227" t="s">
        <v>202</v>
      </c>
      <c r="G102" s="227">
        <v>8.0</v>
      </c>
      <c r="H102" s="1"/>
      <c r="I102" s="229" t="s">
        <v>203</v>
      </c>
      <c r="J102" s="52">
        <f>+E96*G101*G102</f>
        <v>23040</v>
      </c>
      <c r="K102" s="1"/>
      <c r="L102" s="1"/>
      <c r="M102" s="1"/>
      <c r="N102" s="1"/>
      <c r="O102" s="1"/>
      <c r="P102" s="1"/>
      <c r="Q102" s="1"/>
      <c r="R102" s="1"/>
    </row>
    <row r="103" ht="12.75" customHeight="1">
      <c r="A103" s="5"/>
      <c r="B103" s="1"/>
      <c r="C103" s="1"/>
      <c r="D103" s="1"/>
      <c r="E103" s="1"/>
      <c r="F103" s="16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ht="12.75" customHeight="1">
      <c r="A104" s="5"/>
      <c r="B104" s="1"/>
      <c r="C104" s="168"/>
      <c r="D104" s="1"/>
      <c r="E104" s="1"/>
      <c r="F104" s="169" t="s">
        <v>204</v>
      </c>
      <c r="G104" s="13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ht="13.5" customHeight="1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ht="39.0" customHeight="1">
      <c r="A106" s="232"/>
      <c r="B106" s="233"/>
      <c r="C106" s="233"/>
      <c r="D106" s="233"/>
      <c r="E106" s="234" t="s">
        <v>21</v>
      </c>
      <c r="F106" s="235" t="s">
        <v>205</v>
      </c>
      <c r="G106" s="235" t="s">
        <v>206</v>
      </c>
      <c r="H106" s="215" t="s">
        <v>197</v>
      </c>
      <c r="I106" s="216" t="s">
        <v>198</v>
      </c>
      <c r="J106" s="236" t="s">
        <v>207</v>
      </c>
      <c r="K106" s="217" t="s">
        <v>199</v>
      </c>
      <c r="L106" s="233"/>
      <c r="M106" s="233"/>
      <c r="N106" s="233"/>
      <c r="O106" s="233"/>
      <c r="P106" s="233"/>
      <c r="Q106" s="233"/>
      <c r="R106" s="233"/>
    </row>
    <row r="107">
      <c r="A107" s="5"/>
      <c r="B107" s="1"/>
      <c r="C107" s="1"/>
      <c r="D107" s="1"/>
      <c r="E107" s="237">
        <v>1.0</v>
      </c>
      <c r="F107" s="238" t="s">
        <v>208</v>
      </c>
      <c r="G107" s="239">
        <v>35000.0</v>
      </c>
      <c r="H107" s="239">
        <f t="shared" ref="H107:H109" si="18">+$G107*0.23</f>
        <v>8050</v>
      </c>
      <c r="I107" s="239">
        <f t="shared" ref="I107:I109" si="19">+$G107*0.25</f>
        <v>8750</v>
      </c>
      <c r="J107" s="239">
        <f t="shared" ref="J107:J109" si="20">+SUM(G107:I107)</f>
        <v>51800</v>
      </c>
      <c r="K107" s="239">
        <f t="shared" ref="K107:K109" si="21">+J107*12</f>
        <v>621600</v>
      </c>
      <c r="L107" s="1"/>
      <c r="M107" s="1"/>
      <c r="N107" s="1"/>
      <c r="O107" s="1"/>
      <c r="P107" s="1"/>
      <c r="Q107" s="1"/>
      <c r="R107" s="1"/>
    </row>
    <row r="108">
      <c r="A108" s="5"/>
      <c r="B108" s="1"/>
      <c r="C108" s="1"/>
      <c r="D108" s="1"/>
      <c r="E108" s="240">
        <v>2.0</v>
      </c>
      <c r="F108" s="241" t="s">
        <v>209</v>
      </c>
      <c r="G108" s="242">
        <v>18000.0</v>
      </c>
      <c r="H108" s="243">
        <f t="shared" si="18"/>
        <v>4140</v>
      </c>
      <c r="I108" s="243">
        <f t="shared" si="19"/>
        <v>4500</v>
      </c>
      <c r="J108" s="243">
        <f t="shared" si="20"/>
        <v>26640</v>
      </c>
      <c r="K108" s="243">
        <f t="shared" si="21"/>
        <v>319680</v>
      </c>
      <c r="L108" s="1"/>
      <c r="M108" s="1"/>
      <c r="N108" s="1"/>
      <c r="O108" s="1"/>
      <c r="P108" s="1"/>
      <c r="Q108" s="1"/>
      <c r="R108" s="1"/>
    </row>
    <row r="109" ht="15.75" customHeight="1">
      <c r="A109" s="5"/>
      <c r="B109" s="1"/>
      <c r="C109" s="1"/>
      <c r="D109" s="1"/>
      <c r="E109" s="244">
        <v>3.0</v>
      </c>
      <c r="F109" s="245" t="s">
        <v>210</v>
      </c>
      <c r="G109" s="246">
        <v>25000.0</v>
      </c>
      <c r="H109" s="247">
        <f t="shared" si="18"/>
        <v>5750</v>
      </c>
      <c r="I109" s="247">
        <f t="shared" si="19"/>
        <v>6250</v>
      </c>
      <c r="J109" s="247">
        <f t="shared" si="20"/>
        <v>37000</v>
      </c>
      <c r="K109" s="247">
        <f t="shared" si="21"/>
        <v>444000</v>
      </c>
      <c r="L109" s="1"/>
      <c r="M109" s="1"/>
      <c r="N109" s="1"/>
      <c r="O109" s="1"/>
      <c r="P109" s="1"/>
      <c r="Q109" s="1"/>
      <c r="R109" s="1"/>
    </row>
    <row r="110" ht="13.5" customHeight="1">
      <c r="A110" s="5"/>
      <c r="B110" s="1"/>
      <c r="C110" s="1"/>
      <c r="D110" s="1"/>
      <c r="E110" s="1"/>
      <c r="F110" s="1"/>
      <c r="G110" s="1"/>
      <c r="H110" s="1"/>
      <c r="I110" s="248" t="s">
        <v>211</v>
      </c>
      <c r="J110" s="249">
        <f t="shared" ref="J110:K110" si="22">+SUM(J107:J109)</f>
        <v>115440</v>
      </c>
      <c r="K110" s="250">
        <f t="shared" si="22"/>
        <v>1385280</v>
      </c>
      <c r="L110" s="170" t="s">
        <v>81</v>
      </c>
      <c r="M110" s="1"/>
      <c r="N110" s="1"/>
      <c r="O110" s="1"/>
      <c r="P110" s="1"/>
      <c r="Q110" s="1"/>
      <c r="R110" s="1"/>
    </row>
    <row r="111" ht="13.5" customHeight="1">
      <c r="A111" s="5"/>
      <c r="B111" s="1"/>
      <c r="C111" s="1"/>
      <c r="D111" s="1"/>
      <c r="E111" s="251"/>
      <c r="J111" s="1"/>
      <c r="K111" s="249">
        <f>+K110*K101</f>
        <v>1277055</v>
      </c>
      <c r="L111" s="170" t="s">
        <v>83</v>
      </c>
      <c r="M111" s="1"/>
      <c r="N111" s="1"/>
      <c r="O111" s="1"/>
      <c r="P111" s="1"/>
      <c r="Q111" s="1"/>
      <c r="R111" s="1"/>
    </row>
    <row r="112" ht="13.5" customHeight="1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252"/>
      <c r="L112" s="170"/>
      <c r="M112" s="1"/>
      <c r="N112" s="1"/>
      <c r="O112" s="1"/>
      <c r="P112" s="1"/>
      <c r="Q112" s="1"/>
      <c r="R112" s="1"/>
    </row>
    <row r="113" ht="12.75" customHeight="1">
      <c r="A113" s="5"/>
      <c r="B113" s="1"/>
      <c r="C113" s="1"/>
      <c r="D113" s="1"/>
      <c r="E113" s="253" t="s">
        <v>212</v>
      </c>
      <c r="F113" s="254" t="s">
        <v>83</v>
      </c>
      <c r="G113" s="254" t="s">
        <v>213</v>
      </c>
      <c r="H113" s="255" t="s">
        <v>214</v>
      </c>
      <c r="I113" s="1"/>
      <c r="J113" s="1"/>
      <c r="K113" s="252"/>
      <c r="L113" s="170"/>
      <c r="M113" s="1"/>
      <c r="N113" s="1"/>
      <c r="O113" s="1"/>
      <c r="P113" s="1"/>
      <c r="Q113" s="1"/>
      <c r="R113" s="1"/>
    </row>
    <row r="114" ht="12.75" customHeight="1">
      <c r="A114" s="5"/>
      <c r="B114" s="1"/>
      <c r="C114" s="1"/>
      <c r="D114" s="1"/>
      <c r="E114" s="256" t="s">
        <v>215</v>
      </c>
      <c r="F114" s="257">
        <f>+K111/$F$214</f>
        <v>0.6682653061</v>
      </c>
      <c r="G114" s="257">
        <f t="shared" ref="G114:H114" si="23">$K$110/$F$217</f>
        <v>0.6144510978</v>
      </c>
      <c r="H114" s="257">
        <f t="shared" si="23"/>
        <v>0.6144510978</v>
      </c>
      <c r="I114" s="1"/>
      <c r="J114" s="1"/>
      <c r="K114" s="252"/>
      <c r="L114" s="170"/>
      <c r="M114" s="1"/>
      <c r="N114" s="1"/>
      <c r="O114" s="1"/>
      <c r="P114" s="1"/>
      <c r="Q114" s="1"/>
      <c r="R114" s="1"/>
    </row>
    <row r="115" ht="13.5" customHeight="1">
      <c r="A115" s="5"/>
      <c r="B115" s="1"/>
      <c r="C115" s="1"/>
      <c r="D115" s="1"/>
      <c r="E115" s="258" t="s">
        <v>216</v>
      </c>
      <c r="F115" s="259">
        <f>$F$235*F114/2</f>
        <v>2218.849649</v>
      </c>
      <c r="G115" s="259">
        <f t="shared" ref="G115:H115" si="24">+$F$235*G114/2</f>
        <v>2040.169661</v>
      </c>
      <c r="H115" s="260">
        <f t="shared" si="24"/>
        <v>2040.169661</v>
      </c>
      <c r="I115" s="1"/>
      <c r="J115" s="1"/>
      <c r="K115" s="252"/>
      <c r="L115" s="170"/>
      <c r="M115" s="1"/>
      <c r="N115" s="1"/>
      <c r="O115" s="1"/>
      <c r="P115" s="1"/>
      <c r="Q115" s="1"/>
      <c r="R115" s="1"/>
    </row>
    <row r="116" ht="12.75" customHeight="1">
      <c r="A116" s="5"/>
      <c r="B116" s="1"/>
      <c r="C116" s="1"/>
      <c r="D116" s="1"/>
      <c r="E116" s="170"/>
      <c r="F116" s="261"/>
      <c r="G116" s="261"/>
      <c r="H116" s="261"/>
      <c r="I116" s="1"/>
      <c r="J116" s="1"/>
      <c r="K116" s="252"/>
      <c r="L116" s="170"/>
      <c r="M116" s="1"/>
      <c r="N116" s="1"/>
      <c r="O116" s="1"/>
      <c r="P116" s="1"/>
      <c r="Q116" s="1"/>
      <c r="R116" s="1"/>
    </row>
    <row r="117" ht="12.75" customHeight="1">
      <c r="A117" s="5"/>
      <c r="B117" s="1"/>
      <c r="C117" s="1"/>
      <c r="D117" s="168"/>
      <c r="E117" s="170"/>
      <c r="F117" s="168" t="s">
        <v>217</v>
      </c>
      <c r="G117" s="261"/>
      <c r="H117" s="261"/>
      <c r="I117" s="1"/>
      <c r="J117" s="1"/>
      <c r="K117" s="252"/>
      <c r="L117" s="170"/>
      <c r="M117" s="1"/>
      <c r="N117" s="1"/>
      <c r="O117" s="1"/>
      <c r="P117" s="1"/>
      <c r="Q117" s="1"/>
      <c r="R117" s="1"/>
    </row>
    <row r="118" ht="13.5" customHeight="1">
      <c r="A118" s="5"/>
      <c r="B118" s="1"/>
      <c r="C118" s="1"/>
      <c r="D118" s="1"/>
      <c r="E118" s="170"/>
      <c r="F118" s="261"/>
      <c r="G118" s="261"/>
      <c r="H118" s="261"/>
      <c r="I118" s="1"/>
      <c r="J118" s="1"/>
      <c r="K118" s="252"/>
      <c r="L118" s="170"/>
      <c r="M118" s="1"/>
      <c r="N118" s="1"/>
      <c r="O118" s="1"/>
      <c r="P118" s="1"/>
      <c r="Q118" s="1"/>
      <c r="R118" s="1"/>
    </row>
    <row r="119" ht="39.0" customHeight="1">
      <c r="A119" s="5"/>
      <c r="B119" s="1"/>
      <c r="C119" s="1"/>
      <c r="D119" s="1"/>
      <c r="E119" s="234" t="s">
        <v>21</v>
      </c>
      <c r="F119" s="235" t="s">
        <v>205</v>
      </c>
      <c r="G119" s="235" t="s">
        <v>206</v>
      </c>
      <c r="H119" s="215" t="s">
        <v>197</v>
      </c>
      <c r="I119" s="216" t="s">
        <v>198</v>
      </c>
      <c r="J119" s="236" t="s">
        <v>207</v>
      </c>
      <c r="K119" s="217" t="s">
        <v>199</v>
      </c>
      <c r="L119" s="233"/>
      <c r="M119" s="1"/>
      <c r="N119" s="1"/>
      <c r="O119" s="1"/>
      <c r="P119" s="1"/>
      <c r="Q119" s="1"/>
      <c r="R119" s="1"/>
    </row>
    <row r="120">
      <c r="A120" s="5"/>
      <c r="B120" s="1"/>
      <c r="C120" s="1"/>
      <c r="D120" s="1"/>
      <c r="E120" s="237">
        <v>1.0</v>
      </c>
      <c r="F120" s="262" t="s">
        <v>218</v>
      </c>
      <c r="G120" s="263">
        <v>40000.0</v>
      </c>
      <c r="H120" s="239">
        <f t="shared" ref="H120:H123" si="25">+$G120*0.23</f>
        <v>9200</v>
      </c>
      <c r="I120" s="239">
        <f t="shared" ref="I120:I123" si="26">+$G120*0.25</f>
        <v>10000</v>
      </c>
      <c r="J120" s="239">
        <f t="shared" ref="J120:J123" si="27">+SUM(G120:I120)</f>
        <v>59200</v>
      </c>
      <c r="K120" s="239">
        <f t="shared" ref="K120:K123" si="28">+J120*12</f>
        <v>710400</v>
      </c>
      <c r="L120" s="1"/>
      <c r="M120" s="1"/>
      <c r="N120" s="1"/>
      <c r="O120" s="1"/>
      <c r="P120" s="1"/>
      <c r="Q120" s="1"/>
      <c r="R120" s="1"/>
    </row>
    <row r="121">
      <c r="A121" s="5"/>
      <c r="B121" s="1"/>
      <c r="C121" s="1"/>
      <c r="D121" s="1"/>
      <c r="E121" s="264">
        <v>2.0</v>
      </c>
      <c r="F121" s="241" t="s">
        <v>219</v>
      </c>
      <c r="G121" s="243">
        <v>30000.0</v>
      </c>
      <c r="H121" s="243">
        <f t="shared" si="25"/>
        <v>6900</v>
      </c>
      <c r="I121" s="243">
        <f t="shared" si="26"/>
        <v>7500</v>
      </c>
      <c r="J121" s="243">
        <f t="shared" si="27"/>
        <v>44400</v>
      </c>
      <c r="K121" s="243">
        <f t="shared" si="28"/>
        <v>532800</v>
      </c>
      <c r="L121" s="1"/>
      <c r="M121" s="1"/>
      <c r="N121" s="1"/>
      <c r="O121" s="1"/>
      <c r="P121" s="1"/>
      <c r="Q121" s="1"/>
      <c r="R121" s="1"/>
    </row>
    <row r="122">
      <c r="A122" s="5"/>
      <c r="B122" s="1"/>
      <c r="C122" s="1"/>
      <c r="D122" s="1"/>
      <c r="E122" s="265">
        <v>3.0</v>
      </c>
      <c r="F122" s="266" t="s">
        <v>220</v>
      </c>
      <c r="G122" s="267">
        <v>20000.0</v>
      </c>
      <c r="H122" s="243">
        <f t="shared" si="25"/>
        <v>4600</v>
      </c>
      <c r="I122" s="243">
        <f t="shared" si="26"/>
        <v>5000</v>
      </c>
      <c r="J122" s="243">
        <f t="shared" si="27"/>
        <v>29600</v>
      </c>
      <c r="K122" s="243">
        <f t="shared" si="28"/>
        <v>355200</v>
      </c>
      <c r="L122" s="1"/>
      <c r="M122" s="1"/>
      <c r="N122" s="1"/>
      <c r="O122" s="1"/>
      <c r="P122" s="1"/>
      <c r="Q122" s="1"/>
      <c r="R122" s="1"/>
    </row>
    <row r="123" ht="15.75" customHeight="1">
      <c r="A123" s="5"/>
      <c r="B123" s="1"/>
      <c r="C123" s="1"/>
      <c r="D123" s="1"/>
      <c r="E123" s="264">
        <v>4.0</v>
      </c>
      <c r="F123" s="241" t="s">
        <v>221</v>
      </c>
      <c r="G123" s="242">
        <v>25000.0</v>
      </c>
      <c r="H123" s="243">
        <f t="shared" si="25"/>
        <v>5750</v>
      </c>
      <c r="I123" s="243">
        <f t="shared" si="26"/>
        <v>6250</v>
      </c>
      <c r="J123" s="243">
        <f t="shared" si="27"/>
        <v>37000</v>
      </c>
      <c r="K123" s="243">
        <f t="shared" si="28"/>
        <v>444000</v>
      </c>
      <c r="L123" s="1"/>
      <c r="M123" s="1"/>
      <c r="N123" s="1"/>
      <c r="O123" s="1"/>
      <c r="P123" s="1"/>
      <c r="Q123" s="1"/>
      <c r="R123" s="1"/>
    </row>
    <row r="124" ht="13.5" customHeight="1">
      <c r="A124" s="5"/>
      <c r="B124" s="1"/>
      <c r="C124" s="1"/>
      <c r="D124" s="1"/>
      <c r="E124" s="1"/>
      <c r="F124" s="1"/>
      <c r="G124" s="1"/>
      <c r="H124" s="1"/>
      <c r="I124" s="248" t="s">
        <v>211</v>
      </c>
      <c r="J124" s="249">
        <f t="shared" ref="J124:K124" si="29">+SUM(J120:J123)</f>
        <v>170200</v>
      </c>
      <c r="K124" s="250">
        <f t="shared" si="29"/>
        <v>2042400</v>
      </c>
      <c r="L124" s="170" t="s">
        <v>81</v>
      </c>
      <c r="M124" s="1"/>
      <c r="N124" s="1"/>
      <c r="O124" s="1"/>
      <c r="P124" s="1"/>
      <c r="Q124" s="1"/>
      <c r="R124" s="1"/>
    </row>
    <row r="125" ht="13.5" customHeight="1">
      <c r="A125" s="5"/>
      <c r="B125" s="1"/>
      <c r="C125" s="1"/>
      <c r="D125" s="1"/>
      <c r="E125" s="251"/>
      <c r="J125" s="1"/>
      <c r="K125" s="249">
        <f>+K124*K101</f>
        <v>1882837.5</v>
      </c>
      <c r="L125" s="170" t="s">
        <v>83</v>
      </c>
      <c r="M125" s="1"/>
      <c r="N125" s="1"/>
      <c r="O125" s="1"/>
      <c r="P125" s="1"/>
      <c r="Q125" s="1"/>
      <c r="R125" s="1"/>
    </row>
    <row r="126" ht="12.75" customHeight="1">
      <c r="A126" s="5"/>
      <c r="B126" s="1"/>
      <c r="C126" s="1"/>
      <c r="D126" s="1"/>
      <c r="E126" s="170"/>
      <c r="F126" s="261"/>
      <c r="G126" s="261"/>
      <c r="H126" s="261"/>
      <c r="I126" s="1"/>
      <c r="J126" s="1"/>
      <c r="K126" s="252"/>
      <c r="L126" s="170"/>
      <c r="M126" s="1"/>
      <c r="N126" s="1"/>
      <c r="O126" s="1"/>
      <c r="P126" s="1"/>
      <c r="Q126" s="1"/>
      <c r="R126" s="1"/>
    </row>
    <row r="127" ht="12.75" customHeight="1">
      <c r="A127" s="5"/>
      <c r="B127" s="1"/>
      <c r="C127" s="169" t="s">
        <v>222</v>
      </c>
      <c r="D127" s="268"/>
      <c r="F127" s="261"/>
      <c r="G127" s="261"/>
      <c r="H127" s="261"/>
      <c r="I127" s="1"/>
      <c r="J127" s="1"/>
      <c r="K127" s="252"/>
      <c r="L127" s="170"/>
      <c r="M127" s="1"/>
      <c r="N127" s="1"/>
      <c r="O127" s="1"/>
      <c r="P127" s="1"/>
      <c r="Q127" s="1"/>
      <c r="R127" s="1"/>
    </row>
    <row r="128" ht="13.5" customHeight="1">
      <c r="A128" s="5"/>
      <c r="B128" s="1"/>
      <c r="C128" s="1"/>
      <c r="D128" s="168"/>
      <c r="E128" s="170"/>
      <c r="F128" s="261"/>
      <c r="G128" s="261"/>
      <c r="H128" s="261"/>
      <c r="I128" s="1"/>
      <c r="J128" s="1"/>
      <c r="K128" s="252"/>
      <c r="L128" s="170"/>
      <c r="M128" s="1"/>
      <c r="N128" s="1"/>
      <c r="O128" s="1"/>
      <c r="P128" s="1"/>
      <c r="Q128" s="1"/>
      <c r="R128" s="1"/>
    </row>
    <row r="129" ht="39.0" customHeight="1">
      <c r="A129" s="5"/>
      <c r="B129" s="1"/>
      <c r="C129" s="1"/>
      <c r="D129" s="168"/>
      <c r="E129" s="234" t="s">
        <v>21</v>
      </c>
      <c r="F129" s="235" t="s">
        <v>205</v>
      </c>
      <c r="G129" s="235" t="s">
        <v>206</v>
      </c>
      <c r="H129" s="215" t="s">
        <v>197</v>
      </c>
      <c r="I129" s="216" t="s">
        <v>198</v>
      </c>
      <c r="J129" s="236" t="s">
        <v>207</v>
      </c>
      <c r="K129" s="217" t="s">
        <v>199</v>
      </c>
      <c r="L129" s="233"/>
      <c r="M129" s="1"/>
      <c r="N129" s="1"/>
      <c r="O129" s="1"/>
      <c r="P129" s="1"/>
      <c r="Q129" s="1"/>
      <c r="R129" s="1"/>
    </row>
    <row r="130">
      <c r="A130" s="5"/>
      <c r="B130" s="1"/>
      <c r="C130" s="1"/>
      <c r="D130" s="168"/>
      <c r="E130" s="270">
        <v>1.0</v>
      </c>
      <c r="F130" s="245" t="s">
        <v>224</v>
      </c>
      <c r="G130" s="246">
        <v>20000.0</v>
      </c>
      <c r="H130" s="247">
        <f t="shared" ref="H130:H132" si="30">+$G130*0.23</f>
        <v>4600</v>
      </c>
      <c r="I130" s="243">
        <f t="shared" ref="I130:I132" si="31">+$G130*0.25</f>
        <v>5000</v>
      </c>
      <c r="J130" s="243">
        <f t="shared" ref="J130:J132" si="32">+SUM(G130:I130)</f>
        <v>29600</v>
      </c>
      <c r="K130" s="243">
        <f t="shared" ref="K130:K132" si="33">+J130*12</f>
        <v>355200</v>
      </c>
      <c r="L130" s="1"/>
      <c r="M130" s="1"/>
      <c r="N130" s="1"/>
      <c r="O130" s="1"/>
      <c r="P130" s="1"/>
      <c r="Q130" s="1"/>
      <c r="R130" s="1"/>
    </row>
    <row r="131">
      <c r="A131" s="5"/>
      <c r="B131" s="1"/>
      <c r="C131" s="1"/>
      <c r="D131" s="168"/>
      <c r="E131" s="265">
        <v>2.0</v>
      </c>
      <c r="F131" s="276" t="s">
        <v>226</v>
      </c>
      <c r="G131" s="267">
        <v>20000.0</v>
      </c>
      <c r="H131" s="243">
        <f t="shared" si="30"/>
        <v>4600</v>
      </c>
      <c r="I131" s="243">
        <f t="shared" si="31"/>
        <v>5000</v>
      </c>
      <c r="J131" s="243">
        <f t="shared" si="32"/>
        <v>29600</v>
      </c>
      <c r="K131" s="243">
        <f t="shared" si="33"/>
        <v>355200</v>
      </c>
      <c r="L131" s="1"/>
      <c r="M131" s="1"/>
      <c r="N131" s="1"/>
      <c r="O131" s="1"/>
      <c r="P131" s="1"/>
      <c r="Q131" s="1"/>
      <c r="R131" s="1"/>
    </row>
    <row r="132" ht="15.75" customHeight="1">
      <c r="A132" s="5"/>
      <c r="B132" s="1"/>
      <c r="C132" s="1"/>
      <c r="D132" s="168"/>
      <c r="E132" s="270">
        <v>3.0</v>
      </c>
      <c r="F132" s="278" t="s">
        <v>233</v>
      </c>
      <c r="G132" s="246">
        <v>20000.0</v>
      </c>
      <c r="H132" s="247">
        <f t="shared" si="30"/>
        <v>4600</v>
      </c>
      <c r="I132" s="247">
        <f t="shared" si="31"/>
        <v>5000</v>
      </c>
      <c r="J132" s="247">
        <f t="shared" si="32"/>
        <v>29600</v>
      </c>
      <c r="K132" s="247">
        <f t="shared" si="33"/>
        <v>355200</v>
      </c>
      <c r="L132" s="1"/>
      <c r="M132" s="1"/>
      <c r="N132" s="1"/>
      <c r="O132" s="1"/>
      <c r="P132" s="1"/>
      <c r="Q132" s="1"/>
      <c r="R132" s="1"/>
    </row>
    <row r="133" ht="13.5" customHeight="1">
      <c r="A133" s="5"/>
      <c r="B133" s="1"/>
      <c r="C133" s="1"/>
      <c r="D133" s="1"/>
      <c r="E133" s="1"/>
      <c r="F133" s="1"/>
      <c r="G133" s="1"/>
      <c r="H133" s="1"/>
      <c r="I133" s="248" t="s">
        <v>211</v>
      </c>
      <c r="J133" s="249">
        <f t="shared" ref="J133:K133" si="34">+SUM(J130:J132)</f>
        <v>88800</v>
      </c>
      <c r="K133" s="250">
        <f t="shared" si="34"/>
        <v>1065600</v>
      </c>
      <c r="L133" s="170" t="s">
        <v>81</v>
      </c>
      <c r="M133" s="1"/>
      <c r="N133" s="1"/>
      <c r="O133" s="1"/>
      <c r="P133" s="1"/>
      <c r="Q133" s="1"/>
      <c r="R133" s="1"/>
    </row>
    <row r="134" ht="13.5" customHeight="1">
      <c r="A134" s="5"/>
      <c r="B134" s="1"/>
      <c r="C134" s="1"/>
      <c r="D134" s="1"/>
      <c r="E134" s="251"/>
      <c r="J134" s="1"/>
      <c r="K134" s="249">
        <f>+K133*K101</f>
        <v>982350</v>
      </c>
      <c r="L134" s="170" t="s">
        <v>83</v>
      </c>
      <c r="M134" s="1"/>
      <c r="N134" s="1"/>
      <c r="O134" s="1"/>
      <c r="P134" s="1"/>
      <c r="Q134" s="1"/>
      <c r="R134" s="1"/>
    </row>
    <row r="135" ht="12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ht="12.75" customHeight="1">
      <c r="A136" s="5"/>
      <c r="B136" s="1"/>
      <c r="C136" s="169" t="s">
        <v>235</v>
      </c>
      <c r="D136" s="1"/>
      <c r="E136" s="28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ht="13.5" customHeight="1">
      <c r="A137" s="5"/>
      <c r="B137" s="1"/>
      <c r="C137" s="281"/>
      <c r="D137" s="283" t="s">
        <v>236</v>
      </c>
      <c r="E137" s="284"/>
      <c r="F137" s="140"/>
      <c r="G137" s="140"/>
      <c r="H137" s="140"/>
      <c r="I137" s="140"/>
      <c r="J137" s="140"/>
      <c r="K137" s="140"/>
      <c r="L137" s="140"/>
      <c r="M137" s="140"/>
      <c r="N137" s="1"/>
      <c r="O137" s="1"/>
      <c r="P137" s="1"/>
      <c r="Q137" s="1"/>
      <c r="R137" s="1"/>
    </row>
    <row r="138" ht="13.5" customHeight="1">
      <c r="A138" s="5"/>
      <c r="B138" s="1"/>
      <c r="C138" s="140"/>
      <c r="D138" s="140"/>
      <c r="E138" s="140"/>
      <c r="F138" s="140"/>
      <c r="G138" s="286" t="s">
        <v>237</v>
      </c>
      <c r="H138" s="287"/>
      <c r="I138" s="288"/>
      <c r="J138" s="290" t="s">
        <v>239</v>
      </c>
      <c r="K138" s="287"/>
      <c r="L138" s="288"/>
      <c r="M138" s="140"/>
      <c r="N138" s="1"/>
      <c r="O138" s="1"/>
      <c r="P138" s="1"/>
      <c r="Q138" s="1"/>
      <c r="R138" s="1"/>
    </row>
    <row r="139" ht="13.5" customHeight="1">
      <c r="A139" s="5"/>
      <c r="B139" s="1"/>
      <c r="C139" s="140"/>
      <c r="D139" s="140"/>
      <c r="E139" s="292" t="s">
        <v>240</v>
      </c>
      <c r="F139" s="165" t="s">
        <v>167</v>
      </c>
      <c r="G139" s="293" t="s">
        <v>83</v>
      </c>
      <c r="H139" s="294" t="s">
        <v>242</v>
      </c>
      <c r="I139" s="295" t="s">
        <v>243</v>
      </c>
      <c r="J139" s="296" t="s">
        <v>83</v>
      </c>
      <c r="K139" s="294" t="s">
        <v>242</v>
      </c>
      <c r="L139" s="295" t="s">
        <v>243</v>
      </c>
      <c r="M139" s="140"/>
      <c r="N139" s="1"/>
      <c r="O139" s="1"/>
      <c r="P139" s="1"/>
      <c r="Q139" s="1"/>
      <c r="R139" s="1"/>
    </row>
    <row r="140" ht="12.75" customHeight="1">
      <c r="A140" s="5"/>
      <c r="B140" s="1"/>
      <c r="C140" s="140"/>
      <c r="D140" s="140"/>
      <c r="E140" s="298" t="s">
        <v>144</v>
      </c>
      <c r="F140" s="299">
        <v>0.02</v>
      </c>
      <c r="G140" s="301">
        <f>F140*E16</f>
        <v>41911.66</v>
      </c>
      <c r="H140" s="303">
        <f t="shared" ref="H140:I140" si="35">+G140</f>
        <v>41911.66</v>
      </c>
      <c r="I140" s="304">
        <f t="shared" si="35"/>
        <v>41911.66</v>
      </c>
      <c r="J140" s="305">
        <f>+$F140*G140*$K$101</f>
        <v>772.7462313</v>
      </c>
      <c r="K140" s="303">
        <f>+$F140*H140</f>
        <v>838.2332</v>
      </c>
      <c r="L140" s="304">
        <f>+$F140*I140*1.05</f>
        <v>880.14486</v>
      </c>
      <c r="M140" s="140"/>
      <c r="N140" s="1"/>
      <c r="O140" s="1"/>
      <c r="P140" s="1"/>
      <c r="Q140" s="1"/>
      <c r="R140" s="1"/>
    </row>
    <row r="141" ht="12.75" customHeight="1">
      <c r="A141" s="5"/>
      <c r="B141" s="1"/>
      <c r="C141" s="140"/>
      <c r="D141" s="140"/>
      <c r="E141" s="298" t="s">
        <v>236</v>
      </c>
      <c r="F141" s="299">
        <v>0.05</v>
      </c>
      <c r="G141" s="306">
        <f>J83</f>
        <v>203523374.6</v>
      </c>
      <c r="H141" s="307">
        <f>J92</f>
        <v>234458329.1</v>
      </c>
      <c r="I141" s="307">
        <f>J92</f>
        <v>234458329.1</v>
      </c>
      <c r="J141" s="305">
        <f t="shared" ref="J141:L141" si="36">+$F141*G141</f>
        <v>10176168.73</v>
      </c>
      <c r="K141" s="303">
        <f t="shared" si="36"/>
        <v>11722916.45</v>
      </c>
      <c r="L141" s="304">
        <f t="shared" si="36"/>
        <v>11722916.45</v>
      </c>
      <c r="M141" s="140"/>
      <c r="N141" s="1"/>
      <c r="O141" s="1"/>
      <c r="P141" s="1"/>
      <c r="Q141" s="1"/>
      <c r="R141" s="1"/>
    </row>
    <row r="142" ht="13.5" customHeight="1">
      <c r="A142" s="5"/>
      <c r="B142" s="1"/>
      <c r="C142" s="140"/>
      <c r="D142" s="140"/>
      <c r="E142" s="309" t="s">
        <v>246</v>
      </c>
      <c r="F142" s="312">
        <v>0.03</v>
      </c>
      <c r="G142" s="313">
        <f>+J97</f>
        <v>3143520</v>
      </c>
      <c r="H142" s="314">
        <f>+J96</f>
        <v>3409920</v>
      </c>
      <c r="I142" s="260">
        <f>+H142</f>
        <v>3409920</v>
      </c>
      <c r="J142" s="315">
        <f t="shared" ref="J142:L142" si="37">+$F142*G142</f>
        <v>94305.6</v>
      </c>
      <c r="K142" s="259">
        <f t="shared" si="37"/>
        <v>102297.6</v>
      </c>
      <c r="L142" s="260">
        <f t="shared" si="37"/>
        <v>102297.6</v>
      </c>
      <c r="M142" s="140"/>
      <c r="N142" s="1"/>
      <c r="O142" s="1"/>
      <c r="P142" s="1"/>
      <c r="Q142" s="1"/>
      <c r="R142" s="1"/>
    </row>
    <row r="143" ht="13.5" customHeight="1">
      <c r="A143" s="5"/>
      <c r="B143" s="1"/>
      <c r="C143" s="140"/>
      <c r="D143" s="140"/>
      <c r="E143" s="140"/>
      <c r="F143" s="140"/>
      <c r="G143" s="140"/>
      <c r="H143" s="316" t="s">
        <v>249</v>
      </c>
      <c r="I143" s="317"/>
      <c r="J143" s="318">
        <f t="shared" ref="J143:L143" si="38">+SUM(J140:J142)</f>
        <v>10271247.07</v>
      </c>
      <c r="K143" s="318">
        <f t="shared" si="38"/>
        <v>11826052.29</v>
      </c>
      <c r="L143" s="320">
        <f t="shared" si="38"/>
        <v>11826094.2</v>
      </c>
      <c r="M143" s="140"/>
      <c r="N143" s="1"/>
      <c r="O143" s="1"/>
      <c r="P143" s="1"/>
      <c r="Q143" s="1"/>
      <c r="R143" s="1"/>
    </row>
    <row r="144" ht="12.75" customHeight="1">
      <c r="A144" s="5"/>
      <c r="B144" s="1"/>
      <c r="C144" s="140"/>
      <c r="D144" s="140"/>
      <c r="E144" s="140"/>
      <c r="F144" s="140"/>
      <c r="G144" s="140"/>
      <c r="H144" s="322"/>
      <c r="I144" s="322"/>
      <c r="J144" s="323"/>
      <c r="K144" s="323"/>
      <c r="L144" s="323"/>
      <c r="M144" s="140"/>
      <c r="N144" s="1"/>
      <c r="O144" s="1"/>
      <c r="P144" s="1"/>
      <c r="Q144" s="1"/>
      <c r="R144" s="1"/>
    </row>
    <row r="145" ht="12.75" customHeight="1">
      <c r="A145" s="5"/>
      <c r="B145" s="1"/>
      <c r="C145" s="140"/>
      <c r="D145" s="140"/>
      <c r="E145" s="140" t="s">
        <v>251</v>
      </c>
      <c r="F145" s="140"/>
      <c r="G145" s="140"/>
      <c r="H145" s="140"/>
      <c r="I145" s="140"/>
      <c r="J145" s="140"/>
      <c r="K145" s="140"/>
      <c r="L145" s="140"/>
      <c r="M145" s="140"/>
      <c r="N145" s="1"/>
      <c r="O145" s="1"/>
      <c r="P145" s="1"/>
      <c r="Q145" s="1"/>
      <c r="R145" s="1"/>
    </row>
    <row r="146" ht="12.75" customHeight="1">
      <c r="A146" s="5"/>
      <c r="B146" s="1"/>
      <c r="C146" s="140"/>
      <c r="D146" s="140"/>
      <c r="E146" s="140" t="s">
        <v>252</v>
      </c>
      <c r="F146" s="140"/>
      <c r="G146" s="140"/>
      <c r="H146" s="140"/>
      <c r="I146" s="140"/>
      <c r="J146" s="140"/>
      <c r="K146" s="140"/>
      <c r="L146" s="140"/>
      <c r="M146" s="140"/>
      <c r="N146" s="1"/>
      <c r="O146" s="1"/>
      <c r="P146" s="1"/>
      <c r="Q146" s="1"/>
      <c r="R146" s="1"/>
    </row>
    <row r="147" ht="13.5" customHeight="1">
      <c r="A147" s="5"/>
      <c r="B147" s="1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"/>
      <c r="O147" s="1"/>
      <c r="P147" s="1"/>
      <c r="Q147" s="1"/>
      <c r="R147" s="1"/>
    </row>
    <row r="148" ht="12.75" customHeight="1">
      <c r="A148" s="5"/>
      <c r="B148" s="1"/>
      <c r="C148" s="140"/>
      <c r="D148" s="140"/>
      <c r="E148" s="253" t="s">
        <v>212</v>
      </c>
      <c r="F148" s="254" t="s">
        <v>83</v>
      </c>
      <c r="G148" s="254" t="s">
        <v>213</v>
      </c>
      <c r="H148" s="255" t="s">
        <v>214</v>
      </c>
      <c r="I148" s="140"/>
      <c r="J148" s="140"/>
      <c r="K148" s="140"/>
      <c r="L148" s="140"/>
      <c r="M148" s="140"/>
      <c r="N148" s="1"/>
      <c r="O148" s="1"/>
      <c r="P148" s="1"/>
      <c r="Q148" s="1"/>
      <c r="R148" s="1"/>
    </row>
    <row r="149" ht="12.75" customHeight="1">
      <c r="A149" s="5"/>
      <c r="B149" s="1"/>
      <c r="C149" s="140"/>
      <c r="D149" s="140"/>
      <c r="E149" s="256" t="s">
        <v>253</v>
      </c>
      <c r="F149" s="257">
        <f t="shared" ref="F149:H149" si="39">+J143/$F$214</f>
        <v>5.374802237</v>
      </c>
      <c r="G149" s="257">
        <f t="shared" si="39"/>
        <v>6.188410407</v>
      </c>
      <c r="H149" s="327">
        <f t="shared" si="39"/>
        <v>6.188432339</v>
      </c>
      <c r="I149" s="140"/>
      <c r="J149" s="140"/>
      <c r="K149" s="140"/>
      <c r="L149" s="140"/>
      <c r="M149" s="140"/>
      <c r="N149" s="1"/>
      <c r="O149" s="1"/>
      <c r="P149" s="1"/>
      <c r="Q149" s="1"/>
      <c r="R149" s="1"/>
    </row>
    <row r="150" ht="13.5" customHeight="1">
      <c r="A150" s="5"/>
      <c r="B150" s="1"/>
      <c r="C150" s="140"/>
      <c r="D150" s="140"/>
      <c r="E150" s="258" t="s">
        <v>255</v>
      </c>
      <c r="F150" s="259">
        <f t="shared" ref="F150:H150" si="40">+$F$235*F149/2</f>
        <v>17846.02305</v>
      </c>
      <c r="G150" s="259">
        <f t="shared" si="40"/>
        <v>20547.45643</v>
      </c>
      <c r="H150" s="260">
        <f t="shared" si="40"/>
        <v>20547.52925</v>
      </c>
      <c r="I150" s="140"/>
      <c r="J150" s="140"/>
      <c r="K150" s="140"/>
      <c r="L150" s="140"/>
      <c r="M150" s="140"/>
      <c r="N150" s="1"/>
      <c r="O150" s="1"/>
      <c r="P150" s="1"/>
      <c r="Q150" s="1"/>
      <c r="R150" s="1"/>
    </row>
    <row r="151" ht="12.75" customHeight="1">
      <c r="A151" s="5"/>
      <c r="B151" s="1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"/>
      <c r="O151" s="1"/>
      <c r="P151" s="1"/>
      <c r="Q151" s="1"/>
      <c r="R151" s="1"/>
    </row>
    <row r="152" ht="13.5" customHeight="1">
      <c r="A152" s="5"/>
      <c r="B152" s="1"/>
      <c r="C152" s="140"/>
      <c r="D152" s="283" t="s">
        <v>256</v>
      </c>
      <c r="E152" s="284"/>
      <c r="F152" s="140"/>
      <c r="G152" s="140"/>
      <c r="H152" s="140"/>
      <c r="I152" s="140"/>
      <c r="J152" s="140"/>
      <c r="K152" s="140"/>
      <c r="L152" s="140"/>
      <c r="M152" s="140"/>
      <c r="N152" s="1"/>
      <c r="O152" s="1"/>
      <c r="P152" s="1"/>
      <c r="Q152" s="1"/>
      <c r="R152" s="1"/>
    </row>
    <row r="153" ht="13.5" customHeight="1">
      <c r="A153" s="5"/>
      <c r="B153" s="1"/>
      <c r="C153" s="140"/>
      <c r="D153" s="140"/>
      <c r="E153" s="140"/>
      <c r="F153" s="140"/>
      <c r="G153" s="286" t="s">
        <v>237</v>
      </c>
      <c r="H153" s="287"/>
      <c r="I153" s="288"/>
      <c r="J153" s="290" t="s">
        <v>239</v>
      </c>
      <c r="K153" s="287"/>
      <c r="L153" s="288"/>
      <c r="M153" s="140"/>
      <c r="N153" s="1"/>
      <c r="O153" s="1"/>
      <c r="P153" s="1"/>
      <c r="Q153" s="1"/>
      <c r="R153" s="1"/>
    </row>
    <row r="154" ht="13.5" customHeight="1">
      <c r="A154" s="5"/>
      <c r="B154" s="1"/>
      <c r="C154" s="140"/>
      <c r="D154" s="140"/>
      <c r="E154" s="292" t="s">
        <v>240</v>
      </c>
      <c r="F154" s="165" t="s">
        <v>167</v>
      </c>
      <c r="G154" s="293" t="s">
        <v>83</v>
      </c>
      <c r="H154" s="294" t="s">
        <v>242</v>
      </c>
      <c r="I154" s="295" t="s">
        <v>243</v>
      </c>
      <c r="J154" s="296" t="s">
        <v>83</v>
      </c>
      <c r="K154" s="294" t="s">
        <v>242</v>
      </c>
      <c r="L154" s="295" t="s">
        <v>243</v>
      </c>
      <c r="M154" s="140"/>
      <c r="N154" s="1"/>
      <c r="O154" s="1"/>
      <c r="P154" s="1"/>
      <c r="Q154" s="1"/>
      <c r="R154" s="1"/>
    </row>
    <row r="155" ht="12.75" customHeight="1">
      <c r="A155" s="5"/>
      <c r="B155" s="1"/>
      <c r="C155" s="140"/>
      <c r="D155" s="140"/>
      <c r="E155" s="330" t="s">
        <v>258</v>
      </c>
      <c r="F155" s="331">
        <v>0.01</v>
      </c>
      <c r="G155" s="332">
        <f>SUMPRODUCT('E-Inv AF y Am'!B43:B50,'E-Inv AF y Am'!I43:I50)</f>
        <v>4020870.953</v>
      </c>
      <c r="H155" s="334">
        <f t="shared" ref="H155:I155" si="41">+G155</f>
        <v>4020870.953</v>
      </c>
      <c r="I155" s="336">
        <f t="shared" si="41"/>
        <v>4020870.953</v>
      </c>
      <c r="J155" s="339">
        <f t="shared" ref="J155:J156" si="43">+$F155*G155*$K$101</f>
        <v>37067.40409</v>
      </c>
      <c r="K155" s="340">
        <f t="shared" ref="K155:K156" si="44">+$F155*H155</f>
        <v>40208.70953</v>
      </c>
      <c r="L155" s="342">
        <f t="shared" ref="L155:L156" si="45">+$F155*I155*1.05</f>
        <v>42219.145</v>
      </c>
      <c r="M155" s="140"/>
      <c r="N155" s="1"/>
      <c r="O155" s="1"/>
      <c r="P155" s="1"/>
      <c r="Q155" s="1"/>
      <c r="R155" s="1"/>
    </row>
    <row r="156" ht="12.75" customHeight="1">
      <c r="A156" s="5"/>
      <c r="B156" s="1"/>
      <c r="C156" s="140"/>
      <c r="D156" s="140"/>
      <c r="E156" s="298" t="s">
        <v>262</v>
      </c>
      <c r="F156" s="344">
        <v>0.025</v>
      </c>
      <c r="G156" s="346">
        <f>AVERAGE('E-Costos'!B8:F8)</f>
        <v>3356640</v>
      </c>
      <c r="H156" s="347">
        <f t="shared" ref="H156:I156" si="42">+G156</f>
        <v>3356640</v>
      </c>
      <c r="I156" s="348">
        <f t="shared" si="42"/>
        <v>3356640</v>
      </c>
      <c r="J156" s="305">
        <f t="shared" si="43"/>
        <v>77360.0625</v>
      </c>
      <c r="K156" s="303">
        <f t="shared" si="44"/>
        <v>83916</v>
      </c>
      <c r="L156" s="304">
        <f t="shared" si="45"/>
        <v>88111.8</v>
      </c>
      <c r="M156" s="140"/>
      <c r="N156" s="1"/>
      <c r="O156" s="1"/>
      <c r="P156" s="1"/>
      <c r="Q156" s="1"/>
      <c r="R156" s="1"/>
    </row>
    <row r="157" ht="13.5" customHeight="1">
      <c r="A157" s="5"/>
      <c r="B157" s="1"/>
      <c r="C157" s="140"/>
      <c r="D157" s="140"/>
      <c r="E157" s="309" t="s">
        <v>263</v>
      </c>
      <c r="F157" s="350">
        <v>0.005</v>
      </c>
      <c r="G157" s="352">
        <f>+K125</f>
        <v>1882837.5</v>
      </c>
      <c r="H157" s="353">
        <f>+$K$124</f>
        <v>2042400</v>
      </c>
      <c r="I157" s="354">
        <f>+H157</f>
        <v>2042400</v>
      </c>
      <c r="J157" s="315">
        <f t="shared" ref="J157:L157" si="46">+$F157*G157</f>
        <v>9414.1875</v>
      </c>
      <c r="K157" s="259">
        <f t="shared" si="46"/>
        <v>10212</v>
      </c>
      <c r="L157" s="260">
        <f t="shared" si="46"/>
        <v>10212</v>
      </c>
      <c r="M157" s="140"/>
      <c r="N157" s="1"/>
      <c r="O157" s="1"/>
      <c r="P157" s="1"/>
      <c r="Q157" s="1"/>
      <c r="R157" s="1"/>
    </row>
    <row r="158" ht="13.5" customHeight="1">
      <c r="A158" s="5"/>
      <c r="B158" s="1"/>
      <c r="C158" s="140"/>
      <c r="D158" s="140"/>
      <c r="E158" s="140"/>
      <c r="F158" s="140"/>
      <c r="G158" s="140"/>
      <c r="H158" s="316" t="s">
        <v>249</v>
      </c>
      <c r="I158" s="317"/>
      <c r="J158" s="318">
        <f t="shared" ref="J158:L158" si="47">+SUM(J155:J157)</f>
        <v>123841.6541</v>
      </c>
      <c r="K158" s="318">
        <f t="shared" si="47"/>
        <v>134336.7095</v>
      </c>
      <c r="L158" s="320">
        <f t="shared" si="47"/>
        <v>140542.945</v>
      </c>
      <c r="M158" s="140"/>
      <c r="N158" s="1"/>
      <c r="O158" s="1"/>
      <c r="P158" s="1"/>
      <c r="Q158" s="1"/>
      <c r="R158" s="1"/>
    </row>
    <row r="159" ht="12.75" customHeight="1">
      <c r="A159" s="5"/>
      <c r="B159" s="1"/>
      <c r="C159" s="140"/>
      <c r="D159" s="140"/>
      <c r="E159" s="140" t="s">
        <v>264</v>
      </c>
      <c r="F159" s="140"/>
      <c r="G159" s="140"/>
      <c r="H159" s="140"/>
      <c r="I159" s="140"/>
      <c r="J159" s="140"/>
      <c r="K159" s="140"/>
      <c r="L159" s="140"/>
      <c r="M159" s="140"/>
      <c r="N159" s="1"/>
      <c r="O159" s="1"/>
      <c r="P159" s="1"/>
      <c r="Q159" s="1"/>
      <c r="R159" s="1"/>
    </row>
    <row r="160" ht="12.75" customHeight="1">
      <c r="A160" s="5"/>
      <c r="B160" s="1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"/>
      <c r="O160" s="1"/>
      <c r="P160" s="1"/>
      <c r="Q160" s="1"/>
      <c r="R160" s="1"/>
    </row>
    <row r="161" ht="13.5" customHeight="1">
      <c r="A161" s="5"/>
      <c r="B161" s="1"/>
      <c r="C161" s="140"/>
      <c r="D161" s="283" t="s">
        <v>265</v>
      </c>
      <c r="E161" s="284"/>
      <c r="F161" s="140"/>
      <c r="G161" s="140"/>
      <c r="H161" s="140"/>
      <c r="I161" s="140"/>
      <c r="J161" s="140"/>
      <c r="K161" s="140"/>
      <c r="L161" s="140"/>
      <c r="M161" s="140"/>
      <c r="N161" s="1"/>
      <c r="O161" s="1"/>
      <c r="P161" s="1"/>
      <c r="Q161" s="1"/>
      <c r="R161" s="1"/>
    </row>
    <row r="162" ht="13.5" customHeight="1">
      <c r="A162" s="5"/>
      <c r="B162" s="1"/>
      <c r="C162" s="140"/>
      <c r="D162" s="140"/>
      <c r="E162" s="140"/>
      <c r="F162" s="140"/>
      <c r="G162" s="286" t="s">
        <v>237</v>
      </c>
      <c r="H162" s="287"/>
      <c r="I162" s="288"/>
      <c r="J162" s="290" t="s">
        <v>239</v>
      </c>
      <c r="K162" s="287"/>
      <c r="L162" s="288"/>
      <c r="M162" s="140"/>
      <c r="N162" s="1"/>
      <c r="O162" s="1"/>
      <c r="P162" s="1"/>
      <c r="Q162" s="1"/>
      <c r="R162" s="1"/>
    </row>
    <row r="163" ht="13.5" customHeight="1">
      <c r="A163" s="5"/>
      <c r="B163" s="1"/>
      <c r="C163" s="140"/>
      <c r="D163" s="140"/>
      <c r="E163" s="292" t="s">
        <v>240</v>
      </c>
      <c r="F163" s="165" t="s">
        <v>167</v>
      </c>
      <c r="G163" s="293" t="s">
        <v>83</v>
      </c>
      <c r="H163" s="294" t="s">
        <v>242</v>
      </c>
      <c r="I163" s="295" t="s">
        <v>243</v>
      </c>
      <c r="J163" s="296" t="s">
        <v>83</v>
      </c>
      <c r="K163" s="294" t="s">
        <v>242</v>
      </c>
      <c r="L163" s="295" t="s">
        <v>243</v>
      </c>
      <c r="M163" s="140"/>
      <c r="N163" s="1"/>
      <c r="O163" s="1"/>
      <c r="P163" s="1"/>
      <c r="Q163" s="1"/>
      <c r="R163" s="1"/>
    </row>
    <row r="164" ht="12.75" customHeight="1">
      <c r="A164" s="5"/>
      <c r="B164" s="1"/>
      <c r="C164" s="140"/>
      <c r="D164" s="140"/>
      <c r="E164" s="330" t="s">
        <v>258</v>
      </c>
      <c r="F164" s="331">
        <v>0.01</v>
      </c>
      <c r="G164" s="358">
        <f>SUMPRODUCT('E-Inv AF y Am'!D43:D50,'E-Inv AF y Am'!J43:J50)</f>
        <v>698077.0893</v>
      </c>
      <c r="H164" s="340">
        <f t="shared" ref="H164:I164" si="48">+G164</f>
        <v>698077.0893</v>
      </c>
      <c r="I164" s="342">
        <f t="shared" si="48"/>
        <v>698077.0893</v>
      </c>
      <c r="J164" s="339">
        <f t="shared" ref="J164:J165" si="50">+$F164*G164*$K$101</f>
        <v>6435.398167</v>
      </c>
      <c r="K164" s="340">
        <f t="shared" ref="K164:K165" si="51">+$F164*H164</f>
        <v>6980.770893</v>
      </c>
      <c r="L164" s="342">
        <f t="shared" ref="L164:L165" si="52">+$F164*I164*1.05</f>
        <v>7329.809437</v>
      </c>
      <c r="M164" s="140"/>
      <c r="N164" s="1"/>
      <c r="O164" s="1"/>
      <c r="P164" s="1"/>
      <c r="Q164" s="1"/>
      <c r="R164" s="1"/>
    </row>
    <row r="165" ht="12.75" customHeight="1">
      <c r="A165" s="5"/>
      <c r="B165" s="1"/>
      <c r="C165" s="140"/>
      <c r="D165" s="140"/>
      <c r="E165" s="298" t="s">
        <v>262</v>
      </c>
      <c r="F165" s="344">
        <v>0.025</v>
      </c>
      <c r="G165" s="301">
        <f>AVERAGE('E-Costos'!B8:F8)</f>
        <v>3356640</v>
      </c>
      <c r="H165" s="303">
        <f t="shared" ref="H165:I165" si="49">+G165</f>
        <v>3356640</v>
      </c>
      <c r="I165" s="304">
        <f t="shared" si="49"/>
        <v>3356640</v>
      </c>
      <c r="J165" s="305">
        <f t="shared" si="50"/>
        <v>77360.0625</v>
      </c>
      <c r="K165" s="303">
        <f t="shared" si="51"/>
        <v>83916</v>
      </c>
      <c r="L165" s="304">
        <f t="shared" si="52"/>
        <v>88111.8</v>
      </c>
      <c r="M165" s="140"/>
      <c r="N165" s="1"/>
      <c r="O165" s="1"/>
      <c r="P165" s="1"/>
      <c r="Q165" s="1"/>
      <c r="R165" s="1"/>
    </row>
    <row r="166" ht="13.5" customHeight="1">
      <c r="A166" s="5"/>
      <c r="B166" s="1"/>
      <c r="C166" s="140"/>
      <c r="D166" s="140"/>
      <c r="E166" s="309" t="s">
        <v>263</v>
      </c>
      <c r="F166" s="350">
        <v>0.005</v>
      </c>
      <c r="G166" s="313">
        <f>+K133</f>
        <v>1065600</v>
      </c>
      <c r="H166" s="314">
        <f>+$K$134</f>
        <v>982350</v>
      </c>
      <c r="I166" s="260">
        <f>+H166</f>
        <v>982350</v>
      </c>
      <c r="J166" s="315">
        <f t="shared" ref="J166:L166" si="53">+$F166*G166</f>
        <v>5328</v>
      </c>
      <c r="K166" s="259">
        <f t="shared" si="53"/>
        <v>4911.75</v>
      </c>
      <c r="L166" s="260">
        <f t="shared" si="53"/>
        <v>4911.75</v>
      </c>
      <c r="M166" s="140"/>
      <c r="N166" s="1"/>
      <c r="O166" s="1"/>
      <c r="P166" s="1"/>
      <c r="Q166" s="1"/>
      <c r="R166" s="1"/>
    </row>
    <row r="167" ht="13.5" customHeight="1">
      <c r="A167" s="5"/>
      <c r="B167" s="1"/>
      <c r="C167" s="140"/>
      <c r="D167" s="140"/>
      <c r="E167" s="140"/>
      <c r="F167" s="140"/>
      <c r="G167" s="140"/>
      <c r="H167" s="316" t="s">
        <v>249</v>
      </c>
      <c r="I167" s="317"/>
      <c r="J167" s="318">
        <f t="shared" ref="J167:L167" si="54">+SUM(J164:J166)</f>
        <v>89123.46067</v>
      </c>
      <c r="K167" s="318">
        <f t="shared" si="54"/>
        <v>95808.52089</v>
      </c>
      <c r="L167" s="320">
        <f t="shared" si="54"/>
        <v>100353.3594</v>
      </c>
      <c r="M167" s="140"/>
      <c r="N167" s="1"/>
      <c r="O167" s="1"/>
      <c r="P167" s="1"/>
      <c r="Q167" s="1"/>
      <c r="R167" s="1"/>
    </row>
    <row r="168" ht="12.75" customHeight="1">
      <c r="A168" s="5"/>
      <c r="B168" s="1"/>
      <c r="C168" s="1"/>
      <c r="D168" s="1"/>
      <c r="E168" s="1" t="s">
        <v>264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ht="12.75" customHeight="1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ht="13.5" customHeight="1">
      <c r="A170" s="5"/>
      <c r="B170" s="1"/>
      <c r="C170" s="361" t="s">
        <v>245</v>
      </c>
      <c r="D170" s="1"/>
      <c r="E170" s="1"/>
      <c r="F170" s="362" t="s">
        <v>236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ht="13.5" customHeight="1">
      <c r="A171" s="5"/>
      <c r="B171" s="1"/>
      <c r="C171" s="1"/>
      <c r="D171" s="1"/>
      <c r="E171" s="364" t="s">
        <v>268</v>
      </c>
      <c r="F171" s="366" t="s">
        <v>270</v>
      </c>
      <c r="G171" s="367" t="s">
        <v>271</v>
      </c>
      <c r="H171" s="367" t="s">
        <v>274</v>
      </c>
      <c r="I171" s="368" t="s">
        <v>275</v>
      </c>
      <c r="J171" s="369" t="s">
        <v>276</v>
      </c>
      <c r="K171" s="370" t="s">
        <v>277</v>
      </c>
      <c r="L171" s="288"/>
      <c r="M171" s="1"/>
      <c r="N171" s="1"/>
      <c r="O171" s="1"/>
      <c r="P171" s="1"/>
      <c r="Q171" s="1"/>
      <c r="R171" s="1"/>
    </row>
    <row r="172" ht="13.5" customHeight="1">
      <c r="A172" s="5"/>
      <c r="B172" s="1"/>
      <c r="C172" s="1"/>
      <c r="D172" s="1"/>
      <c r="E172" s="371"/>
      <c r="F172" s="372"/>
      <c r="G172" s="373" t="s">
        <v>279</v>
      </c>
      <c r="H172" s="373" t="s">
        <v>280</v>
      </c>
      <c r="I172" s="374" t="s">
        <v>281</v>
      </c>
      <c r="J172" s="375" t="s">
        <v>280</v>
      </c>
      <c r="K172" s="376" t="s">
        <v>283</v>
      </c>
      <c r="L172" s="378">
        <f>12*1866.24*$D$70</f>
        <v>13090.06928</v>
      </c>
      <c r="M172" s="1"/>
      <c r="N172" s="1"/>
      <c r="O172" s="1"/>
      <c r="P172" s="1"/>
      <c r="Q172" s="1"/>
      <c r="R172" s="1"/>
    </row>
    <row r="173" ht="12.75" customHeight="1">
      <c r="A173" s="5"/>
      <c r="B173" s="1"/>
      <c r="C173" s="1"/>
      <c r="D173" s="1"/>
      <c r="E173" s="380" t="s">
        <v>23</v>
      </c>
      <c r="F173" s="78">
        <v>1.0</v>
      </c>
      <c r="G173" s="382">
        <v>1.1</v>
      </c>
      <c r="H173" s="384">
        <f t="shared" ref="H173:H178" si="55">J173*340</f>
        <v>1020</v>
      </c>
      <c r="I173" s="386">
        <f t="shared" ref="I173:I180" si="56">F173*G173*H173</f>
        <v>1122</v>
      </c>
      <c r="J173" s="384">
        <v>3.0</v>
      </c>
      <c r="K173" s="387" t="s">
        <v>285</v>
      </c>
      <c r="L173" s="389">
        <f>128.99*G181*12</f>
        <v>78056.49264</v>
      </c>
      <c r="M173" s="1"/>
      <c r="N173" s="1"/>
      <c r="O173" s="1"/>
      <c r="P173" s="1"/>
      <c r="Q173" s="1"/>
      <c r="R173" s="1"/>
    </row>
    <row r="174" ht="12.75" customHeight="1">
      <c r="A174" s="5"/>
      <c r="B174" s="1"/>
      <c r="C174" s="1"/>
      <c r="D174" s="1"/>
      <c r="E174" s="380" t="s">
        <v>286</v>
      </c>
      <c r="F174" s="78">
        <v>1.0</v>
      </c>
      <c r="G174" s="382">
        <v>2.24</v>
      </c>
      <c r="H174" s="384">
        <f t="shared" si="55"/>
        <v>2210</v>
      </c>
      <c r="I174" s="386">
        <f t="shared" si="56"/>
        <v>4950.4</v>
      </c>
      <c r="J174" s="228">
        <v>6.5</v>
      </c>
      <c r="K174" s="387" t="s">
        <v>289</v>
      </c>
      <c r="L174" s="389">
        <f>1.32*I181</f>
        <v>512775.3312</v>
      </c>
      <c r="M174" s="1"/>
      <c r="N174" s="1"/>
      <c r="O174" s="1"/>
      <c r="P174" s="1"/>
      <c r="Q174" s="1"/>
      <c r="R174" s="1"/>
    </row>
    <row r="175" ht="12.75" customHeight="1">
      <c r="A175" s="5"/>
      <c r="B175" s="1"/>
      <c r="C175" s="1"/>
      <c r="D175" s="1"/>
      <c r="E175" s="380" t="s">
        <v>290</v>
      </c>
      <c r="F175" s="78">
        <v>3.0</v>
      </c>
      <c r="G175" s="382">
        <v>2.24</v>
      </c>
      <c r="H175" s="384">
        <f t="shared" si="55"/>
        <v>2380</v>
      </c>
      <c r="I175" s="386">
        <f t="shared" si="56"/>
        <v>15993.6</v>
      </c>
      <c r="J175" s="228">
        <v>7.0</v>
      </c>
      <c r="K175" s="387" t="s">
        <v>291</v>
      </c>
      <c r="L175" s="389">
        <f>SUM(L172:L174)</f>
        <v>603921.8931</v>
      </c>
      <c r="M175" s="1"/>
      <c r="N175" s="1"/>
      <c r="O175" s="1"/>
      <c r="P175" s="1"/>
      <c r="Q175" s="1"/>
      <c r="R175" s="1"/>
    </row>
    <row r="176" ht="12.75" customHeight="1">
      <c r="A176" s="5"/>
      <c r="B176" s="1"/>
      <c r="C176" s="1"/>
      <c r="D176" s="1"/>
      <c r="E176" s="380" t="s">
        <v>63</v>
      </c>
      <c r="F176" s="78">
        <v>4.0</v>
      </c>
      <c r="G176" s="382">
        <v>0.375</v>
      </c>
      <c r="H176" s="384">
        <f t="shared" si="55"/>
        <v>2550</v>
      </c>
      <c r="I176" s="386">
        <f t="shared" si="56"/>
        <v>3825</v>
      </c>
      <c r="J176" s="228">
        <v>7.5</v>
      </c>
      <c r="K176" s="391"/>
      <c r="L176" s="392"/>
      <c r="M176" s="1"/>
      <c r="N176" s="1"/>
      <c r="O176" s="1"/>
      <c r="P176" s="1"/>
      <c r="Q176" s="1"/>
      <c r="R176" s="1"/>
    </row>
    <row r="177" ht="12.75" customHeight="1">
      <c r="A177" s="5"/>
      <c r="B177" s="1"/>
      <c r="C177" s="1"/>
      <c r="D177" s="1"/>
      <c r="E177" s="380" t="s">
        <v>69</v>
      </c>
      <c r="F177" s="78">
        <v>1.0</v>
      </c>
      <c r="G177" s="382">
        <v>0.2</v>
      </c>
      <c r="H177" s="384">
        <f t="shared" si="55"/>
        <v>2267.8</v>
      </c>
      <c r="I177" s="386">
        <f t="shared" si="56"/>
        <v>453.56</v>
      </c>
      <c r="J177" s="228">
        <v>6.67</v>
      </c>
      <c r="K177" s="393"/>
      <c r="L177" s="389"/>
      <c r="M177" s="1"/>
      <c r="N177" s="1"/>
      <c r="O177" s="1"/>
      <c r="P177" s="1"/>
      <c r="Q177" s="1"/>
      <c r="R177" s="1"/>
    </row>
    <row r="178" ht="12.75" customHeight="1">
      <c r="A178" s="5"/>
      <c r="B178" s="1"/>
      <c r="C178" s="1"/>
      <c r="D178" s="1"/>
      <c r="E178" s="380" t="s">
        <v>295</v>
      </c>
      <c r="F178" s="78">
        <v>1.0</v>
      </c>
      <c r="G178" s="382">
        <v>44.18</v>
      </c>
      <c r="H178" s="384">
        <f t="shared" si="55"/>
        <v>8160</v>
      </c>
      <c r="I178" s="386">
        <f t="shared" si="56"/>
        <v>360508.8</v>
      </c>
      <c r="J178" s="228">
        <v>24.0</v>
      </c>
      <c r="K178" s="393"/>
      <c r="L178" s="389"/>
      <c r="M178" s="1"/>
      <c r="N178" s="1"/>
      <c r="O178" s="1"/>
      <c r="P178" s="1"/>
      <c r="Q178" s="1"/>
      <c r="R178" s="1"/>
    </row>
    <row r="179" ht="12.75" customHeight="1">
      <c r="A179" s="5"/>
      <c r="B179" s="1"/>
      <c r="C179" s="1"/>
      <c r="D179" s="1"/>
      <c r="E179" s="395" t="s">
        <v>296</v>
      </c>
      <c r="F179" s="55">
        <v>30.0</v>
      </c>
      <c r="G179" s="396">
        <v>0.018</v>
      </c>
      <c r="H179" s="227">
        <f t="shared" ref="H179:H180" si="57">8*(5*50-10)</f>
        <v>1920</v>
      </c>
      <c r="I179" s="397">
        <f t="shared" si="56"/>
        <v>1036.8</v>
      </c>
      <c r="J179" s="227"/>
      <c r="K179" s="393" t="s">
        <v>297</v>
      </c>
      <c r="L179" s="399">
        <f>+L175/12</f>
        <v>50326.82443</v>
      </c>
      <c r="M179" s="1"/>
      <c r="N179" s="1"/>
      <c r="O179" s="1"/>
      <c r="P179" s="1"/>
      <c r="Q179" s="1"/>
      <c r="R179" s="1"/>
    </row>
    <row r="180" ht="13.5" customHeight="1">
      <c r="A180" s="5"/>
      <c r="B180" s="1"/>
      <c r="C180" s="1"/>
      <c r="D180" s="1"/>
      <c r="E180" s="401" t="s">
        <v>298</v>
      </c>
      <c r="F180" s="125">
        <v>4.0</v>
      </c>
      <c r="G180" s="402">
        <v>0.075</v>
      </c>
      <c r="H180" s="403">
        <f t="shared" si="57"/>
        <v>1920</v>
      </c>
      <c r="I180" s="404">
        <f t="shared" si="56"/>
        <v>576</v>
      </c>
      <c r="J180" s="403"/>
      <c r="K180" s="62" t="s">
        <v>299</v>
      </c>
      <c r="L180" s="1"/>
      <c r="M180" s="1"/>
      <c r="N180" s="1"/>
      <c r="O180" s="1"/>
      <c r="P180" s="1"/>
      <c r="Q180" s="1"/>
      <c r="R180" s="1"/>
    </row>
    <row r="181" ht="13.5" customHeight="1">
      <c r="A181" s="5"/>
      <c r="B181" s="1"/>
      <c r="C181" s="1"/>
      <c r="D181" s="1"/>
      <c r="E181" s="406" t="s">
        <v>300</v>
      </c>
      <c r="F181" s="407"/>
      <c r="G181" s="408">
        <f>SUM(G173:G180)</f>
        <v>50.428</v>
      </c>
      <c r="H181" s="409"/>
      <c r="I181" s="411">
        <f>SUM(I173:I180)</f>
        <v>388466.16</v>
      </c>
      <c r="J181" s="413"/>
      <c r="K181" s="414" t="s">
        <v>81</v>
      </c>
      <c r="L181" s="416">
        <f>L175</f>
        <v>603921.8931</v>
      </c>
      <c r="M181" s="1"/>
      <c r="N181" s="1"/>
      <c r="O181" s="1"/>
      <c r="P181" s="1"/>
      <c r="Q181" s="1"/>
      <c r="R181" s="1"/>
    </row>
    <row r="182" ht="13.5" customHeight="1">
      <c r="A182" s="5"/>
      <c r="B182" s="1"/>
      <c r="C182" s="1"/>
      <c r="D182" s="1"/>
      <c r="E182" s="1"/>
      <c r="F182" s="195"/>
      <c r="G182" s="417" t="s">
        <v>302</v>
      </c>
      <c r="H182" s="418"/>
      <c r="I182" s="419">
        <f>I181/12</f>
        <v>32372.18</v>
      </c>
      <c r="J182" s="413"/>
      <c r="K182" s="421" t="s">
        <v>83</v>
      </c>
      <c r="L182" s="422">
        <f>L174*K101+L172+L173</f>
        <v>563861.3204</v>
      </c>
      <c r="M182" s="1"/>
      <c r="N182" s="1"/>
      <c r="O182" s="1"/>
      <c r="P182" s="1"/>
      <c r="Q182" s="1"/>
      <c r="R182" s="1"/>
    </row>
    <row r="183" ht="13.5" customHeight="1">
      <c r="A183" s="5"/>
      <c r="B183" s="1"/>
      <c r="C183" s="1"/>
      <c r="D183" s="1"/>
      <c r="E183" s="1"/>
      <c r="F183" s="195"/>
      <c r="G183" s="171"/>
      <c r="H183" s="171"/>
      <c r="I183" s="423"/>
      <c r="J183" s="1"/>
      <c r="K183" s="1"/>
      <c r="L183" s="1"/>
      <c r="M183" s="1"/>
      <c r="N183" s="1"/>
      <c r="O183" s="1"/>
      <c r="P183" s="1"/>
      <c r="Q183" s="1"/>
      <c r="R183" s="1"/>
    </row>
    <row r="184" ht="13.5" customHeight="1">
      <c r="A184" s="5"/>
      <c r="B184" s="1"/>
      <c r="C184" s="1"/>
      <c r="D184" s="1"/>
      <c r="E184" s="76" t="s">
        <v>212</v>
      </c>
      <c r="F184" s="10" t="s">
        <v>83</v>
      </c>
      <c r="G184" s="10" t="s">
        <v>213</v>
      </c>
      <c r="H184" s="12" t="s">
        <v>214</v>
      </c>
      <c r="I184" s="423"/>
      <c r="J184" s="1"/>
      <c r="K184" s="1"/>
      <c r="L184" s="1"/>
      <c r="M184" s="1"/>
      <c r="N184" s="1"/>
      <c r="O184" s="1"/>
      <c r="P184" s="1"/>
      <c r="Q184" s="1"/>
      <c r="R184" s="1"/>
    </row>
    <row r="185" ht="12.75" customHeight="1">
      <c r="A185" s="5"/>
      <c r="B185" s="1"/>
      <c r="C185" s="1"/>
      <c r="D185" s="1"/>
      <c r="E185" s="424" t="s">
        <v>304</v>
      </c>
      <c r="F185" s="425">
        <f>+L182/$F$214</f>
        <v>0.2950608688</v>
      </c>
      <c r="G185" s="425">
        <f>+L181/$F$214</f>
        <v>0.3160240152</v>
      </c>
      <c r="H185" s="426">
        <f>+L181/$F$214</f>
        <v>0.3160240152</v>
      </c>
      <c r="I185" s="423"/>
      <c r="J185" s="1"/>
      <c r="K185" s="1"/>
      <c r="L185" s="1"/>
      <c r="M185" s="1"/>
      <c r="N185" s="1"/>
      <c r="O185" s="1"/>
      <c r="P185" s="1"/>
      <c r="Q185" s="1"/>
      <c r="R185" s="1"/>
    </row>
    <row r="186" ht="13.5" customHeight="1">
      <c r="A186" s="5"/>
      <c r="B186" s="1"/>
      <c r="C186" s="1"/>
      <c r="D186" s="1"/>
      <c r="E186" s="427" t="s">
        <v>306</v>
      </c>
      <c r="F186" s="428">
        <f t="shared" ref="F186:H186" si="58">+$F$235*F185/2</f>
        <v>979.6942911</v>
      </c>
      <c r="G186" s="428">
        <f t="shared" si="58"/>
        <v>1049.298488</v>
      </c>
      <c r="H186" s="430">
        <f t="shared" si="58"/>
        <v>1049.298488</v>
      </c>
      <c r="I186" s="423"/>
      <c r="J186" s="1"/>
      <c r="K186" s="1"/>
      <c r="L186" s="1"/>
      <c r="M186" s="1"/>
      <c r="N186" s="1"/>
      <c r="O186" s="1"/>
      <c r="P186" s="1"/>
      <c r="Q186" s="1"/>
      <c r="R186" s="1"/>
    </row>
    <row r="187" ht="12.75" customHeight="1">
      <c r="A187" s="5"/>
      <c r="B187" s="1"/>
      <c r="C187" s="1"/>
      <c r="D187" s="1"/>
      <c r="E187" s="1"/>
      <c r="F187" s="195"/>
      <c r="G187" s="171"/>
      <c r="H187" s="171"/>
      <c r="I187" s="423"/>
      <c r="J187" s="1"/>
      <c r="K187" s="1"/>
      <c r="L187" s="1"/>
      <c r="M187" s="1"/>
      <c r="N187" s="1"/>
      <c r="O187" s="1"/>
      <c r="P187" s="1"/>
      <c r="Q187" s="1"/>
      <c r="R187" s="1"/>
    </row>
    <row r="188" ht="13.5" customHeight="1">
      <c r="A188" s="5"/>
      <c r="B188" s="1"/>
      <c r="C188" s="1"/>
      <c r="D188" s="1"/>
      <c r="E188" s="362"/>
      <c r="F188" s="362" t="s">
        <v>311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ht="13.5" customHeight="1">
      <c r="A189" s="5"/>
      <c r="B189" s="1"/>
      <c r="C189" s="1"/>
      <c r="D189" s="1"/>
      <c r="E189" s="364" t="s">
        <v>268</v>
      </c>
      <c r="F189" s="366" t="s">
        <v>270</v>
      </c>
      <c r="G189" s="367" t="s">
        <v>271</v>
      </c>
      <c r="H189" s="367" t="s">
        <v>274</v>
      </c>
      <c r="I189" s="368" t="s">
        <v>275</v>
      </c>
      <c r="J189" s="432" t="s">
        <v>313</v>
      </c>
      <c r="K189" s="370" t="s">
        <v>277</v>
      </c>
      <c r="L189" s="288"/>
      <c r="M189" s="1"/>
      <c r="N189" s="1"/>
      <c r="O189" s="1"/>
      <c r="P189" s="1"/>
      <c r="Q189" s="1"/>
      <c r="R189" s="1"/>
    </row>
    <row r="190" ht="13.5" customHeight="1">
      <c r="A190" s="5"/>
      <c r="B190" s="1"/>
      <c r="C190" s="1"/>
      <c r="D190" s="1"/>
      <c r="E190" s="371"/>
      <c r="F190" s="372"/>
      <c r="G190" s="433" t="s">
        <v>279</v>
      </c>
      <c r="H190" s="433" t="s">
        <v>280</v>
      </c>
      <c r="I190" s="434" t="s">
        <v>281</v>
      </c>
      <c r="J190" s="432" t="s">
        <v>315</v>
      </c>
      <c r="K190" s="435" t="s">
        <v>283</v>
      </c>
      <c r="L190" s="436">
        <f>12*1866.24*$D$71</f>
        <v>7529.083484</v>
      </c>
      <c r="M190" s="1"/>
      <c r="N190" s="1"/>
      <c r="O190" s="1"/>
      <c r="P190" s="1"/>
      <c r="Q190" s="1"/>
      <c r="R190" s="1"/>
    </row>
    <row r="191" ht="12.75" customHeight="1">
      <c r="A191" s="5"/>
      <c r="B191" s="1"/>
      <c r="C191" s="1"/>
      <c r="D191" s="1"/>
      <c r="E191" s="438" t="s">
        <v>316</v>
      </c>
      <c r="F191" s="439">
        <v>6.0</v>
      </c>
      <c r="G191" s="441">
        <v>0.37</v>
      </c>
      <c r="H191" s="441">
        <f t="shared" ref="H191:H199" si="59">J191*24</f>
        <v>426.24</v>
      </c>
      <c r="I191" s="441">
        <v>4493.28</v>
      </c>
      <c r="J191" s="444">
        <v>17.76</v>
      </c>
      <c r="K191" s="448"/>
      <c r="L191" s="449"/>
      <c r="M191" s="450"/>
      <c r="N191" s="1"/>
      <c r="O191" s="1"/>
      <c r="P191" s="1"/>
      <c r="Q191" s="1"/>
      <c r="R191" s="1"/>
    </row>
    <row r="192" ht="12.75" customHeight="1">
      <c r="A192" s="5"/>
      <c r="B192" s="1"/>
      <c r="C192" s="1"/>
      <c r="D192" s="1"/>
      <c r="E192" s="438" t="s">
        <v>321</v>
      </c>
      <c r="F192" s="439">
        <v>1.0</v>
      </c>
      <c r="G192" s="441">
        <v>0.6</v>
      </c>
      <c r="H192" s="441">
        <f t="shared" si="59"/>
        <v>345.6</v>
      </c>
      <c r="I192" s="441">
        <v>3643.2</v>
      </c>
      <c r="J192" s="444">
        <v>14.4</v>
      </c>
      <c r="K192" s="393" t="s">
        <v>285</v>
      </c>
      <c r="L192" s="451">
        <f>128.99*G200*12</f>
        <v>436595.0328</v>
      </c>
      <c r="M192" s="72"/>
      <c r="N192" s="1"/>
      <c r="O192" s="1"/>
      <c r="P192" s="1"/>
      <c r="Q192" s="72"/>
      <c r="R192" s="1"/>
    </row>
    <row r="193" ht="12.75" customHeight="1">
      <c r="A193" s="5"/>
      <c r="B193" s="1"/>
      <c r="C193" s="1"/>
      <c r="D193" s="1"/>
      <c r="E193" s="438" t="s">
        <v>323</v>
      </c>
      <c r="F193" s="439">
        <v>1.0</v>
      </c>
      <c r="G193" s="441">
        <v>1.2</v>
      </c>
      <c r="H193" s="441">
        <f t="shared" si="59"/>
        <v>28.8</v>
      </c>
      <c r="I193" s="441">
        <v>303.6</v>
      </c>
      <c r="J193" s="444">
        <v>1.2</v>
      </c>
      <c r="K193" s="393"/>
      <c r="L193" s="451"/>
      <c r="M193" s="1"/>
      <c r="N193" s="1"/>
      <c r="O193" s="1"/>
      <c r="P193" s="1"/>
      <c r="Q193" s="1"/>
      <c r="R193" s="1"/>
    </row>
    <row r="194" ht="12.75" customHeight="1">
      <c r="A194" s="5"/>
      <c r="B194" s="1"/>
      <c r="C194" s="1"/>
      <c r="D194" s="1"/>
      <c r="E194" s="438" t="s">
        <v>324</v>
      </c>
      <c r="F194" s="439">
        <v>1.0</v>
      </c>
      <c r="G194" s="441">
        <v>1.0</v>
      </c>
      <c r="H194" s="441">
        <f t="shared" si="59"/>
        <v>24</v>
      </c>
      <c r="I194" s="441">
        <v>253.0</v>
      </c>
      <c r="J194" s="444">
        <v>1.0</v>
      </c>
      <c r="K194" s="393" t="s">
        <v>289</v>
      </c>
      <c r="L194" s="451">
        <f>I200*1.22</f>
        <v>10294.8724</v>
      </c>
      <c r="M194" s="1"/>
      <c r="N194" s="1"/>
      <c r="O194" s="1"/>
      <c r="P194" s="1"/>
      <c r="Q194" s="1"/>
      <c r="R194" s="1"/>
    </row>
    <row r="195" ht="12.75" customHeight="1">
      <c r="A195" s="5"/>
      <c r="B195" s="1"/>
      <c r="C195" s="1"/>
      <c r="D195" s="1"/>
      <c r="E195" s="438" t="s">
        <v>325</v>
      </c>
      <c r="F195" s="439">
        <v>1.0</v>
      </c>
      <c r="G195" s="452">
        <v>205.0</v>
      </c>
      <c r="H195" s="441">
        <f t="shared" si="59"/>
        <v>14760</v>
      </c>
      <c r="I195" s="441">
        <v>155.6</v>
      </c>
      <c r="J195" s="453">
        <v>615.0</v>
      </c>
      <c r="K195" s="393"/>
      <c r="L195" s="399"/>
      <c r="M195" s="1"/>
      <c r="N195" s="1"/>
      <c r="O195" s="1"/>
      <c r="P195" s="1"/>
      <c r="Q195" s="1"/>
      <c r="R195" s="1"/>
    </row>
    <row r="196" ht="12.75" customHeight="1">
      <c r="A196" s="5"/>
      <c r="B196" s="1"/>
      <c r="C196" s="1"/>
      <c r="D196" s="1"/>
      <c r="E196" s="438" t="s">
        <v>327</v>
      </c>
      <c r="F196" s="439">
        <v>3.0</v>
      </c>
      <c r="G196" s="441">
        <v>0.15</v>
      </c>
      <c r="H196" s="441">
        <f t="shared" si="59"/>
        <v>21.6</v>
      </c>
      <c r="I196" s="441">
        <v>227.7</v>
      </c>
      <c r="J196" s="444">
        <v>0.9</v>
      </c>
      <c r="K196" s="393"/>
      <c r="L196" s="399"/>
      <c r="M196" s="1"/>
      <c r="N196" s="1"/>
      <c r="O196" s="1"/>
      <c r="P196" s="1"/>
      <c r="Q196" s="1"/>
      <c r="R196" s="1"/>
    </row>
    <row r="197" ht="12.75" customHeight="1">
      <c r="A197" s="5"/>
      <c r="B197" s="1"/>
      <c r="C197" s="1"/>
      <c r="D197" s="1"/>
      <c r="E197" s="438" t="s">
        <v>329</v>
      </c>
      <c r="F197" s="439">
        <v>13.0</v>
      </c>
      <c r="G197" s="452">
        <v>75.0</v>
      </c>
      <c r="H197" s="441">
        <f t="shared" si="59"/>
        <v>187.2</v>
      </c>
      <c r="I197" s="441">
        <v>1973.0</v>
      </c>
      <c r="J197" s="444">
        <v>7.8</v>
      </c>
      <c r="K197" s="393"/>
      <c r="L197" s="399"/>
      <c r="M197" s="1"/>
      <c r="N197" s="1"/>
      <c r="O197" s="1"/>
      <c r="P197" s="1"/>
      <c r="Q197" s="1"/>
      <c r="R197" s="1"/>
    </row>
    <row r="198" ht="12.75" customHeight="1">
      <c r="A198" s="5"/>
      <c r="B198" s="1"/>
      <c r="C198" s="1"/>
      <c r="D198" s="1"/>
      <c r="E198" s="438" t="s">
        <v>330</v>
      </c>
      <c r="F198" s="439">
        <v>3.0</v>
      </c>
      <c r="G198" s="441">
        <v>0.1</v>
      </c>
      <c r="H198" s="441">
        <f t="shared" si="59"/>
        <v>172.8</v>
      </c>
      <c r="I198" s="441">
        <v>1821.6</v>
      </c>
      <c r="J198" s="444">
        <v>7.2</v>
      </c>
      <c r="K198" s="393" t="s">
        <v>291</v>
      </c>
      <c r="L198" s="399">
        <f>SUM(L190:L194)</f>
        <v>454418.9887</v>
      </c>
      <c r="M198" s="1"/>
      <c r="N198" s="1"/>
      <c r="O198" s="1"/>
      <c r="P198" s="1"/>
      <c r="Q198" s="1"/>
      <c r="R198" s="1"/>
    </row>
    <row r="199" ht="13.5" customHeight="1">
      <c r="A199" s="5"/>
      <c r="B199" s="1"/>
      <c r="C199" s="1"/>
      <c r="D199" s="1"/>
      <c r="E199" s="438" t="s">
        <v>332</v>
      </c>
      <c r="F199" s="439">
        <v>1.0</v>
      </c>
      <c r="G199" s="441">
        <v>0.01</v>
      </c>
      <c r="H199" s="441">
        <f t="shared" si="59"/>
        <v>5.76</v>
      </c>
      <c r="I199" s="441">
        <v>60.72</v>
      </c>
      <c r="J199" s="444">
        <v>0.24</v>
      </c>
      <c r="K199" s="393" t="s">
        <v>297</v>
      </c>
      <c r="L199" s="399">
        <f>L198/12</f>
        <v>37868.24906</v>
      </c>
      <c r="M199" s="1"/>
      <c r="N199" s="228" t="s">
        <v>334</v>
      </c>
      <c r="O199" s="228" t="s">
        <v>335</v>
      </c>
      <c r="P199" s="1"/>
      <c r="Q199" s="1"/>
      <c r="R199" s="1"/>
    </row>
    <row r="200" ht="13.5" customHeight="1">
      <c r="A200" s="5"/>
      <c r="B200" s="1"/>
      <c r="C200" s="1"/>
      <c r="D200" s="1"/>
      <c r="E200" s="454" t="s">
        <v>300</v>
      </c>
      <c r="F200" s="418"/>
      <c r="G200" s="455">
        <f>SUM(G192:G199)-G194</f>
        <v>282.06</v>
      </c>
      <c r="H200" s="456"/>
      <c r="I200" s="458">
        <f>SUM(I192:I199)</f>
        <v>8438.42</v>
      </c>
      <c r="J200" s="459"/>
      <c r="K200" s="460"/>
      <c r="L200" s="461"/>
      <c r="M200" s="462" t="s">
        <v>339</v>
      </c>
      <c r="N200" s="463">
        <f>1-O200</f>
        <v>0.8299629365</v>
      </c>
      <c r="O200" s="463">
        <f>G54</f>
        <v>0.1700370635</v>
      </c>
      <c r="P200" s="1"/>
      <c r="Q200" s="1"/>
      <c r="R200" s="1"/>
    </row>
    <row r="201" ht="13.5" customHeight="1">
      <c r="A201" s="5"/>
      <c r="B201" s="1"/>
      <c r="C201" s="1"/>
      <c r="D201" s="1"/>
      <c r="E201" s="1"/>
      <c r="F201" s="195"/>
      <c r="G201" s="417" t="s">
        <v>302</v>
      </c>
      <c r="H201" s="418"/>
      <c r="I201" s="419">
        <f>I200/12</f>
        <v>703.2016667</v>
      </c>
      <c r="J201" s="459"/>
      <c r="K201" s="414" t="s">
        <v>81</v>
      </c>
      <c r="L201" s="465">
        <f>+L198</f>
        <v>454418.9887</v>
      </c>
      <c r="M201" s="466"/>
      <c r="N201" s="467">
        <f>L201*N200</f>
        <v>377150.9182</v>
      </c>
      <c r="O201" s="467">
        <f>L201*O200</f>
        <v>77268.07045</v>
      </c>
      <c r="P201" s="1"/>
      <c r="Q201" s="1"/>
      <c r="R201" s="1"/>
    </row>
    <row r="202" ht="13.5" customHeight="1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469" t="s">
        <v>83</v>
      </c>
      <c r="L202" s="470">
        <f>L194*K101+L192+L190</f>
        <v>453614.7018</v>
      </c>
      <c r="M202" s="471"/>
      <c r="N202" s="467">
        <f>L202*N200</f>
        <v>376483.3899</v>
      </c>
      <c r="O202" s="467">
        <f>O200*L202</f>
        <v>77131.31186</v>
      </c>
      <c r="P202" s="1"/>
      <c r="Q202" s="1"/>
      <c r="R202" s="1"/>
    </row>
    <row r="203" ht="12.75" customHeight="1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472" t="s">
        <v>350</v>
      </c>
      <c r="L203" s="69"/>
      <c r="M203" s="1"/>
      <c r="N203" s="1"/>
      <c r="O203" s="1"/>
      <c r="P203" s="1"/>
      <c r="Q203" s="1"/>
      <c r="R203" s="1"/>
    </row>
    <row r="204" ht="13.5" customHeight="1">
      <c r="A204" s="5"/>
      <c r="B204" s="474"/>
      <c r="C204" s="474"/>
      <c r="D204" s="474"/>
      <c r="E204" s="163" t="s">
        <v>354</v>
      </c>
      <c r="F204" s="476"/>
      <c r="G204" s="474"/>
      <c r="H204" s="474"/>
      <c r="I204" s="474"/>
      <c r="J204" s="1"/>
      <c r="K204" s="1"/>
      <c r="L204" s="1"/>
      <c r="M204" s="1"/>
      <c r="N204" s="1"/>
      <c r="O204" s="1"/>
      <c r="P204" s="1"/>
      <c r="Q204" s="1"/>
      <c r="R204" s="1"/>
    </row>
    <row r="205" ht="13.5" customHeight="1">
      <c r="A205" s="5"/>
      <c r="B205" s="478"/>
      <c r="C205" s="478"/>
      <c r="D205" s="478"/>
      <c r="E205" s="480" t="s">
        <v>357</v>
      </c>
      <c r="F205" s="482">
        <v>400000.0</v>
      </c>
      <c r="G205" s="478"/>
      <c r="H205" s="478"/>
      <c r="I205" s="478"/>
      <c r="J205" s="1"/>
      <c r="K205" s="1"/>
      <c r="L205" s="1"/>
      <c r="M205" s="1"/>
      <c r="N205" s="1"/>
      <c r="O205" s="1"/>
      <c r="P205" s="1"/>
      <c r="Q205" s="1"/>
      <c r="R205" s="1"/>
    </row>
    <row r="206" ht="13.5" customHeight="1">
      <c r="A206" s="5"/>
      <c r="B206" s="478"/>
      <c r="C206" s="478"/>
      <c r="D206" s="478"/>
      <c r="E206" s="480" t="s">
        <v>361</v>
      </c>
      <c r="F206" s="484">
        <v>300930.0</v>
      </c>
      <c r="G206" s="478"/>
      <c r="H206" s="478"/>
      <c r="I206" s="478"/>
      <c r="J206" s="1"/>
      <c r="K206" s="1"/>
      <c r="L206" s="1"/>
      <c r="M206" s="1"/>
      <c r="N206" s="1"/>
      <c r="O206" s="1"/>
      <c r="P206" s="1"/>
      <c r="Q206" s="1"/>
      <c r="R206" s="1"/>
    </row>
    <row r="207" ht="13.5" customHeight="1">
      <c r="A207" s="5"/>
      <c r="B207" s="478"/>
      <c r="C207" s="486"/>
      <c r="D207" s="486"/>
      <c r="E207" s="163" t="s">
        <v>364</v>
      </c>
      <c r="F207" s="488"/>
      <c r="G207" s="486"/>
      <c r="H207" s="486"/>
      <c r="I207" s="486"/>
      <c r="J207" s="140"/>
      <c r="K207" s="1"/>
      <c r="L207" s="1"/>
      <c r="M207" s="1"/>
      <c r="N207" s="1"/>
      <c r="O207" s="1"/>
      <c r="P207" s="1"/>
      <c r="Q207" s="1"/>
      <c r="R207" s="1"/>
    </row>
    <row r="208" ht="13.5" customHeight="1">
      <c r="A208" s="5"/>
      <c r="B208" s="478"/>
      <c r="C208" s="486"/>
      <c r="D208" s="486"/>
      <c r="E208" s="480" t="s">
        <v>366</v>
      </c>
      <c r="F208" s="482">
        <v>2982600.0</v>
      </c>
      <c r="G208" s="486"/>
      <c r="H208" s="486"/>
      <c r="I208" s="486"/>
      <c r="J208" s="140"/>
      <c r="K208" s="1"/>
      <c r="L208" s="1"/>
      <c r="M208" s="1"/>
      <c r="N208" s="1"/>
      <c r="O208" s="1"/>
      <c r="P208" s="1"/>
      <c r="Q208" s="1"/>
      <c r="R208" s="1"/>
    </row>
    <row r="209" ht="13.5" customHeight="1">
      <c r="A209" s="5"/>
      <c r="B209" s="478"/>
      <c r="C209" s="486"/>
      <c r="D209" s="489"/>
      <c r="E209" s="486"/>
      <c r="F209" s="489"/>
      <c r="G209" s="486"/>
      <c r="H209" s="489"/>
      <c r="I209" s="486"/>
      <c r="J209" s="140"/>
      <c r="K209" s="1"/>
      <c r="L209" s="1"/>
      <c r="M209" s="1"/>
      <c r="N209" s="1"/>
      <c r="O209" s="1"/>
      <c r="P209" s="1"/>
      <c r="Q209" s="1"/>
      <c r="R209" s="1"/>
    </row>
    <row r="210" ht="13.5" customHeight="1">
      <c r="A210" s="5"/>
      <c r="B210" s="478"/>
      <c r="C210" s="490"/>
      <c r="D210" s="493"/>
      <c r="E210" s="495" t="s">
        <v>370</v>
      </c>
      <c r="F210" s="497">
        <f>1940.826*1000*12.5</f>
        <v>24260325</v>
      </c>
      <c r="G210" s="486"/>
      <c r="H210" s="486"/>
      <c r="I210" s="486"/>
      <c r="J210" s="140"/>
      <c r="K210" s="1"/>
      <c r="L210" s="1"/>
      <c r="M210" s="1"/>
      <c r="N210" s="1"/>
      <c r="O210" s="1"/>
      <c r="P210" s="1"/>
      <c r="Q210" s="1"/>
      <c r="R210" s="1"/>
    </row>
    <row r="211" ht="13.5" customHeight="1">
      <c r="A211" s="5"/>
      <c r="B211" s="499"/>
      <c r="C211" s="501"/>
      <c r="D211" s="503"/>
      <c r="E211" s="495" t="s">
        <v>374</v>
      </c>
      <c r="F211" s="497">
        <f>1940.826*1000</f>
        <v>1940826</v>
      </c>
      <c r="G211" s="504"/>
      <c r="H211" s="504"/>
      <c r="I211" s="504"/>
      <c r="J211" s="140"/>
      <c r="K211" s="1"/>
      <c r="L211" s="1"/>
      <c r="M211" s="1"/>
      <c r="N211" s="1"/>
      <c r="O211" s="1"/>
      <c r="P211" s="1"/>
      <c r="Q211" s="1"/>
      <c r="R211" s="1"/>
    </row>
    <row r="212" ht="13.5" customHeight="1">
      <c r="A212" s="5"/>
      <c r="B212" s="1"/>
      <c r="C212" s="486"/>
      <c r="D212" s="486"/>
      <c r="E212" s="495" t="s">
        <v>376</v>
      </c>
      <c r="F212" s="497">
        <f>2254.5*1000*12.5</f>
        <v>28181250</v>
      </c>
      <c r="G212" s="506"/>
      <c r="H212" s="506"/>
      <c r="I212" s="506"/>
      <c r="J212" s="140"/>
      <c r="K212" s="507"/>
      <c r="M212" s="1"/>
      <c r="N212" s="1"/>
      <c r="O212" s="1"/>
      <c r="P212" s="1"/>
      <c r="Q212" s="1"/>
      <c r="R212" s="1"/>
    </row>
    <row r="213" ht="13.5" customHeight="1">
      <c r="A213" s="5"/>
      <c r="B213" s="1"/>
      <c r="C213" s="486"/>
      <c r="D213" s="486"/>
      <c r="E213" s="495" t="s">
        <v>378</v>
      </c>
      <c r="F213" s="497">
        <f>2254.5*1000</f>
        <v>2254500</v>
      </c>
      <c r="G213" s="508"/>
      <c r="H213" s="508"/>
      <c r="I213" s="508"/>
      <c r="J213" s="140"/>
      <c r="K213" s="5"/>
      <c r="L213" s="509"/>
      <c r="M213" s="1"/>
      <c r="N213" s="1"/>
      <c r="O213" s="1"/>
      <c r="P213" s="1"/>
      <c r="Q213" s="1"/>
      <c r="R213" s="1"/>
    </row>
    <row r="214" ht="13.5" customHeight="1">
      <c r="A214" s="5"/>
      <c r="B214" s="1"/>
      <c r="C214" s="511"/>
      <c r="D214" s="513"/>
      <c r="E214" s="480" t="s">
        <v>381</v>
      </c>
      <c r="F214" s="497">
        <v>1911000.0</v>
      </c>
      <c r="G214" s="514"/>
      <c r="H214" s="514"/>
      <c r="I214" s="514"/>
      <c r="J214" s="140"/>
      <c r="K214" s="5"/>
      <c r="L214" s="509"/>
      <c r="M214" s="1"/>
      <c r="N214" s="1"/>
      <c r="O214" s="1"/>
      <c r="P214" s="1"/>
      <c r="Q214" s="1"/>
      <c r="R214" s="1"/>
    </row>
    <row r="215" ht="13.5" customHeight="1">
      <c r="A215" s="5"/>
      <c r="B215" s="1"/>
      <c r="C215" s="281"/>
      <c r="D215" s="140"/>
      <c r="E215" s="480" t="s">
        <v>383</v>
      </c>
      <c r="F215" s="497">
        <f>2531.17*1000</f>
        <v>2531170</v>
      </c>
      <c r="G215" s="514"/>
      <c r="H215" s="514"/>
      <c r="I215" s="514"/>
      <c r="J215" s="140"/>
      <c r="K215" s="195"/>
      <c r="L215" s="515"/>
      <c r="M215" s="1"/>
      <c r="N215" s="1"/>
      <c r="O215" s="1"/>
      <c r="P215" s="1"/>
      <c r="Q215" s="1"/>
      <c r="R215" s="1"/>
    </row>
    <row r="216" ht="13.5" customHeight="1">
      <c r="A216" s="5"/>
      <c r="B216" s="1"/>
      <c r="C216" s="281"/>
      <c r="D216" s="140"/>
      <c r="E216" s="516" t="s">
        <v>385</v>
      </c>
      <c r="F216" s="518">
        <f>F215/F214</f>
        <v>1.324526426</v>
      </c>
      <c r="G216" s="519"/>
      <c r="H216" s="506"/>
      <c r="I216" s="520"/>
      <c r="J216" s="140"/>
      <c r="K216" s="1"/>
      <c r="L216" s="1"/>
      <c r="M216" s="1"/>
      <c r="N216" s="1"/>
      <c r="O216" s="1"/>
      <c r="P216" s="1"/>
      <c r="Q216" s="1"/>
      <c r="R216" s="1"/>
    </row>
    <row r="217" ht="15.75" customHeight="1">
      <c r="A217" s="5"/>
      <c r="B217" s="1"/>
      <c r="C217" s="140"/>
      <c r="D217" s="140"/>
      <c r="E217" s="516" t="s">
        <v>389</v>
      </c>
      <c r="F217" s="521">
        <v>2254500.0</v>
      </c>
      <c r="G217" s="519"/>
      <c r="H217" s="506"/>
      <c r="I217" s="520"/>
      <c r="J217" s="140"/>
      <c r="K217" s="195"/>
      <c r="L217" s="69"/>
      <c r="M217" s="1"/>
      <c r="N217" s="1"/>
      <c r="O217" s="1"/>
      <c r="P217" s="1"/>
      <c r="Q217" s="1"/>
      <c r="R217" s="1"/>
    </row>
    <row r="218" ht="13.5" customHeight="1">
      <c r="A218" s="5"/>
      <c r="B218" s="1"/>
      <c r="C218" s="140"/>
      <c r="D218" s="140"/>
      <c r="E218" s="516" t="s">
        <v>390</v>
      </c>
      <c r="F218" s="521">
        <v>2885760.0</v>
      </c>
      <c r="G218" s="522" t="s">
        <v>391</v>
      </c>
      <c r="H218" s="523"/>
      <c r="I218" s="524"/>
      <c r="J218" s="140"/>
      <c r="K218" s="195"/>
      <c r="L218" s="69"/>
      <c r="M218" s="1"/>
      <c r="N218" s="1"/>
      <c r="O218" s="1"/>
      <c r="P218" s="1"/>
      <c r="Q218" s="1"/>
      <c r="R218" s="1"/>
    </row>
    <row r="219" ht="13.5" customHeight="1">
      <c r="A219" s="5"/>
      <c r="B219" s="1"/>
      <c r="C219" s="140"/>
      <c r="D219" s="140"/>
      <c r="E219" s="516" t="s">
        <v>393</v>
      </c>
      <c r="F219" s="518">
        <f>F218/F217</f>
        <v>1.28</v>
      </c>
      <c r="G219" s="322"/>
      <c r="H219" s="322"/>
      <c r="I219" s="524"/>
      <c r="J219" s="140"/>
      <c r="K219" s="525" t="s">
        <v>394</v>
      </c>
      <c r="L219" s="69"/>
      <c r="M219" s="1"/>
      <c r="N219" s="1"/>
      <c r="O219" s="1"/>
      <c r="P219" s="1"/>
      <c r="Q219" s="1"/>
      <c r="R219" s="1"/>
    </row>
    <row r="220" ht="12.75" customHeight="1">
      <c r="A220" s="5"/>
      <c r="B220" s="1"/>
      <c r="C220" s="140"/>
      <c r="D220" s="140"/>
      <c r="G220" s="526"/>
      <c r="H220" s="526"/>
      <c r="I220" s="524"/>
      <c r="J220" s="140"/>
      <c r="Q220" s="1"/>
      <c r="R220" s="1"/>
    </row>
    <row r="221" ht="12.75" customHeight="1">
      <c r="A221" s="5"/>
      <c r="B221" s="527"/>
      <c r="C221" s="140"/>
      <c r="D221" s="140"/>
      <c r="E221" s="140"/>
      <c r="F221" s="140"/>
      <c r="G221" s="140"/>
      <c r="H221" s="140"/>
      <c r="I221" s="140"/>
      <c r="J221" s="140"/>
      <c r="K221" s="195"/>
      <c r="L221" s="69"/>
      <c r="M221" s="1"/>
      <c r="N221" s="1"/>
      <c r="O221" s="1"/>
      <c r="P221" s="1"/>
      <c r="Q221" s="1"/>
      <c r="R221" s="1"/>
    </row>
    <row r="222" ht="12.75" customHeight="1">
      <c r="A222" s="5"/>
      <c r="B222" s="527"/>
      <c r="C222" s="140"/>
      <c r="D222" s="140"/>
      <c r="E222" s="528" t="s">
        <v>396</v>
      </c>
      <c r="F222" s="529"/>
      <c r="G222" s="140"/>
      <c r="H222" s="140"/>
      <c r="I222" s="140"/>
      <c r="J222" s="140"/>
      <c r="K222" s="195"/>
      <c r="L222" s="69"/>
      <c r="M222" s="1"/>
      <c r="N222" s="1"/>
      <c r="O222" s="1"/>
      <c r="P222" s="1"/>
      <c r="Q222" s="1"/>
      <c r="R222" s="1"/>
    </row>
    <row r="223" ht="13.5" customHeight="1">
      <c r="A223" s="450"/>
      <c r="B223" s="1"/>
      <c r="C223" s="281"/>
      <c r="D223" s="140"/>
      <c r="E223" s="140"/>
      <c r="F223" s="140"/>
      <c r="G223" s="140"/>
      <c r="H223" s="140"/>
      <c r="I223" s="140"/>
      <c r="J223" s="140"/>
      <c r="K223" s="1"/>
      <c r="L223" s="1"/>
      <c r="M223" s="1"/>
      <c r="N223" s="1"/>
      <c r="O223" s="1"/>
      <c r="P223" s="1"/>
      <c r="Q223" s="1"/>
      <c r="R223" s="1"/>
    </row>
    <row r="224" ht="13.5" customHeight="1">
      <c r="C224" s="530"/>
      <c r="D224" s="140"/>
      <c r="E224" s="531"/>
      <c r="F224" s="531"/>
      <c r="G224" s="531"/>
      <c r="H224" s="531"/>
      <c r="I224" s="531"/>
      <c r="J224" s="531"/>
      <c r="K224" s="1"/>
      <c r="L224" s="1"/>
      <c r="M224" s="1"/>
      <c r="N224" s="1"/>
      <c r="O224" s="1"/>
      <c r="P224" s="1"/>
      <c r="Q224" s="1"/>
      <c r="R224" s="1"/>
    </row>
    <row r="225" ht="13.5" customHeight="1">
      <c r="C225" s="532"/>
      <c r="D225" s="1"/>
      <c r="E225" s="533" t="s">
        <v>397</v>
      </c>
      <c r="F225" s="534" t="s">
        <v>398</v>
      </c>
      <c r="G225" s="535" t="s">
        <v>400</v>
      </c>
      <c r="H225" s="536" t="s">
        <v>401</v>
      </c>
      <c r="I225" s="533" t="s">
        <v>167</v>
      </c>
      <c r="J225" s="534" t="s">
        <v>402</v>
      </c>
      <c r="K225" s="537" t="s">
        <v>178</v>
      </c>
      <c r="L225" s="176" t="s">
        <v>403</v>
      </c>
      <c r="M225" s="1"/>
      <c r="N225" s="1"/>
      <c r="O225" s="1"/>
      <c r="P225" s="1"/>
      <c r="Q225" s="1"/>
      <c r="R225" s="1"/>
    </row>
    <row r="226" ht="12.75" customHeight="1">
      <c r="C226" s="532"/>
      <c r="D226" s="1"/>
      <c r="E226" s="538">
        <v>1.0</v>
      </c>
      <c r="F226" s="539" t="s">
        <v>404</v>
      </c>
      <c r="G226" s="540">
        <f t="shared" ref="G226:G230" si="60">$H$231*I226</f>
        <v>2861303.184</v>
      </c>
      <c r="H226" s="544" t="s">
        <v>406</v>
      </c>
      <c r="I226" s="546">
        <v>0.991525</v>
      </c>
      <c r="J226" s="548">
        <f t="shared" ref="J226:J230" si="61">+I226*$J$231</f>
        <v>8427.9625</v>
      </c>
      <c r="K226" s="549">
        <f t="shared" ref="K226:K230" si="62">I78</f>
        <v>81</v>
      </c>
      <c r="L226" s="550">
        <f t="shared" ref="L226:L230" si="63">K226*J226</f>
        <v>682664.9625</v>
      </c>
      <c r="M226" s="1"/>
      <c r="N226" s="1"/>
      <c r="O226" s="1"/>
      <c r="P226" s="1"/>
      <c r="Q226" s="1"/>
      <c r="R226" s="1"/>
    </row>
    <row r="227" ht="12.75" customHeight="1">
      <c r="C227" s="450"/>
      <c r="D227" s="1"/>
      <c r="E227" s="551">
        <v>2.0</v>
      </c>
      <c r="F227" s="552" t="s">
        <v>411</v>
      </c>
      <c r="G227" s="540">
        <f t="shared" si="60"/>
        <v>24348.6</v>
      </c>
      <c r="H227" s="553" t="s">
        <v>406</v>
      </c>
      <c r="I227" s="554">
        <v>0.0084375</v>
      </c>
      <c r="J227" s="555">
        <f t="shared" si="61"/>
        <v>71.71875</v>
      </c>
      <c r="K227" s="549">
        <f t="shared" si="62"/>
        <v>11</v>
      </c>
      <c r="L227" s="550">
        <f t="shared" si="63"/>
        <v>788.90625</v>
      </c>
      <c r="M227" s="1"/>
      <c r="N227" s="1"/>
      <c r="O227" s="1"/>
      <c r="P227" s="1"/>
      <c r="Q227" s="1"/>
      <c r="R227" s="1"/>
    </row>
    <row r="228" ht="12.75" customHeight="1">
      <c r="C228" s="530"/>
      <c r="D228" s="1"/>
      <c r="E228" s="551">
        <v>3.0</v>
      </c>
      <c r="F228" s="552" t="s">
        <v>413</v>
      </c>
      <c r="G228" s="540">
        <f t="shared" si="60"/>
        <v>36.072</v>
      </c>
      <c r="H228" s="553" t="s">
        <v>406</v>
      </c>
      <c r="I228" s="556">
        <v>1.25E-5</v>
      </c>
      <c r="J228" s="558">
        <f t="shared" si="61"/>
        <v>0.10625</v>
      </c>
      <c r="K228" s="549">
        <f t="shared" si="62"/>
        <v>13.33</v>
      </c>
      <c r="L228" s="550">
        <f t="shared" si="63"/>
        <v>1.4163125</v>
      </c>
      <c r="M228" s="1"/>
      <c r="N228" s="1"/>
      <c r="O228" s="1"/>
      <c r="P228" s="1"/>
      <c r="Q228" s="1"/>
      <c r="R228" s="1"/>
    </row>
    <row r="229" ht="12.75" customHeight="1">
      <c r="C229" s="530"/>
      <c r="D229" s="1"/>
      <c r="E229" s="551">
        <v>4.0</v>
      </c>
      <c r="F229" s="552" t="s">
        <v>415</v>
      </c>
      <c r="G229" s="540">
        <f t="shared" si="60"/>
        <v>36.072</v>
      </c>
      <c r="H229" s="553" t="s">
        <v>406</v>
      </c>
      <c r="I229" s="556">
        <v>1.25E-5</v>
      </c>
      <c r="J229" s="558">
        <f t="shared" si="61"/>
        <v>0.10625</v>
      </c>
      <c r="K229" s="549">
        <f t="shared" si="62"/>
        <v>13.33</v>
      </c>
      <c r="L229" s="550">
        <f t="shared" si="63"/>
        <v>1.4163125</v>
      </c>
      <c r="M229" s="1"/>
      <c r="N229" s="1"/>
      <c r="O229" s="1"/>
      <c r="P229" s="1"/>
      <c r="Q229" s="1"/>
      <c r="R229" s="1"/>
    </row>
    <row r="230" ht="12.75" customHeight="1">
      <c r="C230" s="1"/>
      <c r="D230" s="1"/>
      <c r="E230" s="551">
        <v>5.0</v>
      </c>
      <c r="F230" s="552" t="s">
        <v>416</v>
      </c>
      <c r="G230" s="560">
        <f t="shared" si="60"/>
        <v>36.072</v>
      </c>
      <c r="H230" s="561" t="s">
        <v>406</v>
      </c>
      <c r="I230" s="562">
        <v>1.25E-5</v>
      </c>
      <c r="J230" s="563">
        <f t="shared" si="61"/>
        <v>0.10625</v>
      </c>
      <c r="K230" s="565">
        <f t="shared" si="62"/>
        <v>13.33</v>
      </c>
      <c r="L230" s="566">
        <f t="shared" si="63"/>
        <v>1.4163125</v>
      </c>
      <c r="M230" s="1"/>
      <c r="N230" s="1"/>
      <c r="O230" s="1"/>
      <c r="P230" s="1"/>
      <c r="Q230" s="1"/>
      <c r="R230" s="1"/>
    </row>
    <row r="231" ht="13.5" customHeight="1">
      <c r="C231" s="1"/>
      <c r="D231" s="140"/>
      <c r="E231" s="143"/>
      <c r="F231" s="140"/>
      <c r="G231" s="567" t="s">
        <v>420</v>
      </c>
      <c r="H231" s="568">
        <f>F218</f>
        <v>2885760</v>
      </c>
      <c r="I231" s="569" t="s">
        <v>422</v>
      </c>
      <c r="J231" s="570">
        <v>8500.0</v>
      </c>
      <c r="K231" s="571" t="s">
        <v>190</v>
      </c>
      <c r="L231" s="572">
        <f>SUM(L226:L230)</f>
        <v>683458.1177</v>
      </c>
      <c r="M231" s="573"/>
      <c r="N231" s="1"/>
      <c r="O231" s="1"/>
      <c r="P231" s="1"/>
      <c r="Q231" s="1"/>
      <c r="R231" s="1"/>
    </row>
    <row r="232" ht="13.5" customHeight="1">
      <c r="A232" s="574"/>
      <c r="B232" s="576"/>
      <c r="C232" s="1"/>
      <c r="D232" s="140"/>
      <c r="E232" s="140"/>
      <c r="F232" s="140"/>
      <c r="G232" s="140"/>
      <c r="H232" s="140"/>
      <c r="I232" s="140"/>
      <c r="J232" s="140"/>
      <c r="K232" s="1"/>
      <c r="L232" s="1"/>
      <c r="M232" s="1"/>
      <c r="N232" s="1"/>
      <c r="O232" s="1"/>
      <c r="P232" s="1"/>
      <c r="Q232" s="1"/>
      <c r="R232" s="1"/>
    </row>
    <row r="233" ht="39.0" customHeight="1">
      <c r="C233" s="1"/>
      <c r="D233" s="140"/>
      <c r="E233" s="578" t="s">
        <v>426</v>
      </c>
      <c r="F233" s="579">
        <v>0.28</v>
      </c>
      <c r="G233" s="140"/>
      <c r="H233" s="140"/>
      <c r="I233" s="523" t="s">
        <v>427</v>
      </c>
      <c r="J233" s="581" t="s">
        <v>194</v>
      </c>
      <c r="K233" s="583">
        <f>+J96/F213</f>
        <v>1.51249501</v>
      </c>
      <c r="L233" s="1" t="s">
        <v>428</v>
      </c>
      <c r="M233" s="1"/>
      <c r="N233" s="1"/>
      <c r="O233" s="1"/>
      <c r="P233" s="1"/>
      <c r="Q233" s="1"/>
      <c r="R233" s="1"/>
    </row>
    <row r="234" ht="13.5" customHeight="1">
      <c r="C234" s="1"/>
      <c r="D234" s="140"/>
      <c r="E234" s="140"/>
      <c r="F234" s="140"/>
      <c r="G234" s="140"/>
      <c r="H234" s="140"/>
      <c r="I234" s="140"/>
      <c r="J234" s="140"/>
      <c r="K234" s="1"/>
      <c r="L234" s="1"/>
      <c r="M234" s="1"/>
      <c r="N234" s="1"/>
      <c r="O234" s="1"/>
      <c r="P234" s="1"/>
      <c r="Q234" s="1"/>
      <c r="R234" s="1"/>
    </row>
    <row r="235" ht="26.25" customHeight="1">
      <c r="C235" s="1"/>
      <c r="D235" s="140"/>
      <c r="E235" s="578" t="s">
        <v>429</v>
      </c>
      <c r="F235" s="586">
        <f>+J231/(1+F233)</f>
        <v>6640.625</v>
      </c>
      <c r="G235" s="588"/>
      <c r="H235" s="140"/>
      <c r="I235" s="140"/>
      <c r="J235" s="292" t="s">
        <v>434</v>
      </c>
      <c r="K235" s="590">
        <f>+K233*F235/2</f>
        <v>5021.956088</v>
      </c>
      <c r="L235" s="1"/>
      <c r="M235" s="1"/>
      <c r="N235" s="1"/>
      <c r="O235" s="1"/>
      <c r="P235" s="1"/>
      <c r="Q235" s="1"/>
      <c r="R235" s="1"/>
    </row>
    <row r="236" ht="39.0" customHeight="1">
      <c r="C236" s="1"/>
      <c r="D236" s="140"/>
      <c r="E236" s="578" t="s">
        <v>435</v>
      </c>
      <c r="F236" s="586">
        <f>+F235*F233</f>
        <v>1859.375</v>
      </c>
      <c r="G236" s="140"/>
      <c r="H236" s="140"/>
      <c r="I236" s="140"/>
      <c r="J236" s="140"/>
      <c r="K236" s="1"/>
      <c r="L236" s="1"/>
      <c r="M236" s="1"/>
      <c r="N236" s="1"/>
      <c r="O236" s="1"/>
      <c r="P236" s="1"/>
      <c r="Q236" s="1"/>
      <c r="R236" s="1"/>
    </row>
    <row r="237" ht="12.75" customHeight="1">
      <c r="C237" s="1"/>
      <c r="D237" s="140"/>
      <c r="E237" s="140"/>
      <c r="F237" s="140"/>
      <c r="G237" s="140"/>
      <c r="H237" s="140"/>
      <c r="I237" s="140"/>
      <c r="J237" s="140"/>
      <c r="K237" s="1"/>
      <c r="L237" s="1"/>
      <c r="M237" s="1"/>
      <c r="N237" s="1"/>
      <c r="O237" s="1"/>
      <c r="P237" s="1"/>
      <c r="Q237" s="1"/>
      <c r="R237" s="1"/>
    </row>
    <row r="238" ht="13.5" customHeight="1">
      <c r="C238" s="1"/>
      <c r="D238" s="592"/>
      <c r="E238" s="140"/>
      <c r="F238" s="140"/>
      <c r="G238" s="140"/>
      <c r="H238" s="140"/>
      <c r="I238" s="140"/>
      <c r="J238" s="140"/>
      <c r="K238" s="1"/>
      <c r="L238" s="1"/>
      <c r="M238" s="1"/>
      <c r="N238" s="1"/>
      <c r="O238" s="1"/>
      <c r="P238" s="1"/>
      <c r="Q238" s="1"/>
      <c r="R238" s="1"/>
    </row>
    <row r="239" ht="12.75" customHeight="1">
      <c r="C239" s="1"/>
      <c r="D239" s="140"/>
      <c r="E239" s="593"/>
      <c r="F239" s="254" t="s">
        <v>83</v>
      </c>
      <c r="G239" s="254" t="s">
        <v>213</v>
      </c>
      <c r="H239" s="255" t="s">
        <v>214</v>
      </c>
      <c r="I239" s="140"/>
      <c r="J239" s="140"/>
      <c r="K239" s="1"/>
      <c r="L239" s="1"/>
      <c r="M239" s="1"/>
      <c r="N239" s="1"/>
      <c r="O239" s="1"/>
      <c r="P239" s="1"/>
      <c r="Q239" s="1"/>
      <c r="R239" s="1"/>
    </row>
    <row r="240" ht="12.75" customHeight="1">
      <c r="C240" s="1"/>
      <c r="D240" s="595"/>
      <c r="E240" s="256" t="s">
        <v>436</v>
      </c>
      <c r="F240" s="597">
        <f>SUMPRODUCT('E-Inv AF y Am'!D43:D50,'E-Inv AF y Am'!H43:H50)+'E-Inv AF y Am'!D53*'E-Inv AF y Am'!H53</f>
        <v>1536202.327</v>
      </c>
      <c r="G240" s="598">
        <f>SUMPRODUCT('E-Inv AF y Am'!D43:D50,'E-Inv AF y Am'!H43:H50)+'E-Inv AF y Am'!D53*'E-Inv AF y Am'!H53</f>
        <v>1536202.327</v>
      </c>
      <c r="H240" s="599">
        <f>SUMPRODUCT('E-Inv AF y Am'!E43:E50,'E-Inv AF y Am'!H43:H50)+'E-Inv AF y Am'!E53*'E-Inv AF y Am'!H53</f>
        <v>1309625.297</v>
      </c>
      <c r="I240" s="140"/>
      <c r="J240" s="140"/>
      <c r="K240" s="1"/>
      <c r="L240" s="1"/>
      <c r="M240" s="1"/>
      <c r="N240" s="1"/>
      <c r="O240" s="1"/>
      <c r="P240" s="1"/>
      <c r="Q240" s="1"/>
      <c r="R240" s="1"/>
    </row>
    <row r="241" ht="12.75" customHeight="1">
      <c r="C241" s="1"/>
      <c r="D241" s="595"/>
      <c r="E241" s="256" t="s">
        <v>437</v>
      </c>
      <c r="F241" s="600">
        <f>F240/F214</f>
        <v>0.8038735357</v>
      </c>
      <c r="G241" s="600">
        <f>G240/F217</f>
        <v>0.681393802</v>
      </c>
      <c r="H241" s="601">
        <f>H240/F217</f>
        <v>0.5808938997</v>
      </c>
      <c r="I241" s="140"/>
      <c r="J241" s="140"/>
      <c r="K241" s="1"/>
      <c r="L241" s="1"/>
      <c r="M241" s="1"/>
      <c r="N241" s="1"/>
      <c r="O241" s="1"/>
      <c r="P241" s="1"/>
      <c r="Q241" s="1"/>
      <c r="R241" s="1"/>
    </row>
    <row r="242" ht="13.5" customHeight="1">
      <c r="C242" s="1"/>
      <c r="D242" s="140"/>
      <c r="E242" s="258" t="s">
        <v>438</v>
      </c>
      <c r="F242" s="259">
        <f t="shared" ref="F242:H242" si="64">F241*$F$235/2</f>
        <v>2669.111349</v>
      </c>
      <c r="G242" s="259">
        <f t="shared" si="64"/>
        <v>2262.440358</v>
      </c>
      <c r="H242" s="259">
        <f t="shared" si="64"/>
        <v>1928.749276</v>
      </c>
      <c r="I242" s="602"/>
      <c r="J242" s="140"/>
      <c r="K242" s="1"/>
      <c r="L242" s="1"/>
      <c r="M242" s="1"/>
      <c r="N242" s="1"/>
      <c r="O242" s="1"/>
      <c r="P242" s="1"/>
      <c r="Q242" s="1"/>
      <c r="R242" s="1"/>
    </row>
    <row r="243" ht="12.75" customHeight="1">
      <c r="C243" s="1"/>
      <c r="E243" s="140"/>
      <c r="F243" s="140"/>
      <c r="G243" s="140"/>
      <c r="H243" s="140"/>
      <c r="I243" s="140"/>
      <c r="J243" s="140"/>
      <c r="K243" s="1"/>
      <c r="L243" s="1"/>
      <c r="M243" s="1"/>
      <c r="N243" s="1"/>
      <c r="O243" s="1"/>
      <c r="P243" s="1"/>
      <c r="Q243" s="1"/>
      <c r="R243" s="1"/>
    </row>
    <row r="244" ht="12.75" customHeight="1">
      <c r="A244" s="5"/>
      <c r="B244" s="1"/>
      <c r="C244" s="169" t="s">
        <v>439</v>
      </c>
      <c r="D244" s="139"/>
      <c r="E244" s="140"/>
      <c r="F244" s="140"/>
      <c r="G244" s="140"/>
      <c r="H244" s="140"/>
      <c r="I244" s="140"/>
      <c r="J244" s="140"/>
      <c r="K244" s="1"/>
      <c r="L244" s="1"/>
      <c r="M244" s="1"/>
      <c r="N244" s="1"/>
      <c r="O244" s="1"/>
      <c r="P244" s="1"/>
      <c r="Q244" s="1"/>
      <c r="R244" s="1"/>
    </row>
    <row r="245" ht="12.75" customHeight="1">
      <c r="A245" s="5"/>
      <c r="B245" s="1"/>
      <c r="C245" s="1"/>
      <c r="D245" s="1"/>
      <c r="E245" s="603" t="s">
        <v>440</v>
      </c>
      <c r="F245" s="604">
        <f>+J83/F214</f>
        <v>106.5009809</v>
      </c>
      <c r="G245" s="605"/>
      <c r="H245" s="606" t="s">
        <v>441</v>
      </c>
      <c r="I245" s="607"/>
      <c r="J245" s="608"/>
      <c r="K245" s="72"/>
      <c r="L245" s="1"/>
      <c r="M245" s="1"/>
      <c r="N245" s="72"/>
      <c r="O245" s="1"/>
      <c r="P245" s="1"/>
      <c r="Q245" s="1"/>
      <c r="R245" s="1"/>
    </row>
    <row r="246" ht="12.75" customHeight="1">
      <c r="A246" s="5"/>
      <c r="B246" s="1"/>
      <c r="C246" s="1"/>
      <c r="D246" s="1"/>
      <c r="E246" s="603" t="s">
        <v>442</v>
      </c>
      <c r="F246" s="609">
        <f>+J92/F217</f>
        <v>103.9957104</v>
      </c>
      <c r="G246" s="140"/>
      <c r="H246" s="607"/>
      <c r="I246" s="607"/>
      <c r="J246" s="608"/>
      <c r="K246" s="1"/>
      <c r="L246" s="1"/>
      <c r="M246" s="1"/>
      <c r="N246" s="1"/>
      <c r="O246" s="1"/>
      <c r="P246" s="1"/>
      <c r="Q246" s="1"/>
      <c r="R246" s="1"/>
    </row>
    <row r="247" ht="12.75" customHeight="1">
      <c r="A247" s="5"/>
      <c r="B247" s="1"/>
      <c r="C247" s="1"/>
      <c r="D247" s="1"/>
      <c r="E247" s="603" t="s">
        <v>443</v>
      </c>
      <c r="F247" s="610">
        <f>I252</f>
        <v>38412.72</v>
      </c>
      <c r="G247" s="140" t="s">
        <v>444</v>
      </c>
      <c r="H247" s="611" t="s">
        <v>445</v>
      </c>
      <c r="I247" s="612">
        <f>F215</f>
        <v>2531170</v>
      </c>
      <c r="J247" s="613"/>
      <c r="K247" s="494"/>
      <c r="L247" s="614"/>
      <c r="M247" s="492"/>
      <c r="N247" s="492"/>
      <c r="O247" s="494"/>
      <c r="P247" s="614"/>
      <c r="Q247" s="1"/>
      <c r="R247" s="1"/>
    </row>
    <row r="248" ht="12.75" customHeight="1">
      <c r="A248" s="5"/>
      <c r="B248" s="1"/>
      <c r="C248" s="1"/>
      <c r="D248" s="1"/>
      <c r="E248" s="603" t="s">
        <v>446</v>
      </c>
      <c r="F248" s="609">
        <f>J97/F214</f>
        <v>1.644960754</v>
      </c>
      <c r="G248" s="140"/>
      <c r="H248" s="611" t="s">
        <v>447</v>
      </c>
      <c r="I248" s="612">
        <f>F219</f>
        <v>1.28</v>
      </c>
      <c r="J248" s="613"/>
      <c r="K248" s="494"/>
      <c r="L248" s="615"/>
      <c r="M248" s="492"/>
      <c r="N248" s="492"/>
      <c r="O248" s="494"/>
      <c r="P248" s="614"/>
      <c r="Q248" s="1"/>
      <c r="R248" s="1"/>
    </row>
    <row r="249" ht="12.75" customHeight="1">
      <c r="A249" s="5"/>
      <c r="B249" s="1"/>
      <c r="C249" s="1"/>
      <c r="D249" s="1"/>
      <c r="E249" s="603" t="s">
        <v>448</v>
      </c>
      <c r="F249" s="609">
        <f>F248*F247</f>
        <v>63187.41684</v>
      </c>
      <c r="G249" s="140"/>
      <c r="H249" s="611" t="s">
        <v>449</v>
      </c>
      <c r="I249" s="611">
        <f>F211*I248</f>
        <v>2484257.28</v>
      </c>
      <c r="J249" s="613"/>
      <c r="K249" s="494"/>
      <c r="L249" s="614"/>
      <c r="M249" s="492"/>
      <c r="N249" s="492"/>
      <c r="O249" s="494"/>
      <c r="P249" s="614"/>
      <c r="Q249" s="1"/>
      <c r="R249" s="1"/>
    </row>
    <row r="250" ht="12.75" customHeight="1">
      <c r="A250" s="5"/>
      <c r="B250" s="1"/>
      <c r="C250" s="1"/>
      <c r="D250" s="1"/>
      <c r="E250" s="603" t="s">
        <v>451</v>
      </c>
      <c r="F250" s="609">
        <f>J141/F214</f>
        <v>5.325049047</v>
      </c>
      <c r="G250" s="140"/>
      <c r="H250" s="611" t="s">
        <v>452</v>
      </c>
      <c r="I250" s="611">
        <v>8500.0</v>
      </c>
      <c r="J250" s="613"/>
      <c r="K250" s="494"/>
      <c r="L250" s="614"/>
      <c r="M250" s="492"/>
      <c r="N250" s="492"/>
      <c r="O250" s="494"/>
      <c r="P250" s="614"/>
      <c r="Q250" s="1"/>
      <c r="R250" s="1"/>
    </row>
    <row r="251" ht="12.75" customHeight="1">
      <c r="A251" s="5"/>
      <c r="B251" s="1"/>
      <c r="C251" s="1"/>
      <c r="D251" s="1"/>
      <c r="E251" s="603" t="s">
        <v>453</v>
      </c>
      <c r="F251" s="609">
        <f>F250*F247</f>
        <v>204549.618</v>
      </c>
      <c r="G251" s="140"/>
      <c r="H251" s="618"/>
      <c r="I251" s="618"/>
      <c r="J251" s="613"/>
      <c r="K251" s="492"/>
      <c r="L251" s="492"/>
      <c r="M251" s="492"/>
      <c r="N251" s="492"/>
      <c r="O251" s="492"/>
      <c r="P251" s="492"/>
      <c r="Q251" s="1"/>
      <c r="R251" s="1"/>
    </row>
    <row r="252" ht="12.75" customHeight="1">
      <c r="A252" s="5"/>
      <c r="B252" s="1"/>
      <c r="C252" s="1"/>
      <c r="D252" s="1"/>
      <c r="E252" s="603" t="s">
        <v>455</v>
      </c>
      <c r="F252" s="609">
        <f>L198/F214</f>
        <v>0.2377912029</v>
      </c>
      <c r="G252" s="140"/>
      <c r="H252" s="611" t="s">
        <v>456</v>
      </c>
      <c r="I252" s="612">
        <f>I247-I249-I250</f>
        <v>38412.72</v>
      </c>
      <c r="J252" s="613"/>
      <c r="K252" s="494"/>
      <c r="L252" s="614"/>
      <c r="M252" s="492"/>
      <c r="N252" s="492"/>
      <c r="O252" s="494"/>
      <c r="P252" s="614"/>
      <c r="Q252" s="1"/>
      <c r="R252" s="1"/>
    </row>
    <row r="253" ht="12.75" customHeight="1">
      <c r="A253" s="5"/>
      <c r="B253" s="1"/>
      <c r="C253" s="1"/>
      <c r="D253" s="1"/>
      <c r="E253" s="621" t="s">
        <v>457</v>
      </c>
      <c r="F253" s="622">
        <f>+F252*F247</f>
        <v>9134.206894</v>
      </c>
      <c r="G253" s="140"/>
      <c r="H253" s="140"/>
      <c r="I253" s="140"/>
      <c r="J253" s="140"/>
      <c r="K253" s="1"/>
      <c r="L253" s="1"/>
      <c r="M253" s="1"/>
      <c r="N253" s="1"/>
      <c r="O253" s="1"/>
      <c r="P253" s="1"/>
      <c r="Q253" s="1"/>
      <c r="R253" s="1"/>
    </row>
    <row r="254" ht="12.75" customHeight="1">
      <c r="A254" s="5"/>
      <c r="B254" s="1"/>
      <c r="C254" s="1"/>
      <c r="D254" s="1"/>
      <c r="E254" s="623"/>
      <c r="F254" s="625"/>
      <c r="G254" s="140"/>
      <c r="H254" s="140"/>
      <c r="I254" s="140"/>
      <c r="J254" s="140"/>
      <c r="K254" s="1"/>
      <c r="L254" s="1"/>
      <c r="M254" s="1"/>
      <c r="N254" s="1"/>
      <c r="O254" s="1"/>
      <c r="P254" s="1"/>
      <c r="Q254" s="1"/>
      <c r="R254" s="1"/>
    </row>
    <row r="255" ht="12.75" customHeight="1">
      <c r="A255" s="5"/>
      <c r="B255" s="1"/>
      <c r="C255" s="1"/>
      <c r="D255" s="1"/>
      <c r="E255" s="140"/>
      <c r="F255" s="526"/>
      <c r="G255" s="522"/>
      <c r="H255" s="140"/>
      <c r="I255" s="140"/>
      <c r="J255" s="140"/>
      <c r="K255" s="1"/>
      <c r="L255" s="1"/>
      <c r="M255" s="1"/>
      <c r="N255" s="1"/>
      <c r="O255" s="1"/>
      <c r="P255" s="1"/>
      <c r="Q255" s="1"/>
      <c r="R255" s="1"/>
    </row>
    <row r="256" ht="12.75" customHeight="1">
      <c r="A256" s="5"/>
      <c r="B256" s="1"/>
      <c r="C256" s="1"/>
      <c r="D256" s="1"/>
      <c r="E256" s="557"/>
      <c r="F256" s="627"/>
      <c r="G256" s="140"/>
      <c r="H256" s="140"/>
      <c r="I256" s="140"/>
      <c r="J256" s="140"/>
      <c r="K256" s="1"/>
      <c r="L256" s="1"/>
      <c r="M256" s="1"/>
      <c r="N256" s="1"/>
      <c r="O256" s="1"/>
      <c r="P256" s="1"/>
      <c r="Q256" s="1"/>
      <c r="R256" s="1"/>
    </row>
    <row r="257" ht="12.75" customHeight="1">
      <c r="A257" s="5"/>
      <c r="B257" s="1"/>
      <c r="C257" s="169" t="s">
        <v>458</v>
      </c>
      <c r="D257" s="139"/>
      <c r="E257" s="140"/>
      <c r="F257" s="140"/>
      <c r="G257" s="140"/>
      <c r="H257" s="140"/>
      <c r="I257" s="140"/>
      <c r="J257" s="140"/>
      <c r="K257" s="1"/>
      <c r="L257" s="1"/>
      <c r="M257" s="1"/>
      <c r="N257" s="1"/>
      <c r="O257" s="1"/>
      <c r="P257" s="1"/>
      <c r="Q257" s="1"/>
      <c r="R257" s="1"/>
    </row>
    <row r="258" ht="12.75" customHeight="1">
      <c r="A258" s="5"/>
      <c r="B258" s="1"/>
      <c r="C258" s="1"/>
      <c r="D258" s="1"/>
      <c r="E258" s="628" t="s">
        <v>236</v>
      </c>
      <c r="F258" s="557"/>
      <c r="G258" s="140"/>
      <c r="H258" s="140"/>
      <c r="I258" s="140"/>
      <c r="J258" s="140"/>
      <c r="K258" s="1"/>
      <c r="L258" s="1"/>
      <c r="M258" s="1"/>
      <c r="N258" s="1"/>
      <c r="O258" s="1"/>
      <c r="P258" s="1"/>
      <c r="Q258" s="1"/>
      <c r="R258" s="1"/>
    </row>
    <row r="259" ht="12.75" customHeight="1">
      <c r="A259" s="5"/>
      <c r="B259" s="1"/>
      <c r="C259" s="1"/>
      <c r="D259" s="1"/>
      <c r="E259" s="629" t="s">
        <v>459</v>
      </c>
      <c r="F259" s="630">
        <f>E4*0.008*D70</f>
        <v>14028.28069</v>
      </c>
      <c r="G259" s="140"/>
      <c r="H259" s="140"/>
      <c r="I259" s="140"/>
      <c r="J259" s="140"/>
      <c r="K259" s="1"/>
      <c r="L259" s="1"/>
      <c r="M259" s="1"/>
      <c r="N259" s="1"/>
      <c r="O259" s="1"/>
      <c r="P259" s="1"/>
      <c r="Q259" s="1"/>
      <c r="R259" s="1"/>
    </row>
    <row r="260" ht="13.5" customHeight="1">
      <c r="A260" s="5"/>
      <c r="B260" s="1"/>
      <c r="C260" s="1"/>
      <c r="D260" s="1"/>
      <c r="E260" s="629" t="s">
        <v>460</v>
      </c>
      <c r="F260" s="630">
        <f>E4*0.01*D70</f>
        <v>17535.35087</v>
      </c>
      <c r="G260" s="140"/>
      <c r="H260" s="140"/>
      <c r="I260" s="140"/>
      <c r="J260" s="140"/>
      <c r="K260" s="1"/>
      <c r="L260" s="1"/>
      <c r="M260" s="1"/>
      <c r="N260" s="1"/>
      <c r="O260" s="1"/>
      <c r="P260" s="1"/>
      <c r="Q260" s="1"/>
      <c r="R260" s="1"/>
    </row>
    <row r="261" ht="13.5" customHeight="1">
      <c r="A261" s="5"/>
      <c r="B261" s="1"/>
      <c r="C261" s="1"/>
      <c r="D261" s="140"/>
      <c r="E261" s="631" t="s">
        <v>190</v>
      </c>
      <c r="F261" s="632">
        <f>+SUM(F259:F260)</f>
        <v>31563.63156</v>
      </c>
      <c r="G261" s="140"/>
      <c r="H261" s="140"/>
      <c r="I261" s="140"/>
      <c r="J261" s="140"/>
      <c r="K261" s="140"/>
      <c r="L261" s="1"/>
      <c r="M261" s="1"/>
      <c r="N261" s="1"/>
      <c r="O261" s="1"/>
      <c r="P261" s="1"/>
      <c r="Q261" s="1"/>
      <c r="R261" s="1"/>
    </row>
    <row r="262" ht="13.5" customHeight="1">
      <c r="A262" s="5"/>
      <c r="B262" s="1"/>
      <c r="C262" s="1"/>
      <c r="D262" s="140"/>
      <c r="E262" s="557"/>
      <c r="F262" s="627"/>
      <c r="G262" s="140"/>
      <c r="H262" s="140"/>
      <c r="I262" s="140"/>
      <c r="J262" s="140"/>
      <c r="K262" s="140"/>
      <c r="L262" s="1"/>
      <c r="M262" s="1"/>
      <c r="N262" s="1"/>
      <c r="O262" s="1"/>
      <c r="P262" s="1"/>
      <c r="Q262" s="1"/>
      <c r="R262" s="1"/>
    </row>
    <row r="263" ht="13.5" customHeight="1">
      <c r="A263" s="5"/>
      <c r="B263" s="1"/>
      <c r="C263" s="1"/>
      <c r="D263" s="140"/>
      <c r="E263" s="293" t="s">
        <v>212</v>
      </c>
      <c r="F263" s="294" t="s">
        <v>83</v>
      </c>
      <c r="G263" s="294" t="s">
        <v>213</v>
      </c>
      <c r="H263" s="295" t="s">
        <v>214</v>
      </c>
      <c r="I263" s="140"/>
      <c r="J263" s="140"/>
      <c r="K263" s="140"/>
      <c r="L263" s="1"/>
      <c r="M263" s="1"/>
      <c r="N263" s="1"/>
      <c r="O263" s="1"/>
      <c r="P263" s="1"/>
      <c r="Q263" s="1"/>
      <c r="R263" s="1"/>
    </row>
    <row r="264" ht="12.75" customHeight="1">
      <c r="A264" s="5"/>
      <c r="B264" s="1"/>
      <c r="C264" s="1"/>
      <c r="D264" s="140"/>
      <c r="E264" s="633" t="s">
        <v>253</v>
      </c>
      <c r="F264" s="634">
        <f>+F261/$F$214</f>
        <v>0.016516814</v>
      </c>
      <c r="G264" s="634">
        <f>+F261/$F$217</f>
        <v>0.01400028013</v>
      </c>
      <c r="H264" s="634">
        <f>+F261/$F$217</f>
        <v>0.01400028013</v>
      </c>
      <c r="I264" s="140"/>
      <c r="J264" s="140"/>
      <c r="K264" s="140"/>
      <c r="L264" s="1"/>
      <c r="M264" s="1"/>
      <c r="N264" s="1"/>
      <c r="O264" s="1"/>
      <c r="P264" s="1"/>
      <c r="Q264" s="1"/>
      <c r="R264" s="1"/>
    </row>
    <row r="265" ht="13.5" customHeight="1">
      <c r="A265" s="5"/>
      <c r="B265" s="1"/>
      <c r="C265" s="1"/>
      <c r="D265" s="140"/>
      <c r="E265" s="258" t="s">
        <v>255</v>
      </c>
      <c r="F265" s="259">
        <f t="shared" ref="F265:H265" si="65">+$F$235*F264/2</f>
        <v>54.84098399</v>
      </c>
      <c r="G265" s="259">
        <f t="shared" si="65"/>
        <v>46.48530513</v>
      </c>
      <c r="H265" s="260">
        <f t="shared" si="65"/>
        <v>46.48530513</v>
      </c>
      <c r="I265" s="140"/>
      <c r="J265" s="140"/>
      <c r="K265" s="140"/>
      <c r="L265" s="1"/>
      <c r="M265" s="1"/>
      <c r="N265" s="1"/>
      <c r="O265" s="1"/>
      <c r="P265" s="1"/>
      <c r="Q265" s="1"/>
      <c r="R265" s="1"/>
    </row>
    <row r="266" ht="13.5" customHeight="1">
      <c r="A266" s="5"/>
      <c r="B266" s="1"/>
      <c r="C266" s="1"/>
      <c r="D266" s="1"/>
      <c r="E266" s="557"/>
      <c r="F266" s="627"/>
      <c r="G266" s="140"/>
      <c r="H266" s="140"/>
      <c r="I266" s="140"/>
      <c r="J266" s="140"/>
      <c r="K266" s="140"/>
      <c r="L266" s="1"/>
      <c r="M266" s="1"/>
      <c r="N266" s="1"/>
      <c r="O266" s="1"/>
      <c r="P266" s="1"/>
      <c r="Q266" s="1"/>
      <c r="R266" s="1"/>
    </row>
    <row r="267" ht="13.5" customHeight="1">
      <c r="A267" s="5"/>
      <c r="B267" s="1"/>
      <c r="C267" s="1"/>
      <c r="D267" s="143"/>
      <c r="E267" s="628" t="s">
        <v>256</v>
      </c>
      <c r="F267" s="635" t="s">
        <v>83</v>
      </c>
      <c r="G267" s="636" t="s">
        <v>81</v>
      </c>
      <c r="H267" s="143"/>
      <c r="I267" s="140"/>
      <c r="J267" s="140"/>
      <c r="K267" s="140"/>
      <c r="L267" s="1"/>
      <c r="M267" s="1"/>
      <c r="N267" s="1"/>
      <c r="O267" s="1"/>
      <c r="P267" s="1"/>
      <c r="Q267" s="1"/>
      <c r="R267" s="1"/>
    </row>
    <row r="268" ht="12.75" customHeight="1">
      <c r="A268" s="5"/>
      <c r="B268" s="1"/>
      <c r="C268" s="1"/>
      <c r="D268" s="143"/>
      <c r="E268" s="637" t="s">
        <v>459</v>
      </c>
      <c r="F268" s="638">
        <f t="shared" ref="F268:G268" si="66">$E$4*0.008*$D$71</f>
        <v>8068.71944</v>
      </c>
      <c r="G268" s="638">
        <f t="shared" si="66"/>
        <v>8068.71944</v>
      </c>
      <c r="H268" s="143"/>
      <c r="I268" s="140"/>
      <c r="J268" s="140"/>
      <c r="K268" s="140"/>
      <c r="L268" s="1"/>
      <c r="M268" s="1"/>
      <c r="N268" s="1"/>
      <c r="O268" s="1"/>
      <c r="P268" s="1"/>
      <c r="Q268" s="1"/>
      <c r="R268" s="1"/>
    </row>
    <row r="269" ht="12.75" customHeight="1">
      <c r="A269" s="5"/>
      <c r="B269" s="1"/>
      <c r="C269" s="1"/>
      <c r="D269" s="143"/>
      <c r="E269" s="640" t="s">
        <v>460</v>
      </c>
      <c r="F269" s="638">
        <f t="shared" ref="F269:G269" si="67">$E$4*0.01*$D$71</f>
        <v>10085.8993</v>
      </c>
      <c r="G269" s="638">
        <f t="shared" si="67"/>
        <v>10085.8993</v>
      </c>
      <c r="H269" s="143"/>
      <c r="I269" s="140"/>
      <c r="J269" s="140"/>
      <c r="K269" s="140"/>
      <c r="L269" s="1"/>
      <c r="M269" s="1"/>
      <c r="N269" s="1"/>
      <c r="O269" s="1"/>
      <c r="P269" s="1"/>
      <c r="Q269" s="1"/>
      <c r="R269" s="1"/>
    </row>
    <row r="270" ht="12.75" customHeight="1">
      <c r="A270" s="5"/>
      <c r="B270" s="1"/>
      <c r="C270" s="1"/>
      <c r="D270" s="143"/>
      <c r="E270" s="640" t="s">
        <v>461</v>
      </c>
      <c r="F270" s="641">
        <f>'E-Costos'!B87*0.0004</f>
        <v>133770</v>
      </c>
      <c r="G270" s="642">
        <f>'E-Costos'!C87*0.0004</f>
        <v>157815</v>
      </c>
      <c r="H270" s="143"/>
      <c r="I270" s="140"/>
      <c r="J270" s="140"/>
      <c r="K270" s="1"/>
      <c r="L270" s="1"/>
      <c r="M270" s="1"/>
      <c r="N270" s="1"/>
      <c r="O270" s="1"/>
      <c r="P270" s="1"/>
      <c r="Q270" s="1"/>
      <c r="R270" s="1"/>
    </row>
    <row r="271" ht="13.5" customHeight="1">
      <c r="A271" s="5"/>
      <c r="B271" s="1"/>
      <c r="C271" s="1"/>
      <c r="D271" s="143"/>
      <c r="E271" s="643" t="s">
        <v>462</v>
      </c>
      <c r="F271" s="644">
        <f>'E-Costos'!B87*0.012</f>
        <v>4013100</v>
      </c>
      <c r="G271" s="645">
        <f>'E-Costos'!C87*0.012</f>
        <v>4734450</v>
      </c>
      <c r="H271" s="143"/>
      <c r="I271" s="140"/>
      <c r="J271" s="140"/>
      <c r="K271" s="1"/>
      <c r="L271" s="1"/>
      <c r="M271" s="1"/>
      <c r="N271" s="1"/>
      <c r="O271" s="1"/>
      <c r="P271" s="1"/>
      <c r="Q271" s="1"/>
      <c r="R271" s="1"/>
    </row>
    <row r="272" ht="13.5" customHeight="1">
      <c r="A272" s="5"/>
      <c r="B272" s="1"/>
      <c r="C272" s="1"/>
      <c r="D272" s="143"/>
      <c r="E272" s="646" t="s">
        <v>190</v>
      </c>
      <c r="F272" s="647">
        <f t="shared" ref="F272:G272" si="68">+SUM(F268:F271)</f>
        <v>4165024.619</v>
      </c>
      <c r="G272" s="647">
        <f t="shared" si="68"/>
        <v>4910419.619</v>
      </c>
      <c r="H272" s="143"/>
      <c r="I272" s="140"/>
      <c r="J272" s="140"/>
      <c r="K272" s="1"/>
      <c r="L272" s="1"/>
      <c r="M272" s="1"/>
      <c r="N272" s="1"/>
      <c r="O272" s="1"/>
      <c r="P272" s="1"/>
      <c r="Q272" s="1"/>
      <c r="R272" s="1"/>
    </row>
    <row r="273" ht="12.75" customHeight="1">
      <c r="A273" s="5"/>
      <c r="B273" s="1"/>
      <c r="C273" s="1"/>
      <c r="D273" s="143"/>
      <c r="E273" s="464"/>
      <c r="F273" s="648"/>
      <c r="G273" s="143"/>
      <c r="H273" s="143"/>
      <c r="I273" s="140"/>
      <c r="J273" s="140"/>
      <c r="K273" s="1"/>
      <c r="L273" s="1"/>
      <c r="M273" s="1"/>
      <c r="N273" s="1"/>
      <c r="O273" s="1"/>
      <c r="P273" s="1"/>
      <c r="Q273" s="1"/>
      <c r="R273" s="1"/>
    </row>
    <row r="274" ht="12.75" customHeight="1">
      <c r="A274" s="5"/>
      <c r="B274" s="1"/>
      <c r="C274" s="1"/>
      <c r="D274" s="1"/>
      <c r="E274" s="628" t="s">
        <v>265</v>
      </c>
      <c r="F274" s="140"/>
      <c r="G274" s="140"/>
      <c r="H274" s="140"/>
      <c r="I274" s="140"/>
      <c r="J274" s="140"/>
      <c r="K274" s="1"/>
      <c r="L274" s="1"/>
      <c r="M274" s="1"/>
      <c r="N274" s="1"/>
      <c r="O274" s="1"/>
      <c r="P274" s="1"/>
      <c r="Q274" s="1"/>
      <c r="R274" s="1"/>
    </row>
    <row r="275" ht="12.75" customHeight="1">
      <c r="A275" s="5"/>
      <c r="B275" s="1"/>
      <c r="C275" s="1"/>
      <c r="D275" s="1"/>
      <c r="E275" s="629" t="s">
        <v>463</v>
      </c>
      <c r="F275" s="630">
        <f>E19*0.015</f>
        <v>36000</v>
      </c>
      <c r="G275" s="140"/>
      <c r="H275" s="140"/>
      <c r="I275" s="140"/>
      <c r="J275" s="140"/>
      <c r="K275" s="1"/>
      <c r="L275" s="1"/>
      <c r="M275" s="1"/>
      <c r="N275" s="1"/>
      <c r="O275" s="1"/>
      <c r="P275" s="1"/>
      <c r="Q275" s="1"/>
      <c r="R275" s="1"/>
    </row>
    <row r="276" ht="12.75" customHeight="1">
      <c r="A276" s="5"/>
      <c r="B276" s="1"/>
      <c r="C276" s="1"/>
      <c r="D276" s="1"/>
      <c r="E276" s="629" t="s">
        <v>464</v>
      </c>
      <c r="F276" s="630">
        <f>'E-Costos'!B87*0.03</f>
        <v>10032750</v>
      </c>
      <c r="G276" s="140"/>
      <c r="H276" s="140"/>
      <c r="I276" s="140"/>
      <c r="J276" s="140"/>
      <c r="K276" s="1"/>
      <c r="L276" s="1"/>
      <c r="M276" s="1"/>
      <c r="N276" s="1"/>
      <c r="O276" s="1"/>
      <c r="P276" s="1"/>
      <c r="Q276" s="1"/>
      <c r="R276" s="1"/>
    </row>
    <row r="277" ht="12.75" customHeight="1">
      <c r="A277" s="5"/>
      <c r="B277" s="1"/>
      <c r="C277" s="1"/>
      <c r="D277" s="1"/>
      <c r="E277" s="629" t="s">
        <v>465</v>
      </c>
      <c r="F277" s="630">
        <f>'E-Costos'!C87*0.03</f>
        <v>11836125</v>
      </c>
      <c r="G277" s="140"/>
      <c r="H277" s="140"/>
      <c r="I277" s="140"/>
      <c r="J277" s="140"/>
      <c r="K277" s="1"/>
      <c r="L277" s="1"/>
      <c r="M277" s="1"/>
      <c r="N277" s="1"/>
      <c r="O277" s="1"/>
      <c r="P277" s="1"/>
      <c r="Q277" s="1"/>
      <c r="R277" s="1"/>
    </row>
    <row r="278" ht="12.75" customHeight="1">
      <c r="A278" s="5"/>
      <c r="B278" s="1"/>
      <c r="C278" s="1"/>
      <c r="D278" s="140"/>
      <c r="E278" s="140"/>
      <c r="F278" s="649"/>
      <c r="G278" s="140"/>
      <c r="H278" s="140"/>
      <c r="I278" s="140"/>
      <c r="J278" s="140"/>
      <c r="K278" s="1"/>
      <c r="L278" s="1"/>
      <c r="M278" s="1"/>
      <c r="N278" s="1"/>
      <c r="O278" s="1"/>
      <c r="P278" s="1"/>
      <c r="Q278" s="1"/>
      <c r="R278" s="1"/>
    </row>
    <row r="279" ht="12.75" customHeight="1">
      <c r="A279" s="5"/>
      <c r="B279" s="1"/>
      <c r="C279" s="169" t="s">
        <v>466</v>
      </c>
      <c r="D279" s="140"/>
      <c r="E279" s="650" t="s">
        <v>467</v>
      </c>
      <c r="F279" s="651">
        <v>3.6E7</v>
      </c>
      <c r="G279" s="522" t="s">
        <v>468</v>
      </c>
      <c r="H279" s="140"/>
      <c r="I279" s="140"/>
      <c r="J279" s="140"/>
      <c r="K279" s="140"/>
      <c r="L279" s="1"/>
      <c r="M279" s="1"/>
      <c r="N279" s="1"/>
      <c r="O279" s="1"/>
      <c r="P279" s="1"/>
      <c r="Q279" s="1"/>
      <c r="R279" s="1"/>
    </row>
    <row r="280" ht="12.75" customHeight="1">
      <c r="D280" s="652"/>
      <c r="E280" s="603" t="s">
        <v>469</v>
      </c>
      <c r="F280" s="651">
        <v>150000.0</v>
      </c>
      <c r="G280" s="652"/>
      <c r="H280" s="652"/>
      <c r="I280" s="652"/>
      <c r="J280" s="652"/>
      <c r="K280" s="652"/>
    </row>
    <row r="281" ht="13.5" customHeight="1">
      <c r="D281" s="652"/>
      <c r="E281" s="621" t="s">
        <v>470</v>
      </c>
      <c r="F281" s="653">
        <v>25000.0</v>
      </c>
      <c r="G281" s="652"/>
      <c r="H281" s="652"/>
      <c r="I281" s="652"/>
      <c r="J281" s="652"/>
      <c r="K281" s="652"/>
    </row>
    <row r="282" ht="13.5" customHeight="1">
      <c r="D282" s="652"/>
      <c r="E282" s="286" t="s">
        <v>190</v>
      </c>
      <c r="F282" s="654">
        <f>SUM(F279:F281)</f>
        <v>36175000</v>
      </c>
      <c r="G282" s="652"/>
      <c r="H282" s="652"/>
      <c r="I282" s="652"/>
      <c r="J282" s="652"/>
      <c r="K282" s="652"/>
    </row>
    <row r="283" ht="12.75" customHeight="1">
      <c r="D283" s="652"/>
      <c r="E283" s="652"/>
      <c r="F283" s="652"/>
      <c r="G283" s="652"/>
      <c r="H283" s="652"/>
      <c r="I283" s="652"/>
      <c r="J283" s="652"/>
      <c r="K283" s="652"/>
    </row>
    <row r="284" ht="12.75" customHeight="1">
      <c r="D284" s="652"/>
      <c r="E284" s="652"/>
      <c r="F284" s="652"/>
      <c r="G284" s="652"/>
      <c r="H284" s="652"/>
      <c r="I284" s="652"/>
      <c r="J284" s="652"/>
      <c r="K284" s="652"/>
    </row>
    <row r="285" ht="12.75" customHeight="1">
      <c r="D285" s="652"/>
      <c r="E285" s="652"/>
      <c r="F285" s="652"/>
      <c r="G285" s="652"/>
      <c r="H285" s="652"/>
      <c r="I285" s="652"/>
      <c r="J285" s="652"/>
      <c r="K285" s="652"/>
    </row>
    <row r="286" ht="12.75" customHeight="1">
      <c r="D286" s="652"/>
      <c r="E286" s="652"/>
      <c r="F286" s="652"/>
      <c r="G286" s="652"/>
      <c r="H286" s="652"/>
      <c r="I286" s="652"/>
      <c r="J286" s="652"/>
      <c r="K286" s="652"/>
    </row>
    <row r="287" ht="12.75" customHeight="1">
      <c r="D287" s="652"/>
      <c r="E287" s="652"/>
      <c r="F287" s="652"/>
      <c r="G287" s="652"/>
      <c r="H287" s="652"/>
      <c r="I287" s="652"/>
      <c r="J287" s="652"/>
      <c r="K287" s="652"/>
    </row>
    <row r="288" ht="12.75" customHeight="1">
      <c r="G288" s="652"/>
      <c r="H288" s="652"/>
      <c r="I288" s="652"/>
      <c r="J288" s="652"/>
      <c r="K288" s="652"/>
    </row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</sheetData>
  <mergeCells count="25">
    <mergeCell ref="G138:I138"/>
    <mergeCell ref="E98:I98"/>
    <mergeCell ref="E111:I111"/>
    <mergeCell ref="K80:M82"/>
    <mergeCell ref="E125:I125"/>
    <mergeCell ref="E134:I134"/>
    <mergeCell ref="H143:I143"/>
    <mergeCell ref="F189:F190"/>
    <mergeCell ref="E189:E190"/>
    <mergeCell ref="F171:F172"/>
    <mergeCell ref="E171:E172"/>
    <mergeCell ref="H167:I167"/>
    <mergeCell ref="G162:I162"/>
    <mergeCell ref="J162:L162"/>
    <mergeCell ref="H158:I158"/>
    <mergeCell ref="J138:L138"/>
    <mergeCell ref="J153:L153"/>
    <mergeCell ref="G153:I153"/>
    <mergeCell ref="K189:L189"/>
    <mergeCell ref="E200:F200"/>
    <mergeCell ref="G201:H201"/>
    <mergeCell ref="K212:L212"/>
    <mergeCell ref="E181:F181"/>
    <mergeCell ref="G182:H182"/>
    <mergeCell ref="K171:L171"/>
  </mergeCells>
  <hyperlinks>
    <hyperlink r:id="rId1" ref="F10"/>
    <hyperlink r:id="rId2" ref="F11"/>
    <hyperlink r:id="rId3" ref="F12"/>
    <hyperlink r:id="rId4" ref="F13"/>
    <hyperlink r:id="rId5" ref="F15"/>
    <hyperlink r:id="rId6" ref="F19"/>
    <hyperlink r:id="rId7" ref="K78"/>
    <hyperlink r:id="rId8" ref="K79"/>
    <hyperlink r:id="rId9" ref="K180"/>
  </hyperlinks>
  <printOptions/>
  <pageMargins bottom="0.75" footer="0.0" header="0.0" left="0.7" right="0.7" top="0.75"/>
  <pageSetup orientation="landscape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86"/>
    <col customWidth="1" min="2" max="2" width="20.71"/>
    <col customWidth="1" min="3" max="3" width="19.14"/>
    <col customWidth="1" min="4" max="6" width="14.71"/>
    <col customWidth="1" min="7" max="7" width="17.29"/>
    <col customWidth="1" min="8" max="8" width="10.0"/>
    <col customWidth="1" min="9" max="9" width="19.0"/>
    <col customWidth="1" min="10" max="26" width="10.0"/>
  </cols>
  <sheetData>
    <row r="1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2.75" customHeight="1">
      <c r="A3" s="2" t="s">
        <v>0</v>
      </c>
      <c r="E3" s="4">
        <f>InfoInicial!E1</f>
        <v>4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5.75" customHeight="1">
      <c r="A4" s="269" t="s">
        <v>223</v>
      </c>
      <c r="B4" s="271"/>
      <c r="C4" s="271"/>
      <c r="D4" s="271"/>
      <c r="E4" s="271"/>
      <c r="F4" s="272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273"/>
      <c r="B5" s="274" t="s">
        <v>225</v>
      </c>
      <c r="C5" s="274"/>
      <c r="D5" s="274"/>
      <c r="E5" s="274"/>
      <c r="F5" s="275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273" t="s">
        <v>227</v>
      </c>
      <c r="B6" s="91" t="s">
        <v>83</v>
      </c>
      <c r="C6" s="91" t="s">
        <v>228</v>
      </c>
      <c r="D6" s="91" t="s">
        <v>229</v>
      </c>
      <c r="E6" s="91" t="s">
        <v>230</v>
      </c>
      <c r="F6" s="92" t="s">
        <v>231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93" t="s">
        <v>232</v>
      </c>
      <c r="B7" s="277">
        <f>'Calculos auxiliares'!J83</f>
        <v>203523374.6</v>
      </c>
      <c r="C7" s="277">
        <f>'Calculos auxiliares'!$J$92</f>
        <v>234458329.1</v>
      </c>
      <c r="D7" s="277">
        <f>'Calculos auxiliares'!$J$92</f>
        <v>234458329.1</v>
      </c>
      <c r="E7" s="277">
        <f>'Calculos auxiliares'!$J$92</f>
        <v>234458329.1</v>
      </c>
      <c r="F7" s="277">
        <f>'Calculos auxiliares'!$J$92</f>
        <v>234458329.1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97" t="s">
        <v>234</v>
      </c>
      <c r="B8" s="279">
        <f>'Calculos auxiliares'!J97</f>
        <v>3143520</v>
      </c>
      <c r="C8" s="282">
        <f>'Calculos auxiliares'!J96</f>
        <v>3409920</v>
      </c>
      <c r="D8" s="285">
        <f>'Calculos auxiliares'!J96</f>
        <v>3409920</v>
      </c>
      <c r="E8" s="285">
        <f>'Calculos auxiliares'!J96</f>
        <v>3409920</v>
      </c>
      <c r="F8" s="285">
        <f>'Calculos auxiliares'!J96</f>
        <v>3409920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97" t="s">
        <v>238</v>
      </c>
      <c r="B9" s="279">
        <v>0.0</v>
      </c>
      <c r="C9" s="289"/>
      <c r="D9" s="289"/>
      <c r="E9" s="289"/>
      <c r="F9" s="291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97" t="s">
        <v>241</v>
      </c>
      <c r="B10" s="297">
        <f>SUMPRODUCT('E-Inv AF y Am'!D43:D50,'E-Inv AF y Am'!H43:H50)+'E-Inv AF y Am'!D53*'E-Inv AF y Am'!H53</f>
        <v>1536202.327</v>
      </c>
      <c r="C10" s="300">
        <f>SUMPRODUCT('E-Inv AF y Am'!D43:D50,'E-Inv AF y Am'!H43:H50)+'E-Inv AF y Am'!D53*'E-Inv AF y Am'!H53</f>
        <v>1536202.327</v>
      </c>
      <c r="D10" s="300">
        <f>SUMPRODUCT('E-Inv AF y Am'!D43:D50,'E-Inv AF y Am'!H43:H50)+'E-Inv AF y Am'!D53*'E-Inv AF y Am'!H53</f>
        <v>1536202.327</v>
      </c>
      <c r="E10" s="300">
        <f>SUMPRODUCT('E-Inv AF y Am'!E43:E50,'E-Inv AF y Am'!H43:H50)+'E-Inv AF y Am'!E53*'E-Inv AF y Am'!H53</f>
        <v>1309625.297</v>
      </c>
      <c r="F10" s="302">
        <f>SUMPRODUCT('E-Inv AF y Am'!E43:E50,'E-Inv AF y Am'!H43:H50)+'E-Inv AF y Am'!E53*'E-Inv AF y Am'!H53</f>
        <v>1309625.297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97" t="s">
        <v>244</v>
      </c>
      <c r="B11" s="279">
        <f>'Calculos auxiliares'!K134</f>
        <v>982350</v>
      </c>
      <c r="C11" s="289">
        <f>'Calculos auxiliares'!K133</f>
        <v>1065600</v>
      </c>
      <c r="D11" s="300">
        <f>'Calculos auxiliares'!K133</f>
        <v>1065600</v>
      </c>
      <c r="E11" s="300">
        <f>'Calculos auxiliares'!K133</f>
        <v>1065600</v>
      </c>
      <c r="F11" s="300">
        <f>'Calculos auxiliares'!K133</f>
        <v>1065600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97" t="s">
        <v>235</v>
      </c>
      <c r="B12" s="279">
        <f>'Calculos auxiliares'!J143</f>
        <v>10271247.07</v>
      </c>
      <c r="C12" s="289">
        <f>'Calculos auxiliares'!K143</f>
        <v>11826052.29</v>
      </c>
      <c r="D12" s="289">
        <f>'Calculos auxiliares'!K143</f>
        <v>11826052.29</v>
      </c>
      <c r="E12" s="289">
        <f>'Calculos auxiliares'!L143</f>
        <v>11826094.2</v>
      </c>
      <c r="F12" s="300">
        <f>'Calculos auxiliares'!L143</f>
        <v>11826094.2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308" t="s">
        <v>245</v>
      </c>
      <c r="B13" s="297">
        <f>'Calculos auxiliares'!L202</f>
        <v>453614.7018</v>
      </c>
      <c r="C13" s="310">
        <f>'Calculos auxiliares'!L201</f>
        <v>454418.9887</v>
      </c>
      <c r="D13" s="300">
        <f>'Calculos auxiliares'!L201</f>
        <v>454418.9887</v>
      </c>
      <c r="E13" s="300">
        <f>'Calculos auxiliares'!L201</f>
        <v>454418.9887</v>
      </c>
      <c r="F13" s="300">
        <f>'Calculos auxiliares'!L201</f>
        <v>454418.9887</v>
      </c>
      <c r="G13" s="311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97" t="s">
        <v>247</v>
      </c>
      <c r="B14" s="289">
        <f>'Calculos auxiliares'!C23</f>
        <v>79200</v>
      </c>
      <c r="C14" s="310">
        <f>'Calculos auxiliares'!C22</f>
        <v>118800</v>
      </c>
      <c r="D14" s="300">
        <f>'Calculos auxiliares'!C22</f>
        <v>118800</v>
      </c>
      <c r="E14" s="300">
        <f>'Calculos auxiliares'!C22</f>
        <v>118800</v>
      </c>
      <c r="F14" s="300">
        <f>'Calculos auxiliares'!C22</f>
        <v>118800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97" t="s">
        <v>248</v>
      </c>
      <c r="B15" s="289">
        <f>'Calculos auxiliares'!F261</f>
        <v>31563.63156</v>
      </c>
      <c r="C15" s="289">
        <f>'Calculos auxiliares'!F261</f>
        <v>31563.63156</v>
      </c>
      <c r="D15" s="289">
        <f>'Calculos auxiliares'!F261</f>
        <v>31563.63156</v>
      </c>
      <c r="E15" s="289">
        <f>'Calculos auxiliares'!F261</f>
        <v>31563.63156</v>
      </c>
      <c r="F15" s="289">
        <f>'Calculos auxiliares'!F261</f>
        <v>31563.63156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97" t="s">
        <v>34</v>
      </c>
      <c r="B16" s="289">
        <f>SUM(B8:B15)*InfoInicial!$B$15</f>
        <v>1237327.33</v>
      </c>
      <c r="C16" s="289">
        <f>SUM(C8:C15)*InfoInicial!$B$15</f>
        <v>1383191.793</v>
      </c>
      <c r="D16" s="289">
        <f>SUM(D8:D15)*InfoInicial!$B$15</f>
        <v>1383191.793</v>
      </c>
      <c r="E16" s="289">
        <f>SUM(E8:E15)*InfoInicial!$B$15</f>
        <v>1366201.659</v>
      </c>
      <c r="F16" s="289">
        <f>SUM(F8:F15)*InfoInicial!$B$15</f>
        <v>1366201.659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319" t="s">
        <v>250</v>
      </c>
      <c r="B17" s="321">
        <f t="shared" ref="B17:F17" si="1">SUM(B7:B16)</f>
        <v>221258399.6</v>
      </c>
      <c r="C17" s="321">
        <f t="shared" si="1"/>
        <v>254284078.1</v>
      </c>
      <c r="D17" s="321">
        <f t="shared" si="1"/>
        <v>254284078.1</v>
      </c>
      <c r="E17" s="321">
        <f t="shared" si="1"/>
        <v>254040552.9</v>
      </c>
      <c r="F17" s="321">
        <f t="shared" si="1"/>
        <v>254040552.9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102"/>
      <c r="B18" s="324"/>
      <c r="C18" s="324"/>
      <c r="D18" s="324"/>
      <c r="E18" s="324"/>
      <c r="F18" s="325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326" t="s">
        <v>254</v>
      </c>
      <c r="B19" s="328">
        <f t="shared" ref="B19:F19" si="2">SUM(B10,B11,B15,B16)/B17</f>
        <v>0.01711773788</v>
      </c>
      <c r="C19" s="328">
        <f t="shared" si="2"/>
        <v>0.01579555346</v>
      </c>
      <c r="D19" s="328">
        <f t="shared" si="2"/>
        <v>0.01579555346</v>
      </c>
      <c r="E19" s="328">
        <f t="shared" si="2"/>
        <v>0.01485192244</v>
      </c>
      <c r="F19" s="328">
        <f t="shared" si="2"/>
        <v>0.01485192244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126" t="s">
        <v>257</v>
      </c>
      <c r="B20" s="329">
        <f t="shared" ref="B20:F20" si="3">SUM(B7,B8,B9,B12,B13,B14)/B17</f>
        <v>0.9828822621</v>
      </c>
      <c r="C20" s="329">
        <f t="shared" si="3"/>
        <v>0.9842044465</v>
      </c>
      <c r="D20" s="329">
        <f t="shared" si="3"/>
        <v>0.9842044465</v>
      </c>
      <c r="E20" s="329">
        <f t="shared" si="3"/>
        <v>0.9851480776</v>
      </c>
      <c r="F20" s="329">
        <f t="shared" si="3"/>
        <v>0.9851480776</v>
      </c>
      <c r="G20" s="80"/>
      <c r="H20" s="80"/>
      <c r="I20" s="80"/>
      <c r="J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80"/>
      <c r="B21" s="80"/>
      <c r="C21" s="80"/>
      <c r="D21" s="80"/>
      <c r="E21" s="80"/>
      <c r="F21" s="80"/>
      <c r="G21" s="80"/>
      <c r="H21" s="80"/>
      <c r="J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333"/>
      <c r="B22" s="121" t="s">
        <v>259</v>
      </c>
      <c r="C22" s="121"/>
      <c r="D22" s="121"/>
      <c r="E22" s="121"/>
      <c r="F22" s="83"/>
      <c r="G22" s="335"/>
      <c r="H22" s="80"/>
      <c r="J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273"/>
      <c r="B23" s="274" t="s">
        <v>260</v>
      </c>
      <c r="C23" s="274"/>
      <c r="D23" s="274"/>
      <c r="E23" s="274"/>
      <c r="F23" s="337"/>
      <c r="G23" s="338" t="s">
        <v>261</v>
      </c>
      <c r="H23" s="80"/>
      <c r="J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273" t="s">
        <v>227</v>
      </c>
      <c r="B24" s="341" t="s">
        <v>83</v>
      </c>
      <c r="C24" s="341" t="s">
        <v>228</v>
      </c>
      <c r="D24" s="341" t="s">
        <v>229</v>
      </c>
      <c r="E24" s="341" t="s">
        <v>230</v>
      </c>
      <c r="F24" s="343" t="s">
        <v>231</v>
      </c>
      <c r="G24" s="345" t="s">
        <v>83</v>
      </c>
      <c r="H24" s="80"/>
      <c r="J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93" t="s">
        <v>232</v>
      </c>
      <c r="B25" s="277">
        <f>'Calculos auxiliares'!L231</f>
        <v>683458.1177</v>
      </c>
      <c r="C25" s="277">
        <f>'Calculos auxiliares'!L231</f>
        <v>683458.1177</v>
      </c>
      <c r="D25" s="277">
        <f>'Calculos auxiliares'!L231</f>
        <v>683458.1177</v>
      </c>
      <c r="E25" s="300">
        <f>'Calculos auxiliares'!L231</f>
        <v>683458.1177</v>
      </c>
      <c r="F25" s="349">
        <f>'Calculos auxiliares'!L231</f>
        <v>683458.1177</v>
      </c>
      <c r="G25" s="351">
        <f>'Calculos auxiliares'!F245*'Calculos auxiliares'!F247</f>
        <v>4090992.36</v>
      </c>
      <c r="H25" s="80"/>
      <c r="J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97" t="s">
        <v>234</v>
      </c>
      <c r="B26" s="289">
        <f>'Calculos auxiliares'!K235</f>
        <v>5021.956088</v>
      </c>
      <c r="C26" s="300">
        <f>'Calculos auxiliares'!K235</f>
        <v>5021.956088</v>
      </c>
      <c r="D26" s="300">
        <f>'Calculos auxiliares'!K235</f>
        <v>5021.956088</v>
      </c>
      <c r="E26" s="300">
        <f>'Calculos auxiliares'!K235</f>
        <v>5021.956088</v>
      </c>
      <c r="F26" s="300">
        <f>'Calculos auxiliares'!K235</f>
        <v>5021.956088</v>
      </c>
      <c r="G26" s="351">
        <f>'Calculos auxiliares'!F249</f>
        <v>63187.41684</v>
      </c>
      <c r="H26" s="80"/>
      <c r="J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97" t="s">
        <v>238</v>
      </c>
      <c r="B27" s="98">
        <f>'Calculos auxiliares'!F242</f>
        <v>2669.111349</v>
      </c>
      <c r="C27" s="98">
        <f>'Calculos auxiliares'!G242</f>
        <v>2262.440358</v>
      </c>
      <c r="D27" s="300">
        <f>'Calculos auxiliares'!G242</f>
        <v>2262.440358</v>
      </c>
      <c r="E27" s="355">
        <f>'Calculos auxiliares'!H242</f>
        <v>1928.749276</v>
      </c>
      <c r="F27" s="300">
        <f>'Calculos auxiliares'!H242</f>
        <v>1928.749276</v>
      </c>
      <c r="G27" s="356"/>
      <c r="H27" s="80"/>
      <c r="J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97" t="s">
        <v>244</v>
      </c>
      <c r="B28" s="289">
        <f>'Calculos auxiliares'!F115</f>
        <v>2218.849649</v>
      </c>
      <c r="C28" s="289">
        <f>'Calculos auxiliares'!$G$115</f>
        <v>2040.169661</v>
      </c>
      <c r="D28" s="289">
        <f>'Calculos auxiliares'!$G$115</f>
        <v>2040.169661</v>
      </c>
      <c r="E28" s="289">
        <f>'Calculos auxiliares'!$G$115</f>
        <v>2040.169661</v>
      </c>
      <c r="F28" s="357">
        <f>'Calculos auxiliares'!$G$115</f>
        <v>2040.169661</v>
      </c>
      <c r="G28" s="359"/>
      <c r="H28" s="80"/>
      <c r="J28" s="36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97" t="s">
        <v>235</v>
      </c>
      <c r="B29" s="289">
        <f>'Calculos auxiliares'!F150</f>
        <v>17846.02305</v>
      </c>
      <c r="C29" s="289">
        <f>'Calculos auxiliares'!$G$150</f>
        <v>20547.45643</v>
      </c>
      <c r="D29" s="289">
        <f>'Calculos auxiliares'!$G$150</f>
        <v>20547.45643</v>
      </c>
      <c r="E29" s="289">
        <f>'Calculos auxiliares'!$H$150</f>
        <v>20547.52925</v>
      </c>
      <c r="F29" s="357">
        <f>'Calculos auxiliares'!$H$150</f>
        <v>20547.52925</v>
      </c>
      <c r="G29" s="359"/>
      <c r="H29" s="80"/>
      <c r="J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97" t="s">
        <v>266</v>
      </c>
      <c r="B30" s="289">
        <f>'Calculos auxiliares'!F186</f>
        <v>979.6942911</v>
      </c>
      <c r="C30" s="289">
        <f>'Calculos auxiliares'!$G$186</f>
        <v>1049.298488</v>
      </c>
      <c r="D30" s="289">
        <f>'Calculos auxiliares'!$G$186</f>
        <v>1049.298488</v>
      </c>
      <c r="E30" s="289">
        <f>'Calculos auxiliares'!$G$186</f>
        <v>1049.298488</v>
      </c>
      <c r="F30" s="357">
        <f>'Calculos auxiliares'!$G$186</f>
        <v>1049.298488</v>
      </c>
      <c r="G30" s="351">
        <f>'Calculos auxiliares'!F251</f>
        <v>204549.618</v>
      </c>
      <c r="H30" s="363" t="s">
        <v>267</v>
      </c>
      <c r="J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97" t="s">
        <v>269</v>
      </c>
      <c r="B31" s="289"/>
      <c r="C31" s="289"/>
      <c r="D31" s="310"/>
      <c r="E31" s="310"/>
      <c r="F31" s="365"/>
      <c r="G31" s="351">
        <f>'Calculos auxiliares'!F253</f>
        <v>9134.206894</v>
      </c>
      <c r="H31" s="363" t="s">
        <v>272</v>
      </c>
      <c r="J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97" t="s">
        <v>273</v>
      </c>
      <c r="B32" s="289">
        <f>'Calculos auxiliares'!F265</f>
        <v>54.84098399</v>
      </c>
      <c r="C32" s="289">
        <f>'Calculos auxiliares'!G265</f>
        <v>46.48530513</v>
      </c>
      <c r="D32" s="289">
        <f>'Calculos auxiliares'!$H$265</f>
        <v>46.48530513</v>
      </c>
      <c r="E32" s="289">
        <f>'Calculos auxiliares'!$H$265</f>
        <v>46.48530513</v>
      </c>
      <c r="F32" s="357">
        <f>'Calculos auxiliares'!$H$265</f>
        <v>46.48530513</v>
      </c>
      <c r="G32" s="351" t="str">
        <f>'Calculos auxiliares'!F255</f>
        <v/>
      </c>
      <c r="H32" s="80"/>
      <c r="J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97" t="s">
        <v>278</v>
      </c>
      <c r="B33" s="289">
        <f>SUM(B25:B32)*InfoInicial!$B$15</f>
        <v>53418.64448</v>
      </c>
      <c r="C33" s="289">
        <f>SUM(C25:C32)*InfoInicial!$B$15</f>
        <v>53581.9443</v>
      </c>
      <c r="D33" s="289">
        <f>SUM(D25:D32)*InfoInicial!$B$15</f>
        <v>53581.9443</v>
      </c>
      <c r="E33" s="289">
        <f>SUM(E25:E32)*InfoInicial!$B$15</f>
        <v>53556.92293</v>
      </c>
      <c r="F33" s="357">
        <f>SUM(F25:F32)*InfoInicial!$B$15</f>
        <v>53556.92293</v>
      </c>
      <c r="G33" s="359"/>
      <c r="H33" s="80"/>
      <c r="J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126" t="s">
        <v>282</v>
      </c>
      <c r="B34" s="377">
        <f t="shared" ref="B34:F34" si="4">SUM(B25:B33)</f>
        <v>765667.2376</v>
      </c>
      <c r="C34" s="377">
        <f t="shared" si="4"/>
        <v>768007.8683</v>
      </c>
      <c r="D34" s="377">
        <f t="shared" si="4"/>
        <v>768007.8683</v>
      </c>
      <c r="E34" s="377">
        <f t="shared" si="4"/>
        <v>767649.2287</v>
      </c>
      <c r="F34" s="379">
        <f t="shared" si="4"/>
        <v>767649.2287</v>
      </c>
      <c r="G34" s="359"/>
      <c r="H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51"/>
      <c r="B35" s="381"/>
      <c r="C35" s="381"/>
      <c r="D35" s="381"/>
      <c r="E35" s="381"/>
      <c r="F35" s="381"/>
      <c r="G35" s="351">
        <f>SUM(G25:G34)</f>
        <v>4367863.602</v>
      </c>
      <c r="H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132"/>
      <c r="B36" s="383" t="s">
        <v>284</v>
      </c>
      <c r="C36" s="383"/>
      <c r="D36" s="383"/>
      <c r="E36" s="383"/>
      <c r="F36" s="385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126"/>
      <c r="B37" s="341" t="s">
        <v>83</v>
      </c>
      <c r="C37" s="341" t="s">
        <v>228</v>
      </c>
      <c r="D37" s="341" t="s">
        <v>229</v>
      </c>
      <c r="E37" s="341" t="s">
        <v>230</v>
      </c>
      <c r="F37" s="92" t="s">
        <v>231</v>
      </c>
      <c r="G37" s="381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142" t="s">
        <v>250</v>
      </c>
      <c r="B38" s="388">
        <f t="shared" ref="B38:F38" si="5">B17</f>
        <v>221258399.6</v>
      </c>
      <c r="C38" s="388">
        <f t="shared" si="5"/>
        <v>254284078.1</v>
      </c>
      <c r="D38" s="388">
        <f t="shared" si="5"/>
        <v>254284078.1</v>
      </c>
      <c r="E38" s="388">
        <f t="shared" si="5"/>
        <v>254040552.9</v>
      </c>
      <c r="F38" s="388">
        <f t="shared" si="5"/>
        <v>254040552.9</v>
      </c>
      <c r="G38" s="381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97" t="s">
        <v>287</v>
      </c>
      <c r="B39" s="289"/>
      <c r="C39" s="289"/>
      <c r="D39" s="289"/>
      <c r="E39" s="289"/>
      <c r="F39" s="291"/>
      <c r="G39" s="381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97" t="s">
        <v>288</v>
      </c>
      <c r="B40" s="390">
        <f>G35</f>
        <v>4367863.602</v>
      </c>
      <c r="C40" s="289"/>
      <c r="D40" s="289"/>
      <c r="E40" s="289"/>
      <c r="F40" s="291"/>
      <c r="G40" s="381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97" t="s">
        <v>292</v>
      </c>
      <c r="B41" s="289">
        <f>B34</f>
        <v>765667.2376</v>
      </c>
      <c r="C41" s="289">
        <f t="shared" ref="C41:F41" si="6">C34-B34</f>
        <v>2340.630737</v>
      </c>
      <c r="D41" s="289">
        <f t="shared" si="6"/>
        <v>0</v>
      </c>
      <c r="E41" s="289">
        <f t="shared" si="6"/>
        <v>-358.6396311</v>
      </c>
      <c r="F41" s="289">
        <f t="shared" si="6"/>
        <v>0</v>
      </c>
      <c r="G41" s="381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95" t="s">
        <v>293</v>
      </c>
      <c r="B42" s="289">
        <f t="shared" ref="B42:F42" si="7">B38-B40-B41</f>
        <v>216124868.8</v>
      </c>
      <c r="C42" s="289">
        <f t="shared" si="7"/>
        <v>254281737.5</v>
      </c>
      <c r="D42" s="289">
        <f t="shared" si="7"/>
        <v>254284078.1</v>
      </c>
      <c r="E42" s="289">
        <f t="shared" si="7"/>
        <v>254040911.5</v>
      </c>
      <c r="F42" s="289">
        <f t="shared" si="7"/>
        <v>254040552.9</v>
      </c>
      <c r="G42" s="381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326" t="s">
        <v>294</v>
      </c>
      <c r="B43" s="394">
        <f>B42/'Calculos auxiliares'!$F$210</f>
        <v>8.908572692</v>
      </c>
      <c r="C43" s="394">
        <f>C42/'Calculos auxiliares'!$F$212</f>
        <v>9.02308228</v>
      </c>
      <c r="D43" s="394">
        <f>D42/'Calculos auxiliares'!$F$212</f>
        <v>9.023165336</v>
      </c>
      <c r="E43" s="394">
        <f>E42/'Calculos auxiliares'!$F$212</f>
        <v>9.014536669</v>
      </c>
      <c r="F43" s="394">
        <f>F42/'Calculos auxiliares'!$F$212</f>
        <v>9.014523943</v>
      </c>
      <c r="G43" s="381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326"/>
      <c r="B44" s="394"/>
      <c r="C44" s="394"/>
      <c r="D44" s="394"/>
      <c r="E44" s="394"/>
      <c r="F44" s="398"/>
      <c r="G44" s="381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326" t="s">
        <v>254</v>
      </c>
      <c r="B45" s="400">
        <f t="shared" ref="B45:F45" si="8">SUM(B10:B16)/B42</f>
        <v>0.06751423446</v>
      </c>
      <c r="C45" s="400">
        <f t="shared" si="8"/>
        <v>0.06455764063</v>
      </c>
      <c r="D45" s="400">
        <f t="shared" si="8"/>
        <v>0.06455704639</v>
      </c>
      <c r="E45" s="400">
        <f t="shared" si="8"/>
        <v>0.06366023362</v>
      </c>
      <c r="F45" s="400">
        <f t="shared" si="8"/>
        <v>0.06366032349</v>
      </c>
      <c r="G45" s="381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126" t="s">
        <v>257</v>
      </c>
      <c r="B46" s="405">
        <f t="shared" ref="B46:F46" si="9">1-B45</f>
        <v>0.9324857655</v>
      </c>
      <c r="C46" s="405">
        <f t="shared" si="9"/>
        <v>0.9354423594</v>
      </c>
      <c r="D46" s="405">
        <f t="shared" si="9"/>
        <v>0.9354429536</v>
      </c>
      <c r="E46" s="405">
        <f t="shared" si="9"/>
        <v>0.9363397664</v>
      </c>
      <c r="F46" s="405">
        <f t="shared" si="9"/>
        <v>0.9363396765</v>
      </c>
      <c r="G46" s="381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119"/>
      <c r="B49" s="121" t="s">
        <v>301</v>
      </c>
      <c r="C49" s="121"/>
      <c r="D49" s="121"/>
      <c r="E49" s="121"/>
      <c r="F49" s="41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412" t="s">
        <v>227</v>
      </c>
      <c r="B50" s="91" t="s">
        <v>83</v>
      </c>
      <c r="C50" s="91" t="s">
        <v>228</v>
      </c>
      <c r="D50" s="91" t="s">
        <v>229</v>
      </c>
      <c r="E50" s="91" t="s">
        <v>230</v>
      </c>
      <c r="F50" s="92" t="s">
        <v>231</v>
      </c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333" t="s">
        <v>246</v>
      </c>
      <c r="B51" s="415">
        <f>'Calculos auxiliares'!L202</f>
        <v>453614.7018</v>
      </c>
      <c r="C51" s="415">
        <f>'Calculos auxiliares'!L201</f>
        <v>454418.9887</v>
      </c>
      <c r="D51" s="300">
        <f>'Calculos auxiliares'!L201</f>
        <v>454418.9887</v>
      </c>
      <c r="E51" s="300">
        <f>'Calculos auxiliares'!L201</f>
        <v>454418.9887</v>
      </c>
      <c r="F51" s="300">
        <f>'Calculos auxiliares'!L201</f>
        <v>454418.9887</v>
      </c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97" t="s">
        <v>303</v>
      </c>
      <c r="B52" s="420">
        <f>SUMPRODUCT('E-Inv AF y Am'!D43:D50,'E-Inv AF y Am'!I43:I50)+'E-Inv AF y Am'!D53*'E-Inv AF y Am'!I53</f>
        <v>699900.2187</v>
      </c>
      <c r="C52" s="300">
        <f>SUMPRODUCT('E-Inv AF y Am'!D43:D50,'E-Inv AF y Am'!I43:I50)+'E-Inv AF y Am'!D53*'E-Inv AF y Am'!I53</f>
        <v>699900.2187</v>
      </c>
      <c r="D52" s="300">
        <f>SUMPRODUCT('E-Inv AF y Am'!D43:D50,'E-Inv AF y Am'!I43:I50)+'E-Inv AF y Am'!D53*'E-Inv AF y Am'!I53</f>
        <v>699900.2187</v>
      </c>
      <c r="E52" s="300">
        <f>SUMPRODUCT('E-Inv AF y Am'!D43:D50,'E-Inv AF y Am'!I43:I50)+'E-Inv AF y Am'!D53*'E-Inv AF y Am'!I53</f>
        <v>699900.2187</v>
      </c>
      <c r="F52" s="300">
        <f>SUMPRODUCT('E-Inv AF y Am'!D43:D50,'E-Inv AF y Am'!I43:I50)+'E-Inv AF y Am'!D53*'E-Inv AF y Am'!I53</f>
        <v>699900.2187</v>
      </c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97" t="s">
        <v>235</v>
      </c>
      <c r="B53" s="289">
        <f>'Calculos auxiliares'!J158</f>
        <v>123841.6541</v>
      </c>
      <c r="C53" s="289">
        <f>'Calculos auxiliares'!K158</f>
        <v>134336.7095</v>
      </c>
      <c r="D53" s="300">
        <f>'Calculos auxiliares'!K158</f>
        <v>134336.7095</v>
      </c>
      <c r="E53" s="289">
        <f>'Calculos auxiliares'!L158</f>
        <v>140542.945</v>
      </c>
      <c r="F53" s="300">
        <f>'Calculos auxiliares'!L158</f>
        <v>140542.945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97" t="s">
        <v>305</v>
      </c>
      <c r="B54" s="289">
        <f>'Calculos auxiliares'!N202</f>
        <v>376483.3899</v>
      </c>
      <c r="C54" s="289">
        <f>'Calculos auxiliares'!$N$201</f>
        <v>377150.9182</v>
      </c>
      <c r="D54" s="289">
        <f>'Calculos auxiliares'!$N$201</f>
        <v>377150.9182</v>
      </c>
      <c r="E54" s="289">
        <f>'Calculos auxiliares'!$N$201</f>
        <v>377150.9182</v>
      </c>
      <c r="F54" s="289">
        <f>'Calculos auxiliares'!$N$201</f>
        <v>377150.9182</v>
      </c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97" t="s">
        <v>308</v>
      </c>
      <c r="B55" s="279">
        <v>0.0</v>
      </c>
      <c r="C55" s="279">
        <v>0.0</v>
      </c>
      <c r="D55" s="279">
        <v>0.0</v>
      </c>
      <c r="E55" s="279">
        <v>0.0</v>
      </c>
      <c r="F55" s="279">
        <v>0.0</v>
      </c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97" t="s">
        <v>310</v>
      </c>
      <c r="B56" s="289">
        <f>'Calculos auxiliares'!$F$282</f>
        <v>36175000</v>
      </c>
      <c r="C56" s="289">
        <f>'Calculos auxiliares'!$F$282</f>
        <v>36175000</v>
      </c>
      <c r="D56" s="289">
        <f>'Calculos auxiliares'!$F$282</f>
        <v>36175000</v>
      </c>
      <c r="E56" s="289">
        <f>'Calculos auxiliares'!$F$282</f>
        <v>36175000</v>
      </c>
      <c r="F56" s="289">
        <f>'Calculos auxiliares'!$F$282</f>
        <v>36175000</v>
      </c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97" t="s">
        <v>248</v>
      </c>
      <c r="B57" s="420">
        <f>'Calculos auxiliares'!F272</f>
        <v>4165024.619</v>
      </c>
      <c r="C57" s="420">
        <f>'Calculos auxiliares'!G272</f>
        <v>4910419.619</v>
      </c>
      <c r="D57" s="300">
        <f>'Calculos auxiliares'!G272</f>
        <v>4910419.619</v>
      </c>
      <c r="E57" s="300">
        <f>'Calculos auxiliares'!G272</f>
        <v>4910419.619</v>
      </c>
      <c r="F57" s="300">
        <f>'Calculos auxiliares'!G272</f>
        <v>4910419.619</v>
      </c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97" t="s">
        <v>34</v>
      </c>
      <c r="B58" s="289">
        <f>SUM(B51:B57)*InfoInicial!$B$15</f>
        <v>3149539.844</v>
      </c>
      <c r="C58" s="289">
        <f>SUM(C51:C57)*InfoInicial!$B$15</f>
        <v>3206341.984</v>
      </c>
      <c r="D58" s="289">
        <f>SUM(D51:D57)*InfoInicial!$B$15</f>
        <v>3206341.984</v>
      </c>
      <c r="E58" s="289">
        <f>SUM(E51:E57)*InfoInicial!$B$15</f>
        <v>3206807.452</v>
      </c>
      <c r="F58" s="289">
        <f>SUM(F51:F57)*InfoInicial!$B$15</f>
        <v>3206807.452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97"/>
      <c r="B59" s="437"/>
      <c r="C59" s="437"/>
      <c r="D59" s="437"/>
      <c r="E59" s="437"/>
      <c r="F59" s="44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95" t="s">
        <v>317</v>
      </c>
      <c r="B60" s="442">
        <f t="shared" ref="B60:F60" si="10">SUM(B51:B58)</f>
        <v>45143404.43</v>
      </c>
      <c r="C60" s="442">
        <f t="shared" si="10"/>
        <v>45957568.44</v>
      </c>
      <c r="D60" s="442">
        <f t="shared" si="10"/>
        <v>45957568.44</v>
      </c>
      <c r="E60" s="442">
        <f t="shared" si="10"/>
        <v>45964240.14</v>
      </c>
      <c r="F60" s="442">
        <f t="shared" si="10"/>
        <v>45964240.14</v>
      </c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95"/>
      <c r="B61" s="442"/>
      <c r="C61" s="442"/>
      <c r="D61" s="442"/>
      <c r="E61" s="442"/>
      <c r="F61" s="445"/>
      <c r="G61" s="381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326" t="s">
        <v>254</v>
      </c>
      <c r="B62" s="447">
        <v>1.0</v>
      </c>
      <c r="C62" s="447">
        <v>1.0</v>
      </c>
      <c r="D62" s="447">
        <v>1.0</v>
      </c>
      <c r="E62" s="447">
        <v>1.0</v>
      </c>
      <c r="F62" s="447">
        <v>1.0</v>
      </c>
      <c r="G62" s="381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126" t="s">
        <v>257</v>
      </c>
      <c r="B63" s="405">
        <v>0.0</v>
      </c>
      <c r="C63" s="405">
        <v>0.0</v>
      </c>
      <c r="D63" s="405">
        <v>0.0</v>
      </c>
      <c r="E63" s="405">
        <v>0.0</v>
      </c>
      <c r="F63" s="405">
        <v>0.0</v>
      </c>
      <c r="G63" s="381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119"/>
      <c r="B66" s="121" t="s">
        <v>320</v>
      </c>
      <c r="C66" s="121"/>
      <c r="D66" s="121"/>
      <c r="E66" s="121"/>
      <c r="F66" s="41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412" t="s">
        <v>227</v>
      </c>
      <c r="B67" s="91" t="s">
        <v>83</v>
      </c>
      <c r="C67" s="91" t="s">
        <v>228</v>
      </c>
      <c r="D67" s="91" t="s">
        <v>229</v>
      </c>
      <c r="E67" s="91" t="s">
        <v>230</v>
      </c>
      <c r="F67" s="92" t="s">
        <v>231</v>
      </c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93" t="s">
        <v>246</v>
      </c>
      <c r="B68" s="277">
        <f>'Calculos auxiliares'!K134</f>
        <v>982350</v>
      </c>
      <c r="C68" s="277">
        <f>'Calculos auxiliares'!$K$133</f>
        <v>1065600</v>
      </c>
      <c r="D68" s="277">
        <f>'Calculos auxiliares'!$K$133</f>
        <v>1065600</v>
      </c>
      <c r="E68" s="277">
        <f>'Calculos auxiliares'!$K$133</f>
        <v>1065600</v>
      </c>
      <c r="F68" s="277">
        <f>'Calculos auxiliares'!$K$133</f>
        <v>1065600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97" t="s">
        <v>303</v>
      </c>
      <c r="B69" s="420">
        <f>SUMPRODUCT('E-Inv AF y Am'!D43:D50,'E-Inv AF y Am'!J43:J50)+'E-Inv AF y Am'!E53*'E-Inv AF y Am'!J53</f>
        <v>802249.8928</v>
      </c>
      <c r="C69" s="300">
        <f>SUMPRODUCT('E-Inv AF y Am'!D43:D50,'E-Inv AF y Am'!J43:J50)+'E-Inv AF y Am'!E53*'E-Inv AF y Am'!J53</f>
        <v>802249.8928</v>
      </c>
      <c r="D69" s="300">
        <f>SUMPRODUCT('E-Inv AF y Am'!D43:D50,'E-Inv AF y Am'!J43:J50)+'E-Inv AF y Am'!E53*'E-Inv AF y Am'!J53</f>
        <v>802249.8928</v>
      </c>
      <c r="E69" s="300">
        <f>SUMPRODUCT('E-Inv AF y Am'!D43:D50,'E-Inv AF y Am'!J43:J50)+'E-Inv AF y Am'!E53*'E-Inv AF y Am'!J53</f>
        <v>802249.8928</v>
      </c>
      <c r="F69" s="300">
        <f>SUMPRODUCT('E-Inv AF y Am'!D43:D50,'E-Inv AF y Am'!J43:J50)+'E-Inv AF y Am'!E53*'E-Inv AF y Am'!J53</f>
        <v>802249.8928</v>
      </c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97" t="s">
        <v>235</v>
      </c>
      <c r="B70" s="289">
        <f>'Calculos auxiliares'!J167</f>
        <v>89123.46067</v>
      </c>
      <c r="C70" s="289">
        <f>'Calculos auxiliares'!$K$167</f>
        <v>95808.52089</v>
      </c>
      <c r="D70" s="289">
        <f>'Calculos auxiliares'!$K$167</f>
        <v>95808.52089</v>
      </c>
      <c r="E70" s="289">
        <f>'Calculos auxiliares'!$L$167</f>
        <v>100353.3594</v>
      </c>
      <c r="F70" s="289">
        <f>'Calculos auxiliares'!$L$167</f>
        <v>100353.3594</v>
      </c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97" t="s">
        <v>331</v>
      </c>
      <c r="B71" s="289">
        <f>'Calculos auxiliares'!O202</f>
        <v>77131.31186</v>
      </c>
      <c r="C71" s="289">
        <f>'Calculos auxiliares'!$O$201</f>
        <v>77268.07045</v>
      </c>
      <c r="D71" s="289">
        <f>'Calculos auxiliares'!$O$201</f>
        <v>77268.07045</v>
      </c>
      <c r="E71" s="289">
        <f>'Calculos auxiliares'!$O$201</f>
        <v>77268.07045</v>
      </c>
      <c r="F71" s="289">
        <f>'Calculos auxiliares'!$O$201</f>
        <v>77268.07045</v>
      </c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97" t="s">
        <v>308</v>
      </c>
      <c r="B72" s="279">
        <v>0.0</v>
      </c>
      <c r="C72" s="279">
        <v>0.0</v>
      </c>
      <c r="D72" s="279">
        <v>0.0</v>
      </c>
      <c r="E72" s="279">
        <v>0.0</v>
      </c>
      <c r="F72" s="279">
        <v>0.0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97" t="s">
        <v>310</v>
      </c>
      <c r="B73" s="279">
        <v>0.0</v>
      </c>
      <c r="C73" s="279">
        <v>0.0</v>
      </c>
      <c r="D73" s="279">
        <v>0.0</v>
      </c>
      <c r="E73" s="279">
        <v>0.0</v>
      </c>
      <c r="F73" s="279">
        <v>0.0</v>
      </c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457" t="s">
        <v>248</v>
      </c>
      <c r="B74" s="420">
        <f>'Calculos auxiliares'!F275+'Calculos auxiliares'!F276</f>
        <v>10068750</v>
      </c>
      <c r="C74" s="420">
        <f>'Calculos auxiliares'!F275+'Calculos auxiliares'!F277</f>
        <v>11872125</v>
      </c>
      <c r="D74" s="300">
        <f>'Calculos auxiliares'!F275+'Calculos auxiliares'!F277</f>
        <v>11872125</v>
      </c>
      <c r="E74" s="300">
        <f>'Calculos auxiliares'!F275+'Calculos auxiliares'!F277</f>
        <v>11872125</v>
      </c>
      <c r="F74" s="300">
        <f>'Calculos auxiliares'!F275+'Calculos auxiliares'!F277</f>
        <v>11872125</v>
      </c>
      <c r="G74" s="464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457" t="s">
        <v>34</v>
      </c>
      <c r="B75" s="420">
        <f>SUM(B68:B74)*InfoInicial!$B$15</f>
        <v>901470.3499</v>
      </c>
      <c r="C75" s="420">
        <f>SUM(C68:C74)*InfoInicial!$B$15</f>
        <v>1043478.861</v>
      </c>
      <c r="D75" s="420">
        <f>SUM(D68:D74)*InfoInicial!$B$15</f>
        <v>1043478.861</v>
      </c>
      <c r="E75" s="420">
        <f>SUM(E68:E74)*InfoInicial!$B$15</f>
        <v>1043819.724</v>
      </c>
      <c r="F75" s="420">
        <f>SUM(F68:F74)*InfoInicial!$B$15</f>
        <v>1043819.724</v>
      </c>
      <c r="G75" s="464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97"/>
      <c r="B76" s="437"/>
      <c r="C76" s="437"/>
      <c r="D76" s="437"/>
      <c r="E76" s="437"/>
      <c r="F76" s="44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95" t="s">
        <v>342</v>
      </c>
      <c r="B77" s="442">
        <f t="shared" ref="B77:F77" si="11">SUM(B68:B75)</f>
        <v>12921075.02</v>
      </c>
      <c r="C77" s="442">
        <f t="shared" si="11"/>
        <v>14956530.35</v>
      </c>
      <c r="D77" s="442">
        <f t="shared" si="11"/>
        <v>14956530.35</v>
      </c>
      <c r="E77" s="442">
        <f t="shared" si="11"/>
        <v>14961416.05</v>
      </c>
      <c r="F77" s="442">
        <f t="shared" si="11"/>
        <v>14961416.05</v>
      </c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95"/>
      <c r="B78" s="442"/>
      <c r="C78" s="442"/>
      <c r="D78" s="442"/>
      <c r="E78" s="442"/>
      <c r="F78" s="445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326" t="s">
        <v>254</v>
      </c>
      <c r="B79" s="468">
        <f>SUM(B68:B73,B75,'Calculos auxiliares'!F248)/B77</f>
        <v>0.2207499497</v>
      </c>
      <c r="C79" s="468">
        <f>SUM(C68:C73,C75,'Calculos auxiliares'!G248)/C77</f>
        <v>0.2062246573</v>
      </c>
      <c r="D79" s="468">
        <f>SUM(D68:D73,D75,'Calculos auxiliares'!H248)/D77</f>
        <v>0.2062246573</v>
      </c>
      <c r="E79" s="468">
        <f>SUM(E68:E73,E75,'Calculos auxiliares'!I248)/E77</f>
        <v>0.2064839529</v>
      </c>
      <c r="F79" s="468">
        <f>SUM(F68:F73,F75,'Calculos auxiliares'!J248)/F77</f>
        <v>0.2064838674</v>
      </c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126" t="s">
        <v>257</v>
      </c>
      <c r="B80" s="405">
        <f t="shared" ref="B80:F80" si="12">1-B79</f>
        <v>0.7792500503</v>
      </c>
      <c r="C80" s="405">
        <f t="shared" si="12"/>
        <v>0.7937753427</v>
      </c>
      <c r="D80" s="405">
        <f t="shared" si="12"/>
        <v>0.7937753427</v>
      </c>
      <c r="E80" s="405">
        <f t="shared" si="12"/>
        <v>0.7935160471</v>
      </c>
      <c r="F80" s="405">
        <f t="shared" si="12"/>
        <v>0.7935161326</v>
      </c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5.75" customHeight="1">
      <c r="A83" s="473" t="s">
        <v>351</v>
      </c>
      <c r="B83" s="475"/>
      <c r="C83" s="475"/>
      <c r="D83" s="475"/>
      <c r="E83" s="475"/>
      <c r="F83" s="477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97"/>
      <c r="B84" s="274" t="s">
        <v>83</v>
      </c>
      <c r="C84" s="274" t="s">
        <v>228</v>
      </c>
      <c r="D84" s="274" t="s">
        <v>229</v>
      </c>
      <c r="E84" s="274" t="s">
        <v>230</v>
      </c>
      <c r="F84" s="92" t="s">
        <v>231</v>
      </c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97" t="s">
        <v>356</v>
      </c>
      <c r="B85" s="479">
        <v>2.38875E7</v>
      </c>
      <c r="C85" s="479">
        <v>2.818125E7</v>
      </c>
      <c r="D85" s="479">
        <v>2.818125E7</v>
      </c>
      <c r="E85" s="479">
        <v>2.818125E7</v>
      </c>
      <c r="F85" s="479">
        <v>2.818125E7</v>
      </c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97" t="s">
        <v>358</v>
      </c>
      <c r="B86" s="279">
        <f>InfoInicial!$B$20</f>
        <v>14</v>
      </c>
      <c r="C86" s="279">
        <f>InfoInicial!$B$20</f>
        <v>14</v>
      </c>
      <c r="D86" s="279">
        <f>InfoInicial!$B$20</f>
        <v>14</v>
      </c>
      <c r="E86" s="279">
        <f>InfoInicial!$B$20</f>
        <v>14</v>
      </c>
      <c r="F86" s="279">
        <f>InfoInicial!$B$20</f>
        <v>14</v>
      </c>
      <c r="G86" s="363"/>
      <c r="H86" s="363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95" t="s">
        <v>359</v>
      </c>
      <c r="B87" s="289">
        <f t="shared" ref="B87:F87" si="13">B85*B86</f>
        <v>334425000</v>
      </c>
      <c r="C87" s="289">
        <f t="shared" si="13"/>
        <v>394537500</v>
      </c>
      <c r="D87" s="289">
        <f t="shared" si="13"/>
        <v>394537500</v>
      </c>
      <c r="E87" s="289">
        <f t="shared" si="13"/>
        <v>394537500</v>
      </c>
      <c r="F87" s="289">
        <f t="shared" si="13"/>
        <v>394537500</v>
      </c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97"/>
      <c r="B88" s="289"/>
      <c r="C88" s="289"/>
      <c r="D88" s="289"/>
      <c r="E88" s="289"/>
      <c r="F88" s="446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97" t="s">
        <v>362</v>
      </c>
      <c r="B89" s="289">
        <f t="shared" ref="B89:F89" si="14">B7</f>
        <v>203523374.6</v>
      </c>
      <c r="C89" s="289">
        <f t="shared" si="14"/>
        <v>234458329.1</v>
      </c>
      <c r="D89" s="289">
        <f t="shared" si="14"/>
        <v>234458329.1</v>
      </c>
      <c r="E89" s="289">
        <f t="shared" si="14"/>
        <v>234458329.1</v>
      </c>
      <c r="F89" s="289">
        <f t="shared" si="14"/>
        <v>234458329.1</v>
      </c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97" t="s">
        <v>234</v>
      </c>
      <c r="B90" s="289">
        <f t="shared" ref="B90:F90" si="15">B8</f>
        <v>3143520</v>
      </c>
      <c r="C90" s="289">
        <f t="shared" si="15"/>
        <v>3409920</v>
      </c>
      <c r="D90" s="289">
        <f t="shared" si="15"/>
        <v>3409920</v>
      </c>
      <c r="E90" s="289">
        <f t="shared" si="15"/>
        <v>3409920</v>
      </c>
      <c r="F90" s="289">
        <f t="shared" si="15"/>
        <v>3409920</v>
      </c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97" t="s">
        <v>365</v>
      </c>
      <c r="B91" s="289">
        <f t="shared" ref="B91:F91" si="16">SUM(B10:B16)</f>
        <v>14591505.06</v>
      </c>
      <c r="C91" s="289">
        <f t="shared" si="16"/>
        <v>16415829.03</v>
      </c>
      <c r="D91" s="289">
        <f t="shared" si="16"/>
        <v>16415829.03</v>
      </c>
      <c r="E91" s="289">
        <f t="shared" si="16"/>
        <v>16172303.78</v>
      </c>
      <c r="F91" s="289">
        <f t="shared" si="16"/>
        <v>16172303.78</v>
      </c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97"/>
      <c r="B92" s="289"/>
      <c r="C92" s="289"/>
      <c r="D92" s="289"/>
      <c r="E92" s="289"/>
      <c r="F92" s="446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97" t="s">
        <v>367</v>
      </c>
      <c r="B93" s="442">
        <f t="shared" ref="B93:F93" si="17">sum(B89:B91)</f>
        <v>221258399.6</v>
      </c>
      <c r="C93" s="442">
        <f t="shared" si="17"/>
        <v>254284078.1</v>
      </c>
      <c r="D93" s="442">
        <f t="shared" si="17"/>
        <v>254284078.1</v>
      </c>
      <c r="E93" s="442">
        <f t="shared" si="17"/>
        <v>254040552.9</v>
      </c>
      <c r="F93" s="442">
        <f t="shared" si="17"/>
        <v>254040552.9</v>
      </c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97"/>
      <c r="B94" s="289"/>
      <c r="C94" s="289"/>
      <c r="D94" s="289"/>
      <c r="E94" s="289"/>
      <c r="F94" s="446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97" t="s">
        <v>287</v>
      </c>
      <c r="B95" s="289"/>
      <c r="C95" s="289"/>
      <c r="D95" s="289"/>
      <c r="E95" s="289"/>
      <c r="F95" s="446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100" t="s">
        <v>261</v>
      </c>
      <c r="B96" s="390">
        <f>G35</f>
        <v>4367863.602</v>
      </c>
      <c r="C96" s="289"/>
      <c r="D96" s="289"/>
      <c r="E96" s="289"/>
      <c r="F96" s="446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100" t="s">
        <v>292</v>
      </c>
      <c r="B97" s="289">
        <f t="shared" ref="B97:F97" si="18">B41</f>
        <v>765667.2376</v>
      </c>
      <c r="C97" s="289">
        <f t="shared" si="18"/>
        <v>2340.630737</v>
      </c>
      <c r="D97" s="289">
        <f t="shared" si="18"/>
        <v>0</v>
      </c>
      <c r="E97" s="289">
        <f t="shared" si="18"/>
        <v>-358.6396311</v>
      </c>
      <c r="F97" s="289">
        <f t="shared" si="18"/>
        <v>0</v>
      </c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97"/>
      <c r="B98" s="289"/>
      <c r="C98" s="289"/>
      <c r="D98" s="289"/>
      <c r="E98" s="289"/>
      <c r="F98" s="446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95" t="s">
        <v>371</v>
      </c>
      <c r="B99" s="289">
        <f t="shared" ref="B99:F99" si="19">B42</f>
        <v>216124868.8</v>
      </c>
      <c r="C99" s="289">
        <f t="shared" si="19"/>
        <v>254281737.5</v>
      </c>
      <c r="D99" s="289">
        <f t="shared" si="19"/>
        <v>254284078.1</v>
      </c>
      <c r="E99" s="289">
        <f t="shared" si="19"/>
        <v>254040911.5</v>
      </c>
      <c r="F99" s="289">
        <f t="shared" si="19"/>
        <v>254040552.9</v>
      </c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100" t="s">
        <v>372</v>
      </c>
      <c r="B100" s="442">
        <f>'Calculos auxiliares'!F210</f>
        <v>24260325</v>
      </c>
      <c r="C100" s="442">
        <f>'Calculos auxiliares'!$F$212</f>
        <v>28181250</v>
      </c>
      <c r="D100" s="442">
        <f>'Calculos auxiliares'!$F$212</f>
        <v>28181250</v>
      </c>
      <c r="E100" s="442">
        <f>'Calculos auxiliares'!$F$212</f>
        <v>28181250</v>
      </c>
      <c r="F100" s="442">
        <f>'Calculos auxiliares'!$F$212</f>
        <v>28181250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97" t="s">
        <v>373</v>
      </c>
      <c r="B101" s="289">
        <f t="shared" ref="B101:F101" si="20">B43</f>
        <v>8.908572692</v>
      </c>
      <c r="C101" s="289">
        <f t="shared" si="20"/>
        <v>9.02308228</v>
      </c>
      <c r="D101" s="289">
        <f t="shared" si="20"/>
        <v>9.023165336</v>
      </c>
      <c r="E101" s="289">
        <f t="shared" si="20"/>
        <v>9.014536669</v>
      </c>
      <c r="F101" s="289">
        <f t="shared" si="20"/>
        <v>9.014523943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97"/>
      <c r="B102" s="442"/>
      <c r="C102" s="442"/>
      <c r="D102" s="442"/>
      <c r="E102" s="442"/>
      <c r="F102" s="445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97" t="s">
        <v>287</v>
      </c>
      <c r="B103" s="442"/>
      <c r="C103" s="442"/>
      <c r="D103" s="442"/>
      <c r="E103" s="442"/>
      <c r="F103" s="445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505" t="s">
        <v>375</v>
      </c>
      <c r="B104" s="279">
        <v>0.0</v>
      </c>
      <c r="C104" s="289">
        <f t="shared" ref="C104:F104" si="21">B105</f>
        <v>3321338.614</v>
      </c>
      <c r="D104" s="289">
        <f t="shared" si="21"/>
        <v>3364030.651</v>
      </c>
      <c r="E104" s="289">
        <f t="shared" si="21"/>
        <v>3364061.616</v>
      </c>
      <c r="F104" s="289">
        <f t="shared" si="21"/>
        <v>3360844.634</v>
      </c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505" t="s">
        <v>377</v>
      </c>
      <c r="B105" s="289">
        <f t="shared" ref="B105:F105" si="22">($B$100-$B$85)*B101</f>
        <v>3321338.614</v>
      </c>
      <c r="C105" s="289">
        <f t="shared" si="22"/>
        <v>3364030.651</v>
      </c>
      <c r="D105" s="289">
        <f t="shared" si="22"/>
        <v>3364061.616</v>
      </c>
      <c r="E105" s="289">
        <f t="shared" si="22"/>
        <v>3360844.634</v>
      </c>
      <c r="F105" s="289">
        <f t="shared" si="22"/>
        <v>3360839.889</v>
      </c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97" t="s">
        <v>379</v>
      </c>
      <c r="B106" s="289">
        <f>($B$100-$B$85)*B101</f>
        <v>3321338.614</v>
      </c>
      <c r="C106" s="289">
        <f t="shared" ref="C106:F106" si="23">C105-C104</f>
        <v>42692.03719</v>
      </c>
      <c r="D106" s="289">
        <f t="shared" si="23"/>
        <v>30.9654701</v>
      </c>
      <c r="E106" s="289">
        <f t="shared" si="23"/>
        <v>-3216.982647</v>
      </c>
      <c r="F106" s="289">
        <f t="shared" si="23"/>
        <v>-4.744637674</v>
      </c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97"/>
      <c r="B107" s="442"/>
      <c r="C107" s="442"/>
      <c r="D107" s="442"/>
      <c r="E107" s="442"/>
      <c r="F107" s="445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95" t="s">
        <v>380</v>
      </c>
      <c r="B108" s="289">
        <f t="shared" ref="B108:F108" si="24">B99-B106</f>
        <v>212803530.2</v>
      </c>
      <c r="C108" s="289">
        <f t="shared" si="24"/>
        <v>254239045.5</v>
      </c>
      <c r="D108" s="289">
        <f t="shared" si="24"/>
        <v>254284047.2</v>
      </c>
      <c r="E108" s="289">
        <f t="shared" si="24"/>
        <v>254044128.5</v>
      </c>
      <c r="F108" s="289">
        <f t="shared" si="24"/>
        <v>254040557.6</v>
      </c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97"/>
      <c r="B109" s="289"/>
      <c r="C109" s="289"/>
      <c r="D109" s="289"/>
      <c r="E109" s="289"/>
      <c r="F109" s="446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95" t="s">
        <v>384</v>
      </c>
      <c r="B110" s="289">
        <f t="shared" ref="B110:F110" si="25">B60</f>
        <v>45143404.43</v>
      </c>
      <c r="C110" s="289">
        <f t="shared" si="25"/>
        <v>45957568.44</v>
      </c>
      <c r="D110" s="289">
        <f t="shared" si="25"/>
        <v>45957568.44</v>
      </c>
      <c r="E110" s="289">
        <f t="shared" si="25"/>
        <v>45964240.14</v>
      </c>
      <c r="F110" s="289">
        <f t="shared" si="25"/>
        <v>45964240.14</v>
      </c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95" t="s">
        <v>387</v>
      </c>
      <c r="B111" s="442">
        <f t="shared" ref="B111:F111" si="26">B77</f>
        <v>12921075.02</v>
      </c>
      <c r="C111" s="442">
        <f t="shared" si="26"/>
        <v>14956530.35</v>
      </c>
      <c r="D111" s="442">
        <f t="shared" si="26"/>
        <v>14956530.35</v>
      </c>
      <c r="E111" s="442">
        <f t="shared" si="26"/>
        <v>14961416.05</v>
      </c>
      <c r="F111" s="442">
        <f t="shared" si="26"/>
        <v>14961416.05</v>
      </c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97"/>
      <c r="B112" s="442"/>
      <c r="C112" s="442"/>
      <c r="D112" s="442"/>
      <c r="E112" s="442"/>
      <c r="F112" s="445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95" t="s">
        <v>388</v>
      </c>
      <c r="B113" s="442">
        <f t="shared" ref="B113:F113" si="27">B108+B110+B111</f>
        <v>270868009.6</v>
      </c>
      <c r="C113" s="442">
        <f t="shared" si="27"/>
        <v>315153144.2</v>
      </c>
      <c r="D113" s="442">
        <f t="shared" si="27"/>
        <v>315198145.9</v>
      </c>
      <c r="E113" s="442">
        <f t="shared" si="27"/>
        <v>314969784.7</v>
      </c>
      <c r="F113" s="442">
        <f t="shared" si="27"/>
        <v>314966213.8</v>
      </c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97"/>
      <c r="B114" s="442"/>
      <c r="C114" s="442"/>
      <c r="D114" s="442"/>
      <c r="E114" s="442"/>
      <c r="F114" s="445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95" t="s">
        <v>392</v>
      </c>
      <c r="B115" s="442">
        <f t="shared" ref="B115:F115" si="28">B113/B85</f>
        <v>11.33932013</v>
      </c>
      <c r="C115" s="442">
        <f t="shared" si="28"/>
        <v>11.18307897</v>
      </c>
      <c r="D115" s="442">
        <f t="shared" si="28"/>
        <v>11.18467584</v>
      </c>
      <c r="E115" s="442">
        <f t="shared" si="28"/>
        <v>11.17657253</v>
      </c>
      <c r="F115" s="442">
        <f t="shared" si="28"/>
        <v>11.17644582</v>
      </c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97"/>
      <c r="B116" s="442"/>
      <c r="C116" s="442"/>
      <c r="D116" s="442"/>
      <c r="E116" s="442"/>
      <c r="F116" s="445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95" t="s">
        <v>395</v>
      </c>
      <c r="B117" s="442">
        <f t="shared" ref="B117:F117" si="29">B87-B113</f>
        <v>63556990.39</v>
      </c>
      <c r="C117" s="442">
        <f t="shared" si="29"/>
        <v>79384355.76</v>
      </c>
      <c r="D117" s="442">
        <f t="shared" si="29"/>
        <v>79339354.06</v>
      </c>
      <c r="E117" s="442">
        <f t="shared" si="29"/>
        <v>79567715.32</v>
      </c>
      <c r="F117" s="442">
        <f t="shared" si="29"/>
        <v>79571286.19</v>
      </c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95" t="s">
        <v>11</v>
      </c>
      <c r="B118" s="442">
        <f>B117*InfoInicial!$B$5</f>
        <v>1588924.76</v>
      </c>
      <c r="C118" s="442">
        <f>C117*InfoInicial!$B$5</f>
        <v>1984608.894</v>
      </c>
      <c r="D118" s="442">
        <f>D117*InfoInicial!$B$5</f>
        <v>1983483.851</v>
      </c>
      <c r="E118" s="442">
        <f>E117*InfoInicial!$B$5</f>
        <v>1989192.883</v>
      </c>
      <c r="F118" s="442">
        <f>F117*InfoInicial!$B$5</f>
        <v>1989282.155</v>
      </c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188" t="s">
        <v>399</v>
      </c>
      <c r="B119" s="442">
        <f>(B117-B118)*InfoInicial!$B$4</f>
        <v>21688822.97</v>
      </c>
      <c r="C119" s="442">
        <f>(C117-C118)*InfoInicial!$B$4</f>
        <v>27089911.4</v>
      </c>
      <c r="D119" s="442">
        <f>(D117-D118)*InfoInicial!$B$4</f>
        <v>27074554.57</v>
      </c>
      <c r="E119" s="442">
        <f>(E117-E118)*InfoInicial!$B$4</f>
        <v>27152482.85</v>
      </c>
      <c r="F119" s="442">
        <f>(F117-F118)*InfoInicial!$B$4</f>
        <v>27153701.41</v>
      </c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95"/>
      <c r="B120" s="442"/>
      <c r="C120" s="442"/>
      <c r="D120" s="442"/>
      <c r="E120" s="442"/>
      <c r="F120" s="445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188" t="s">
        <v>405</v>
      </c>
      <c r="B121" s="442">
        <f t="shared" ref="B121:F121" si="30">B117-B118-B119</f>
        <v>40279242.66</v>
      </c>
      <c r="C121" s="442">
        <f t="shared" si="30"/>
        <v>50309835.46</v>
      </c>
      <c r="D121" s="442">
        <f t="shared" si="30"/>
        <v>50281315.63</v>
      </c>
      <c r="E121" s="442">
        <f t="shared" si="30"/>
        <v>50426039.58</v>
      </c>
      <c r="F121" s="442">
        <f t="shared" si="30"/>
        <v>50428302.63</v>
      </c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95" t="s">
        <v>407</v>
      </c>
      <c r="B122" s="542">
        <f t="shared" ref="B122:F122" si="31">B121/B87</f>
        <v>0.1204432762</v>
      </c>
      <c r="C122" s="542">
        <f t="shared" si="31"/>
        <v>0.1275159787</v>
      </c>
      <c r="D122" s="542">
        <f t="shared" si="31"/>
        <v>0.127443692</v>
      </c>
      <c r="E122" s="542">
        <f t="shared" si="31"/>
        <v>0.1278105113</v>
      </c>
      <c r="F122" s="542">
        <f t="shared" si="31"/>
        <v>0.1278162472</v>
      </c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95"/>
      <c r="B123" s="542"/>
      <c r="C123" s="542"/>
      <c r="D123" s="542"/>
      <c r="E123" s="542"/>
      <c r="F123" s="545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95" t="s">
        <v>408</v>
      </c>
      <c r="B124" s="542"/>
      <c r="C124" s="542"/>
      <c r="D124" s="542"/>
      <c r="E124" s="542"/>
      <c r="F124" s="545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188" t="s">
        <v>409</v>
      </c>
      <c r="B125" s="547">
        <f t="shared" ref="B125:F125" si="32">B117</f>
        <v>63556990.39</v>
      </c>
      <c r="C125" s="547">
        <f t="shared" si="32"/>
        <v>79384355.76</v>
      </c>
      <c r="D125" s="547">
        <f t="shared" si="32"/>
        <v>79339354.06</v>
      </c>
      <c r="E125" s="547">
        <f t="shared" si="32"/>
        <v>79567715.32</v>
      </c>
      <c r="F125" s="547">
        <f t="shared" si="32"/>
        <v>79571286.19</v>
      </c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95" t="s">
        <v>410</v>
      </c>
      <c r="B126" s="547">
        <f t="shared" ref="B126:F126" si="33">B10+B52+B69</f>
        <v>3038352.438</v>
      </c>
      <c r="C126" s="547">
        <f t="shared" si="33"/>
        <v>3038352.438</v>
      </c>
      <c r="D126" s="547">
        <f t="shared" si="33"/>
        <v>3038352.438</v>
      </c>
      <c r="E126" s="547">
        <f t="shared" si="33"/>
        <v>2811775.408</v>
      </c>
      <c r="F126" s="547">
        <f t="shared" si="33"/>
        <v>2811775.408</v>
      </c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126" t="s">
        <v>190</v>
      </c>
      <c r="B127" s="547">
        <f t="shared" ref="B127:F127" si="34">B125-B126</f>
        <v>60518637.95</v>
      </c>
      <c r="C127" s="547">
        <f t="shared" si="34"/>
        <v>76346003.32</v>
      </c>
      <c r="D127" s="547">
        <f t="shared" si="34"/>
        <v>76301001.62</v>
      </c>
      <c r="E127" s="547">
        <f t="shared" si="34"/>
        <v>76755939.91</v>
      </c>
      <c r="F127" s="547">
        <f t="shared" si="34"/>
        <v>76759510.79</v>
      </c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95"/>
      <c r="B128" s="98"/>
      <c r="C128" s="98"/>
      <c r="D128" s="98"/>
      <c r="E128" s="98"/>
      <c r="F128" s="291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95" t="s">
        <v>412</v>
      </c>
      <c r="B129" s="98">
        <f t="shared" ref="B129:F129" si="35">B17*B19</f>
        <v>3787443.288</v>
      </c>
      <c r="C129" s="98">
        <f t="shared" si="35"/>
        <v>4016557.751</v>
      </c>
      <c r="D129" s="98">
        <f t="shared" si="35"/>
        <v>4016557.751</v>
      </c>
      <c r="E129" s="98">
        <f t="shared" si="35"/>
        <v>3772990.587</v>
      </c>
      <c r="F129" s="98">
        <f t="shared" si="35"/>
        <v>3772990.587</v>
      </c>
      <c r="G129" s="557"/>
      <c r="H129" s="557"/>
      <c r="I129" s="557"/>
      <c r="J129" s="557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188" t="s">
        <v>414</v>
      </c>
      <c r="B130" s="98">
        <f t="shared" ref="B130:F130" si="36">B17*B20*B85/B100</f>
        <v>214128931.5</v>
      </c>
      <c r="C130" s="98">
        <f t="shared" si="36"/>
        <v>250267520.4</v>
      </c>
      <c r="D130" s="98">
        <f t="shared" si="36"/>
        <v>250267520.4</v>
      </c>
      <c r="E130" s="98">
        <f t="shared" si="36"/>
        <v>250267562.3</v>
      </c>
      <c r="F130" s="98">
        <f t="shared" si="36"/>
        <v>250267562.3</v>
      </c>
      <c r="G130" s="559"/>
      <c r="H130" s="557"/>
      <c r="I130" s="557"/>
      <c r="J130" s="557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95" t="s">
        <v>417</v>
      </c>
      <c r="B131" s="98">
        <f t="shared" ref="B131:F131" si="37">B60*B62</f>
        <v>45143404.43</v>
      </c>
      <c r="C131" s="98">
        <f t="shared" si="37"/>
        <v>45957568.44</v>
      </c>
      <c r="D131" s="98">
        <f t="shared" si="37"/>
        <v>45957568.44</v>
      </c>
      <c r="E131" s="98">
        <f t="shared" si="37"/>
        <v>45964240.14</v>
      </c>
      <c r="F131" s="98">
        <f t="shared" si="37"/>
        <v>45964240.14</v>
      </c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188" t="s">
        <v>418</v>
      </c>
      <c r="B132" s="564">
        <f t="shared" ref="B132:F132" si="38">B60*B63</f>
        <v>0</v>
      </c>
      <c r="C132" s="564">
        <f t="shared" si="38"/>
        <v>0</v>
      </c>
      <c r="D132" s="564">
        <f t="shared" si="38"/>
        <v>0</v>
      </c>
      <c r="E132" s="564">
        <f t="shared" si="38"/>
        <v>0</v>
      </c>
      <c r="F132" s="564">
        <f t="shared" si="38"/>
        <v>0</v>
      </c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95" t="s">
        <v>419</v>
      </c>
      <c r="B133" s="98">
        <f t="shared" ref="B133:F133" si="39">B77*B79</f>
        <v>2852326.66</v>
      </c>
      <c r="C133" s="98">
        <f t="shared" si="39"/>
        <v>3084405.346</v>
      </c>
      <c r="D133" s="98">
        <f t="shared" si="39"/>
        <v>3084405.346</v>
      </c>
      <c r="E133" s="98">
        <f t="shared" si="39"/>
        <v>3089292.327</v>
      </c>
      <c r="F133" s="98">
        <f t="shared" si="39"/>
        <v>3089291.047</v>
      </c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188" t="s">
        <v>421</v>
      </c>
      <c r="B134" s="101">
        <f t="shared" ref="B134:F134" si="40">B77*B80</f>
        <v>10068748.36</v>
      </c>
      <c r="C134" s="101">
        <f t="shared" si="40"/>
        <v>11872125</v>
      </c>
      <c r="D134" s="101">
        <f t="shared" si="40"/>
        <v>11872125</v>
      </c>
      <c r="E134" s="101">
        <f t="shared" si="40"/>
        <v>11872123.72</v>
      </c>
      <c r="F134" s="101">
        <f t="shared" si="40"/>
        <v>11872125</v>
      </c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95" t="s">
        <v>423</v>
      </c>
      <c r="B135" s="98">
        <f t="shared" ref="B135:F135" si="41">B87-B130-B132-B134</f>
        <v>110227320.2</v>
      </c>
      <c r="C135" s="98">
        <f t="shared" si="41"/>
        <v>132397854.6</v>
      </c>
      <c r="D135" s="98">
        <f t="shared" si="41"/>
        <v>132397854.6</v>
      </c>
      <c r="E135" s="98">
        <f t="shared" si="41"/>
        <v>132397814</v>
      </c>
      <c r="F135" s="98">
        <f t="shared" si="41"/>
        <v>132397812.7</v>
      </c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126" t="s">
        <v>424</v>
      </c>
      <c r="B136" s="117"/>
      <c r="C136" s="117"/>
      <c r="D136" s="117"/>
      <c r="E136" s="117"/>
      <c r="F136" s="575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5.75" customHeight="1">
      <c r="A137" s="577" t="s">
        <v>425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580" t="s">
        <v>83</v>
      </c>
      <c r="B140" s="582"/>
      <c r="C140" s="582"/>
      <c r="D140" s="582"/>
      <c r="E140" s="584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585" t="s">
        <v>21</v>
      </c>
      <c r="B141" s="587" t="s">
        <v>430</v>
      </c>
      <c r="C141" s="587" t="s">
        <v>431</v>
      </c>
      <c r="D141" s="587" t="s">
        <v>432</v>
      </c>
      <c r="E141" s="587" t="s">
        <v>433</v>
      </c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589">
        <v>0.0</v>
      </c>
      <c r="B142" s="591">
        <f t="shared" ref="B142:B158" si="42">B$129+B$131+B$133</f>
        <v>51783174.38</v>
      </c>
      <c r="C142" s="502">
        <f t="shared" ref="C142:C158" si="43">A142*(B$130+B$132+B$134)/B$85</f>
        <v>0</v>
      </c>
      <c r="D142" s="591">
        <f t="shared" ref="D142:D158" si="44">B142+C142</f>
        <v>51783174.38</v>
      </c>
      <c r="E142" s="594">
        <f t="shared" ref="E142:E158" si="45">A142*$B$86</f>
        <v>0</v>
      </c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596">
        <v>100000.0</v>
      </c>
      <c r="B143" s="591">
        <f t="shared" si="42"/>
        <v>51783174.38</v>
      </c>
      <c r="C143" s="502">
        <f t="shared" si="43"/>
        <v>938556.4828</v>
      </c>
      <c r="D143" s="591">
        <f t="shared" si="44"/>
        <v>52721730.86</v>
      </c>
      <c r="E143" s="594">
        <f t="shared" si="45"/>
        <v>1400000</v>
      </c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596">
        <v>200000.0</v>
      </c>
      <c r="B144" s="591">
        <f t="shared" si="42"/>
        <v>51783174.38</v>
      </c>
      <c r="C144" s="502">
        <f t="shared" si="43"/>
        <v>1877112.966</v>
      </c>
      <c r="D144" s="591">
        <f t="shared" si="44"/>
        <v>53660287.34</v>
      </c>
      <c r="E144" s="594">
        <f t="shared" si="45"/>
        <v>2800000</v>
      </c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596">
        <v>300000.0</v>
      </c>
      <c r="B145" s="591">
        <f t="shared" si="42"/>
        <v>51783174.38</v>
      </c>
      <c r="C145" s="502">
        <f t="shared" si="43"/>
        <v>2815669.448</v>
      </c>
      <c r="D145" s="591">
        <f t="shared" si="44"/>
        <v>54598843.82</v>
      </c>
      <c r="E145" s="594">
        <f t="shared" si="45"/>
        <v>4200000</v>
      </c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596">
        <v>400000.0</v>
      </c>
      <c r="B146" s="591">
        <f t="shared" si="42"/>
        <v>51783174.38</v>
      </c>
      <c r="C146" s="502">
        <f t="shared" si="43"/>
        <v>3754225.931</v>
      </c>
      <c r="D146" s="591">
        <f t="shared" si="44"/>
        <v>55537400.31</v>
      </c>
      <c r="E146" s="594">
        <f t="shared" si="45"/>
        <v>5600000</v>
      </c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596">
        <v>500000.0</v>
      </c>
      <c r="B147" s="591">
        <f t="shared" si="42"/>
        <v>51783174.38</v>
      </c>
      <c r="C147" s="502">
        <f t="shared" si="43"/>
        <v>4692782.414</v>
      </c>
      <c r="D147" s="591">
        <f t="shared" si="44"/>
        <v>56475956.79</v>
      </c>
      <c r="E147" s="594">
        <f t="shared" si="45"/>
        <v>7000000</v>
      </c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596">
        <v>600000.0</v>
      </c>
      <c r="B148" s="591">
        <f t="shared" si="42"/>
        <v>51783174.38</v>
      </c>
      <c r="C148" s="502">
        <f t="shared" si="43"/>
        <v>5631338.897</v>
      </c>
      <c r="D148" s="591">
        <f t="shared" si="44"/>
        <v>57414513.27</v>
      </c>
      <c r="E148" s="594">
        <f t="shared" si="45"/>
        <v>8400000</v>
      </c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596">
        <v>700000.0</v>
      </c>
      <c r="B149" s="591">
        <f t="shared" si="42"/>
        <v>51783174.38</v>
      </c>
      <c r="C149" s="502">
        <f t="shared" si="43"/>
        <v>6569895.38</v>
      </c>
      <c r="D149" s="591">
        <f t="shared" si="44"/>
        <v>58353069.76</v>
      </c>
      <c r="E149" s="594">
        <f t="shared" si="45"/>
        <v>9800000</v>
      </c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596">
        <v>800000.0</v>
      </c>
      <c r="B150" s="591">
        <f t="shared" si="42"/>
        <v>51783174.38</v>
      </c>
      <c r="C150" s="502">
        <f t="shared" si="43"/>
        <v>7508451.862</v>
      </c>
      <c r="D150" s="591">
        <f t="shared" si="44"/>
        <v>59291626.24</v>
      </c>
      <c r="E150" s="594">
        <f t="shared" si="45"/>
        <v>11200000</v>
      </c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596">
        <v>900000.0</v>
      </c>
      <c r="B151" s="591">
        <f t="shared" si="42"/>
        <v>51783174.38</v>
      </c>
      <c r="C151" s="502">
        <f t="shared" si="43"/>
        <v>8447008.345</v>
      </c>
      <c r="D151" s="591">
        <f t="shared" si="44"/>
        <v>60230182.72</v>
      </c>
      <c r="E151" s="594">
        <f t="shared" si="45"/>
        <v>12600000</v>
      </c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596">
        <v>1000000.0</v>
      </c>
      <c r="B152" s="591">
        <f t="shared" si="42"/>
        <v>51783174.38</v>
      </c>
      <c r="C152" s="502">
        <f t="shared" si="43"/>
        <v>9385564.828</v>
      </c>
      <c r="D152" s="591">
        <f t="shared" si="44"/>
        <v>61168739.2</v>
      </c>
      <c r="E152" s="594">
        <f t="shared" si="45"/>
        <v>14000000</v>
      </c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596">
        <v>1100000.0</v>
      </c>
      <c r="B153" s="591">
        <f t="shared" si="42"/>
        <v>51783174.38</v>
      </c>
      <c r="C153" s="502">
        <f t="shared" si="43"/>
        <v>10324121.31</v>
      </c>
      <c r="D153" s="591">
        <f t="shared" si="44"/>
        <v>62107295.69</v>
      </c>
      <c r="E153" s="594">
        <f t="shared" si="45"/>
        <v>15400000</v>
      </c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596">
        <v>1200000.0</v>
      </c>
      <c r="B154" s="591">
        <f t="shared" si="42"/>
        <v>51783174.38</v>
      </c>
      <c r="C154" s="502">
        <f t="shared" si="43"/>
        <v>11262677.79</v>
      </c>
      <c r="D154" s="591">
        <f t="shared" si="44"/>
        <v>63045852.17</v>
      </c>
      <c r="E154" s="594">
        <f t="shared" si="45"/>
        <v>16800000</v>
      </c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596">
        <v>1300000.0</v>
      </c>
      <c r="B155" s="591">
        <f t="shared" si="42"/>
        <v>51783174.38</v>
      </c>
      <c r="C155" s="502">
        <f t="shared" si="43"/>
        <v>12201234.28</v>
      </c>
      <c r="D155" s="591">
        <f t="shared" si="44"/>
        <v>63984408.65</v>
      </c>
      <c r="E155" s="594">
        <f t="shared" si="45"/>
        <v>18200000</v>
      </c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596">
        <v>1400000.0</v>
      </c>
      <c r="B156" s="591">
        <f t="shared" si="42"/>
        <v>51783174.38</v>
      </c>
      <c r="C156" s="502">
        <f t="shared" si="43"/>
        <v>13139790.76</v>
      </c>
      <c r="D156" s="591">
        <f t="shared" si="44"/>
        <v>64922965.13</v>
      </c>
      <c r="E156" s="594">
        <f t="shared" si="45"/>
        <v>19600000</v>
      </c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596">
        <v>1500000.0</v>
      </c>
      <c r="B157" s="591">
        <f t="shared" si="42"/>
        <v>51783174.38</v>
      </c>
      <c r="C157" s="502">
        <f t="shared" si="43"/>
        <v>14078347.24</v>
      </c>
      <c r="D157" s="591">
        <f t="shared" si="44"/>
        <v>65861521.62</v>
      </c>
      <c r="E157" s="594">
        <f t="shared" si="45"/>
        <v>21000000</v>
      </c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596">
        <v>1600000.0</v>
      </c>
      <c r="B158" s="591">
        <f t="shared" si="42"/>
        <v>51783174.38</v>
      </c>
      <c r="C158" s="502">
        <f t="shared" si="43"/>
        <v>15016903.72</v>
      </c>
      <c r="D158" s="591">
        <f t="shared" si="44"/>
        <v>66800078.1</v>
      </c>
      <c r="E158" s="594">
        <f t="shared" si="45"/>
        <v>22400000</v>
      </c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616" t="s">
        <v>450</v>
      </c>
      <c r="B159" s="617">
        <f>($B$129+$B$131+$B$133)/(B135/$B$85)</f>
        <v>11221996.29</v>
      </c>
      <c r="C159" s="582"/>
      <c r="D159" s="619" t="s">
        <v>454</v>
      </c>
      <c r="E159" s="62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580" t="s">
        <v>231</v>
      </c>
      <c r="B162" s="582"/>
      <c r="C162" s="582"/>
      <c r="D162" s="582"/>
      <c r="E162" s="584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585" t="s">
        <v>21</v>
      </c>
      <c r="B163" s="587" t="s">
        <v>430</v>
      </c>
      <c r="C163" s="587" t="s">
        <v>431</v>
      </c>
      <c r="D163" s="587" t="s">
        <v>432</v>
      </c>
      <c r="E163" s="587" t="s">
        <v>433</v>
      </c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589">
        <v>0.0</v>
      </c>
      <c r="B164" s="591">
        <f t="shared" ref="B164:B180" si="46">F$129+F$131+F$133</f>
        <v>52826521.78</v>
      </c>
      <c r="C164" s="624">
        <f t="shared" ref="C164:C180" si="47">A164*($F$130+$F$132+$F$134)/$F$85</f>
        <v>0</v>
      </c>
      <c r="D164" s="591">
        <f t="shared" ref="D164:D180" si="48">SUM(B164+C164)</f>
        <v>52826521.78</v>
      </c>
      <c r="E164" s="626">
        <f t="shared" ref="E164:E180" si="49">A164*$F$86</f>
        <v>0</v>
      </c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596">
        <v>100000.0</v>
      </c>
      <c r="B165" s="591">
        <f t="shared" si="46"/>
        <v>52826521.78</v>
      </c>
      <c r="C165" s="624">
        <f t="shared" si="47"/>
        <v>930191.8378</v>
      </c>
      <c r="D165" s="591">
        <f t="shared" si="48"/>
        <v>53756713.61</v>
      </c>
      <c r="E165" s="626">
        <f t="shared" si="49"/>
        <v>1400000</v>
      </c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596">
        <v>200000.0</v>
      </c>
      <c r="B166" s="591">
        <f t="shared" si="46"/>
        <v>52826521.78</v>
      </c>
      <c r="C166" s="624">
        <f t="shared" si="47"/>
        <v>1860383.676</v>
      </c>
      <c r="D166" s="591">
        <f t="shared" si="48"/>
        <v>54686905.45</v>
      </c>
      <c r="E166" s="626">
        <f t="shared" si="49"/>
        <v>2800000</v>
      </c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596">
        <v>300000.0</v>
      </c>
      <c r="B167" s="591">
        <f t="shared" si="46"/>
        <v>52826521.78</v>
      </c>
      <c r="C167" s="624">
        <f t="shared" si="47"/>
        <v>2790575.513</v>
      </c>
      <c r="D167" s="591">
        <f t="shared" si="48"/>
        <v>55617097.29</v>
      </c>
      <c r="E167" s="626">
        <f t="shared" si="49"/>
        <v>4200000</v>
      </c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596">
        <v>400000.0</v>
      </c>
      <c r="B168" s="591">
        <f t="shared" si="46"/>
        <v>52826521.78</v>
      </c>
      <c r="C168" s="624">
        <f t="shared" si="47"/>
        <v>3720767.351</v>
      </c>
      <c r="D168" s="591">
        <f t="shared" si="48"/>
        <v>56547289.13</v>
      </c>
      <c r="E168" s="626">
        <f t="shared" si="49"/>
        <v>5600000</v>
      </c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596">
        <v>500000.0</v>
      </c>
      <c r="B169" s="591">
        <f t="shared" si="46"/>
        <v>52826521.78</v>
      </c>
      <c r="C169" s="624">
        <f t="shared" si="47"/>
        <v>4650959.189</v>
      </c>
      <c r="D169" s="591">
        <f t="shared" si="48"/>
        <v>57477480.96</v>
      </c>
      <c r="E169" s="626">
        <f t="shared" si="49"/>
        <v>7000000</v>
      </c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596">
        <v>600000.0</v>
      </c>
      <c r="B170" s="591">
        <f t="shared" si="46"/>
        <v>52826521.78</v>
      </c>
      <c r="C170" s="624">
        <f t="shared" si="47"/>
        <v>5581151.027</v>
      </c>
      <c r="D170" s="591">
        <f t="shared" si="48"/>
        <v>58407672.8</v>
      </c>
      <c r="E170" s="626">
        <f t="shared" si="49"/>
        <v>8400000</v>
      </c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596">
        <v>700000.0</v>
      </c>
      <c r="B171" s="591">
        <f t="shared" si="46"/>
        <v>52826521.78</v>
      </c>
      <c r="C171" s="624">
        <f t="shared" si="47"/>
        <v>6511342.864</v>
      </c>
      <c r="D171" s="591">
        <f t="shared" si="48"/>
        <v>59337864.64</v>
      </c>
      <c r="E171" s="626">
        <f t="shared" si="49"/>
        <v>9800000</v>
      </c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596">
        <v>800000.0</v>
      </c>
      <c r="B172" s="591">
        <f t="shared" si="46"/>
        <v>52826521.78</v>
      </c>
      <c r="C172" s="624">
        <f t="shared" si="47"/>
        <v>7441534.702</v>
      </c>
      <c r="D172" s="591">
        <f t="shared" si="48"/>
        <v>60268056.48</v>
      </c>
      <c r="E172" s="626">
        <f t="shared" si="49"/>
        <v>11200000</v>
      </c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596">
        <v>900000.0</v>
      </c>
      <c r="B173" s="591">
        <f t="shared" si="46"/>
        <v>52826521.78</v>
      </c>
      <c r="C173" s="624">
        <f t="shared" si="47"/>
        <v>8371726.54</v>
      </c>
      <c r="D173" s="591">
        <f t="shared" si="48"/>
        <v>61198248.32</v>
      </c>
      <c r="E173" s="626">
        <f t="shared" si="49"/>
        <v>12600000</v>
      </c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596">
        <v>1000000.0</v>
      </c>
      <c r="B174" s="591">
        <f t="shared" si="46"/>
        <v>52826521.78</v>
      </c>
      <c r="C174" s="624">
        <f t="shared" si="47"/>
        <v>9301918.378</v>
      </c>
      <c r="D174" s="591">
        <f t="shared" si="48"/>
        <v>62128440.15</v>
      </c>
      <c r="E174" s="626">
        <f t="shared" si="49"/>
        <v>14000000</v>
      </c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596">
        <v>1100000.0</v>
      </c>
      <c r="B175" s="591">
        <f t="shared" si="46"/>
        <v>52826521.78</v>
      </c>
      <c r="C175" s="624">
        <f t="shared" si="47"/>
        <v>10232110.22</v>
      </c>
      <c r="D175" s="591">
        <f t="shared" si="48"/>
        <v>63058631.99</v>
      </c>
      <c r="E175" s="626">
        <f t="shared" si="49"/>
        <v>15400000</v>
      </c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596">
        <v>1200000.0</v>
      </c>
      <c r="B176" s="591">
        <f t="shared" si="46"/>
        <v>52826521.78</v>
      </c>
      <c r="C176" s="624">
        <f t="shared" si="47"/>
        <v>11162302.05</v>
      </c>
      <c r="D176" s="591">
        <f t="shared" si="48"/>
        <v>63988823.83</v>
      </c>
      <c r="E176" s="626">
        <f t="shared" si="49"/>
        <v>16800000</v>
      </c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596">
        <v>1300000.0</v>
      </c>
      <c r="B177" s="591">
        <f t="shared" si="46"/>
        <v>52826521.78</v>
      </c>
      <c r="C177" s="624">
        <f t="shared" si="47"/>
        <v>12092493.89</v>
      </c>
      <c r="D177" s="591">
        <f t="shared" si="48"/>
        <v>64919015.67</v>
      </c>
      <c r="E177" s="626">
        <f t="shared" si="49"/>
        <v>18200000</v>
      </c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596">
        <v>1400000.0</v>
      </c>
      <c r="B178" s="591">
        <f t="shared" si="46"/>
        <v>52826521.78</v>
      </c>
      <c r="C178" s="624">
        <f t="shared" si="47"/>
        <v>13022685.73</v>
      </c>
      <c r="D178" s="591">
        <f t="shared" si="48"/>
        <v>65849207.5</v>
      </c>
      <c r="E178" s="626">
        <f t="shared" si="49"/>
        <v>19600000</v>
      </c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596">
        <v>1500000.0</v>
      </c>
      <c r="B179" s="591">
        <f t="shared" si="46"/>
        <v>52826521.78</v>
      </c>
      <c r="C179" s="624">
        <f t="shared" si="47"/>
        <v>13952877.57</v>
      </c>
      <c r="D179" s="591">
        <f t="shared" si="48"/>
        <v>66779399.34</v>
      </c>
      <c r="E179" s="626">
        <f t="shared" si="49"/>
        <v>21000000</v>
      </c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596">
        <v>1600000.0</v>
      </c>
      <c r="B180" s="591">
        <f t="shared" si="46"/>
        <v>52826521.78</v>
      </c>
      <c r="C180" s="624">
        <f t="shared" si="47"/>
        <v>14883069.4</v>
      </c>
      <c r="D180" s="591">
        <f t="shared" si="48"/>
        <v>67709591.18</v>
      </c>
      <c r="E180" s="626">
        <f t="shared" si="49"/>
        <v>22400000</v>
      </c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616" t="s">
        <v>450</v>
      </c>
      <c r="B181" s="617">
        <f>(F129+F131+F133)/(F86-((F13+F132+F134)/F100))</f>
        <v>3895015.026</v>
      </c>
      <c r="C181" s="582"/>
      <c r="D181" s="619" t="s">
        <v>454</v>
      </c>
      <c r="E181" s="639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  <row r="1001" ht="12.75" customHeight="1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</row>
    <row r="1002" ht="12.75" customHeight="1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</row>
  </sheetData>
  <mergeCells count="4">
    <mergeCell ref="A140:E140"/>
    <mergeCell ref="B159:C159"/>
    <mergeCell ref="A162:E162"/>
    <mergeCell ref="B181:C18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29"/>
    <col customWidth="1" min="2" max="6" width="14.71"/>
    <col customWidth="1" min="7" max="8" width="11.29"/>
    <col customWidth="1" min="9" max="25" width="10.0"/>
  </cols>
  <sheetData>
    <row r="1" ht="12.75" customHeight="1">
      <c r="A1" s="2" t="s">
        <v>90</v>
      </c>
      <c r="E1" s="4">
        <f>InfoInicial!E1</f>
        <v>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ht="15.75" customHeight="1">
      <c r="A3" s="82" t="s">
        <v>91</v>
      </c>
      <c r="B3" s="83" t="s">
        <v>92</v>
      </c>
      <c r="C3" s="85"/>
      <c r="D3" s="83" t="s">
        <v>94</v>
      </c>
      <c r="E3" s="87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ht="15.75" customHeight="1">
      <c r="A4" s="89"/>
      <c r="B4" s="91" t="s">
        <v>95</v>
      </c>
      <c r="C4" s="91" t="s">
        <v>83</v>
      </c>
      <c r="D4" s="91" t="s">
        <v>95</v>
      </c>
      <c r="E4" s="92" t="s">
        <v>83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ht="12.75" customHeight="1">
      <c r="A5" s="93"/>
      <c r="B5" s="94"/>
      <c r="C5" s="94"/>
      <c r="D5" s="94"/>
      <c r="E5" s="94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12.75" customHeight="1">
      <c r="A6" s="95" t="s">
        <v>98</v>
      </c>
      <c r="B6" s="96"/>
      <c r="C6" s="96"/>
      <c r="D6" s="96"/>
      <c r="E6" s="96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ht="12.75" customHeight="1">
      <c r="A7" s="97" t="s">
        <v>100</v>
      </c>
      <c r="B7" s="98">
        <f>+'Calculos auxiliares'!E4</f>
        <v>3000000</v>
      </c>
      <c r="C7" s="98"/>
      <c r="D7" s="98"/>
      <c r="E7" s="98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ht="12.75" customHeight="1">
      <c r="A8" s="97" t="s">
        <v>102</v>
      </c>
      <c r="B8" s="98">
        <f>+'Calculos auxiliares'!E7</f>
        <v>4479314.295</v>
      </c>
      <c r="C8" s="98"/>
      <c r="D8" s="98"/>
      <c r="E8" s="98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ht="12.75" customHeight="1">
      <c r="A9" s="97" t="s">
        <v>104</v>
      </c>
      <c r="B9" s="98">
        <f>+B8*0.8</f>
        <v>3583451.436</v>
      </c>
      <c r="C9" s="98"/>
      <c r="D9" s="98"/>
      <c r="E9" s="98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ht="12.75" customHeight="1">
      <c r="A10" s="97" t="s">
        <v>105</v>
      </c>
      <c r="B10" s="98"/>
      <c r="C10" s="98"/>
      <c r="D10" s="98"/>
      <c r="E10" s="98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ht="12.75" customHeight="1">
      <c r="A11" s="97" t="s">
        <v>106</v>
      </c>
      <c r="B11" s="98">
        <v>0.0</v>
      </c>
      <c r="C11" s="98"/>
      <c r="D11" s="98"/>
      <c r="E11" s="98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ht="12.75" customHeight="1">
      <c r="A12" s="97" t="s">
        <v>108</v>
      </c>
      <c r="B12" s="98">
        <f>+'Calculos auxiliares'!E16</f>
        <v>2095583</v>
      </c>
      <c r="C12" s="98"/>
      <c r="D12" s="98"/>
      <c r="E12" s="98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ht="12.75" customHeight="1">
      <c r="A13" s="100" t="s">
        <v>109</v>
      </c>
      <c r="B13" s="98">
        <v>0.0</v>
      </c>
      <c r="C13" s="98"/>
      <c r="D13" s="98"/>
      <c r="E13" s="98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ht="12.75" customHeight="1">
      <c r="A14" s="97" t="s">
        <v>112</v>
      </c>
      <c r="B14" s="98">
        <f>3*6000+0.02*'Calculos auxiliares'!E16</f>
        <v>59911.66</v>
      </c>
      <c r="C14" s="98"/>
      <c r="D14" s="98"/>
      <c r="E14" s="98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ht="12.75" customHeight="1">
      <c r="A15" s="97" t="s">
        <v>114</v>
      </c>
      <c r="B15" s="98">
        <f>+'Calculos auxiliares'!E19</f>
        <v>2400000</v>
      </c>
      <c r="C15" s="98"/>
      <c r="D15" s="98"/>
      <c r="E15" s="98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ht="12.75" customHeight="1">
      <c r="A16" s="97" t="s">
        <v>85</v>
      </c>
      <c r="B16" s="98">
        <f>'Calculos auxiliares'!E53</f>
        <v>307580</v>
      </c>
      <c r="C16" s="98"/>
      <c r="D16" s="98"/>
      <c r="E16" s="98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ht="12.75" customHeight="1">
      <c r="A17" s="97" t="s">
        <v>115</v>
      </c>
      <c r="B17" s="101">
        <v>0.0</v>
      </c>
      <c r="C17" s="98"/>
      <c r="D17" s="98"/>
      <c r="E17" s="98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ht="12.75" customHeight="1">
      <c r="A18" s="97" t="s">
        <v>34</v>
      </c>
      <c r="B18" s="98">
        <f>SUM(B7:B17)*InfoInicial!B15</f>
        <v>1194438.029</v>
      </c>
      <c r="C18" s="98"/>
      <c r="D18" s="98"/>
      <c r="E18" s="98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ht="12.75" customHeight="1">
      <c r="A19" s="102"/>
      <c r="B19" s="103"/>
      <c r="C19" s="103"/>
      <c r="D19" s="103"/>
      <c r="E19" s="103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ht="12.75" customHeight="1">
      <c r="A20" s="104" t="s">
        <v>119</v>
      </c>
      <c r="B20" s="105">
        <f>SUM(B7:B18)</f>
        <v>17120278.42</v>
      </c>
      <c r="C20" s="105"/>
      <c r="D20" s="105"/>
      <c r="E20" s="105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ht="12.75" customHeight="1">
      <c r="A21" s="93"/>
      <c r="B21" s="106"/>
      <c r="C21" s="106"/>
      <c r="D21" s="106"/>
      <c r="E21" s="106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ht="12.75" customHeight="1">
      <c r="A22" s="95" t="s">
        <v>125</v>
      </c>
      <c r="B22" s="98"/>
      <c r="C22" s="98"/>
      <c r="D22" s="98"/>
      <c r="E22" s="98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ht="12.75" customHeight="1">
      <c r="A23" s="97" t="s">
        <v>128</v>
      </c>
      <c r="B23" s="101">
        <v>60000.0</v>
      </c>
      <c r="C23" s="98"/>
      <c r="D23" s="98"/>
      <c r="E23" s="98"/>
      <c r="F23" s="107" t="s">
        <v>129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ht="12.75" customHeight="1">
      <c r="A24" s="97" t="s">
        <v>130</v>
      </c>
      <c r="B24" s="101">
        <v>50000.0</v>
      </c>
      <c r="C24" s="98"/>
      <c r="D24" s="98"/>
      <c r="E24" s="98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ht="12.75" customHeight="1">
      <c r="A25" s="97" t="s">
        <v>131</v>
      </c>
      <c r="B25" s="98">
        <f>(20000+20000+30000+40000+25000)*12</f>
        <v>1620000</v>
      </c>
      <c r="C25" s="98"/>
      <c r="D25" s="98"/>
      <c r="E25" s="98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ht="12.75" customHeight="1">
      <c r="A26" s="100" t="s">
        <v>133</v>
      </c>
      <c r="B26" s="98"/>
      <c r="C26" s="98">
        <f>'E-Costos'!G35</f>
        <v>4367863.602</v>
      </c>
      <c r="D26" s="98"/>
      <c r="E26" s="98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ht="12.75" customHeight="1">
      <c r="A27" s="100" t="s">
        <v>135</v>
      </c>
      <c r="B27" s="98">
        <f>4300+2350+2350+3800</f>
        <v>12800</v>
      </c>
      <c r="C27" s="98"/>
      <c r="D27" s="98"/>
      <c r="E27" s="98"/>
      <c r="F27" s="108" t="s">
        <v>137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ht="12.75" customHeight="1">
      <c r="A28" s="100" t="s">
        <v>138</v>
      </c>
      <c r="B28" s="101">
        <v>0.0</v>
      </c>
      <c r="C28" s="98"/>
      <c r="D28" s="98"/>
      <c r="E28" s="98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ht="12.75" customHeight="1">
      <c r="A29" s="97" t="s">
        <v>34</v>
      </c>
      <c r="B29" s="98">
        <f>SUM(B22:C28)*InfoInicial!B15</f>
        <v>458299.7701</v>
      </c>
      <c r="C29" s="98"/>
      <c r="D29" s="98"/>
      <c r="E29" s="98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ht="12.75" customHeight="1">
      <c r="A30" s="102"/>
      <c r="B30" s="103"/>
      <c r="C30" s="103"/>
      <c r="D30" s="103"/>
      <c r="E30" s="103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ht="12.75" customHeight="1">
      <c r="A31" s="104" t="s">
        <v>141</v>
      </c>
      <c r="B31" s="105">
        <f>SUM(B23:B29)</f>
        <v>2201099.77</v>
      </c>
      <c r="C31" s="105">
        <f>SUM(C23:C30)</f>
        <v>4367863.602</v>
      </c>
      <c r="D31" s="105"/>
      <c r="E31" s="105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ht="12.75" customHeight="1">
      <c r="A32" s="93"/>
      <c r="B32" s="106"/>
      <c r="C32" s="106"/>
      <c r="D32" s="106"/>
      <c r="E32" s="106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ht="12.75" customHeight="1">
      <c r="A33" s="95" t="s">
        <v>142</v>
      </c>
      <c r="B33" s="111">
        <f>B20+B31</f>
        <v>19321378.19</v>
      </c>
      <c r="C33" s="98">
        <f>C31</f>
        <v>4367863.602</v>
      </c>
      <c r="D33" s="98"/>
      <c r="E33" s="98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ht="12.75" customHeight="1">
      <c r="A34" s="95" t="s">
        <v>143</v>
      </c>
      <c r="B34" s="111">
        <f>(B33)*0.21</f>
        <v>4057489.42</v>
      </c>
      <c r="C34" s="98">
        <f>'E-IVA '!C13</f>
        <v>903981.9989</v>
      </c>
      <c r="D34" s="98"/>
      <c r="E34" s="98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ht="12.75" customHeight="1">
      <c r="A35" s="95"/>
      <c r="B35" s="111"/>
      <c r="C35" s="98"/>
      <c r="D35" s="98"/>
      <c r="E35" s="98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ht="12.75" customHeight="1">
      <c r="A36" s="115" t="s">
        <v>146</v>
      </c>
      <c r="B36" s="116">
        <f>SUM(B33:C34)</f>
        <v>28650713.21</v>
      </c>
      <c r="C36" s="117">
        <f>C33</f>
        <v>4367863.602</v>
      </c>
      <c r="D36" s="117"/>
      <c r="E36" s="117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ht="12.75" customHeight="1">
      <c r="A39" s="119" t="s">
        <v>152</v>
      </c>
      <c r="B39" s="121" t="s">
        <v>154</v>
      </c>
      <c r="C39" s="121" t="s">
        <v>155</v>
      </c>
      <c r="D39" s="83" t="s">
        <v>156</v>
      </c>
      <c r="E39" s="85"/>
      <c r="F39" s="123" t="s">
        <v>157</v>
      </c>
      <c r="G39" s="80"/>
      <c r="H39" s="124" t="s">
        <v>158</v>
      </c>
      <c r="I39" s="124" t="s">
        <v>159</v>
      </c>
      <c r="J39" s="124" t="s">
        <v>160</v>
      </c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ht="12.75" customHeight="1">
      <c r="A40" s="126"/>
      <c r="B40" s="91" t="s">
        <v>162</v>
      </c>
      <c r="C40" s="91"/>
      <c r="D40" s="91" t="s">
        <v>163</v>
      </c>
      <c r="E40" s="91" t="s">
        <v>164</v>
      </c>
      <c r="F40" s="128"/>
      <c r="G40" s="80"/>
      <c r="H40" s="131"/>
      <c r="I40" s="131"/>
      <c r="J40" s="131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ht="12.75" customHeight="1">
      <c r="A41" s="132" t="s">
        <v>1</v>
      </c>
      <c r="B41" s="133"/>
      <c r="C41" s="134"/>
      <c r="D41" s="134"/>
      <c r="E41" s="134"/>
      <c r="F41" s="136"/>
      <c r="G41" s="80"/>
      <c r="H41" s="137"/>
      <c r="I41" s="138"/>
      <c r="J41" s="138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ht="12.75" customHeight="1">
      <c r="A42" s="142"/>
      <c r="B42" s="144"/>
      <c r="C42" s="106"/>
      <c r="D42" s="106"/>
      <c r="E42" s="106"/>
      <c r="F42" s="145"/>
      <c r="G42" s="80"/>
      <c r="H42" s="137"/>
      <c r="I42" s="138"/>
      <c r="J42" s="138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ht="12.75" customHeight="1">
      <c r="A43" s="97" t="s">
        <v>100</v>
      </c>
      <c r="B43" s="147">
        <f>'Calculos auxiliares'!E4</f>
        <v>3000000</v>
      </c>
      <c r="C43" s="148"/>
      <c r="D43" s="148"/>
      <c r="E43" s="148"/>
      <c r="F43" s="149">
        <v>3000000.0</v>
      </c>
      <c r="G43" s="80"/>
      <c r="H43" s="151">
        <f>'Calculos auxiliares'!$D$70</f>
        <v>0.5845116955</v>
      </c>
      <c r="I43" s="152">
        <f>'Calculos auxiliares'!$D$71</f>
        <v>0.3361966433</v>
      </c>
      <c r="J43" s="152">
        <f>'Calculos auxiliares'!$D$72</f>
        <v>0.07929166116</v>
      </c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ht="12.75" customHeight="1">
      <c r="A44" s="153" t="s">
        <v>102</v>
      </c>
      <c r="B44" s="154">
        <f>'Calculos auxiliares'!E7</f>
        <v>4479314.295</v>
      </c>
      <c r="C44" s="156">
        <f>1/InfoInicial!B8</f>
        <v>0.03333333333</v>
      </c>
      <c r="D44" s="148">
        <f t="shared" ref="D44:D50" si="1">B44*C44</f>
        <v>149310.4765</v>
      </c>
      <c r="E44" s="148">
        <f t="shared" ref="E44:E48" si="2">B44*C44</f>
        <v>149310.4765</v>
      </c>
      <c r="F44" s="160">
        <f t="shared" ref="F44:F50" si="3">B44-D44*3-E44*2</f>
        <v>3732761.912</v>
      </c>
      <c r="G44" s="80"/>
      <c r="H44" s="151">
        <f>'Calculos auxiliares'!$D$70</f>
        <v>0.5845116955</v>
      </c>
      <c r="I44" s="152">
        <f>'Calculos auxiliares'!$D$71</f>
        <v>0.3361966433</v>
      </c>
      <c r="J44" s="152">
        <f>'Calculos auxiliares'!$D$72</f>
        <v>0.07929166116</v>
      </c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ht="12.75" customHeight="1">
      <c r="A45" s="97" t="s">
        <v>104</v>
      </c>
      <c r="B45" s="164">
        <f>B9</f>
        <v>3583451.436</v>
      </c>
      <c r="C45" s="166">
        <f>1/InfoInicial!B9</f>
        <v>0.1</v>
      </c>
      <c r="D45" s="148">
        <f t="shared" si="1"/>
        <v>358345.1436</v>
      </c>
      <c r="E45" s="148">
        <f t="shared" si="2"/>
        <v>358345.1436</v>
      </c>
      <c r="F45" s="160">
        <f t="shared" si="3"/>
        <v>1791725.718</v>
      </c>
      <c r="G45" s="80"/>
      <c r="H45" s="151">
        <f>'Calculos auxiliares'!$D$70</f>
        <v>0.5845116955</v>
      </c>
      <c r="I45" s="152">
        <f>'Calculos auxiliares'!$D$71</f>
        <v>0.3361966433</v>
      </c>
      <c r="J45" s="152">
        <f>'Calculos auxiliares'!$D$72</f>
        <v>0.07929166116</v>
      </c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ht="12.75" customHeight="1">
      <c r="A46" s="100" t="s">
        <v>105</v>
      </c>
      <c r="B46" s="172">
        <f>B12+B14-'Calculos auxiliares'!E65</f>
        <v>2133514.66</v>
      </c>
      <c r="C46" s="166">
        <f>1/InfoInicial!B10</f>
        <v>0.1</v>
      </c>
      <c r="D46" s="148">
        <f t="shared" si="1"/>
        <v>213351.466</v>
      </c>
      <c r="E46" s="148">
        <f t="shared" si="2"/>
        <v>213351.466</v>
      </c>
      <c r="F46" s="160">
        <f t="shared" si="3"/>
        <v>1066757.33</v>
      </c>
      <c r="G46" s="80"/>
      <c r="H46" s="151">
        <v>1.0</v>
      </c>
      <c r="I46" s="152">
        <v>0.0</v>
      </c>
      <c r="J46" s="152">
        <v>0.0</v>
      </c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ht="12.75" customHeight="1">
      <c r="A47" s="100" t="s">
        <v>114</v>
      </c>
      <c r="B47" s="172">
        <f>'Calculos auxiliares'!E19</f>
        <v>2400000</v>
      </c>
      <c r="C47" s="166">
        <f>1/InfoInicial!B11</f>
        <v>0.2</v>
      </c>
      <c r="D47" s="148">
        <f t="shared" si="1"/>
        <v>480000</v>
      </c>
      <c r="E47" s="148">
        <f t="shared" si="2"/>
        <v>480000</v>
      </c>
      <c r="F47" s="160">
        <f t="shared" si="3"/>
        <v>0</v>
      </c>
      <c r="G47" s="80"/>
      <c r="H47" s="151">
        <v>0.0</v>
      </c>
      <c r="I47" s="152">
        <v>0.0</v>
      </c>
      <c r="J47" s="152">
        <v>1.0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ht="12.75" customHeight="1">
      <c r="A48" s="100" t="s">
        <v>85</v>
      </c>
      <c r="B48" s="179">
        <f>'Calculos auxiliares'!E53</f>
        <v>307580</v>
      </c>
      <c r="C48" s="166">
        <f>1/InfoInicial!B12</f>
        <v>0.2</v>
      </c>
      <c r="D48" s="148">
        <f t="shared" si="1"/>
        <v>61516</v>
      </c>
      <c r="E48" s="148">
        <f t="shared" si="2"/>
        <v>61516</v>
      </c>
      <c r="F48" s="160">
        <f t="shared" si="3"/>
        <v>0</v>
      </c>
      <c r="G48" s="80"/>
      <c r="H48" s="151">
        <f>'Calculos auxiliares'!H54</f>
        <v>0.5139475909</v>
      </c>
      <c r="I48" s="152">
        <f>'Calculos auxiliares'!F54</f>
        <v>0.3169907016</v>
      </c>
      <c r="J48" s="152">
        <f>'Calculos auxiliares'!G54</f>
        <v>0.1700370635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ht="12.75" customHeight="1">
      <c r="A49" s="100" t="s">
        <v>34</v>
      </c>
      <c r="B49" s="172">
        <f>B18</f>
        <v>1194438.029</v>
      </c>
      <c r="C49" s="166">
        <f>1/InfoInicial!B13</f>
        <v>0.3333333333</v>
      </c>
      <c r="D49" s="148">
        <f t="shared" si="1"/>
        <v>398146.0098</v>
      </c>
      <c r="E49" s="149">
        <v>0.0</v>
      </c>
      <c r="F49" s="160">
        <f t="shared" si="3"/>
        <v>0</v>
      </c>
      <c r="G49" s="80"/>
      <c r="H49" s="151">
        <f t="shared" ref="H49:J49" si="4">SUMPRODUCT(B43:B48,H43:H48)/SUM(B43:B48)</f>
        <v>0.5506782881</v>
      </c>
      <c r="I49" s="151">
        <f t="shared" si="4"/>
        <v>0.1708805675</v>
      </c>
      <c r="J49" s="151">
        <f t="shared" si="4"/>
        <v>0.4203589331</v>
      </c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ht="12.75" customHeight="1">
      <c r="A50" s="100" t="s">
        <v>144</v>
      </c>
      <c r="B50" s="179">
        <f>'Calculos auxiliares'!E65</f>
        <v>21980</v>
      </c>
      <c r="C50" s="166">
        <f>1/InfoInicial!B13</f>
        <v>0.3333333333</v>
      </c>
      <c r="D50" s="148">
        <f t="shared" si="1"/>
        <v>7326.666667</v>
      </c>
      <c r="E50" s="149">
        <v>0.0</v>
      </c>
      <c r="F50" s="160">
        <f t="shared" si="3"/>
        <v>0</v>
      </c>
      <c r="G50" s="80"/>
      <c r="H50" s="151">
        <v>1.0</v>
      </c>
      <c r="I50" s="152">
        <v>0.0</v>
      </c>
      <c r="J50" s="152">
        <v>0.0</v>
      </c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ht="12.75" customHeight="1">
      <c r="A51" s="188" t="s">
        <v>184</v>
      </c>
      <c r="B51" s="189">
        <f>SUM(B43:B50)</f>
        <v>17120278.42</v>
      </c>
      <c r="C51" s="190"/>
      <c r="D51" s="192">
        <f t="shared" ref="D51:E51" si="5">SUM(D44:D50)</f>
        <v>1667995.762</v>
      </c>
      <c r="E51" s="192">
        <f t="shared" si="5"/>
        <v>1262523.086</v>
      </c>
      <c r="F51" s="194">
        <f>sum(F43:F50)</f>
        <v>9591244.96</v>
      </c>
      <c r="G51" s="80"/>
      <c r="H51" s="137"/>
      <c r="I51" s="138"/>
      <c r="J51" s="138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ht="12.75" customHeight="1">
      <c r="A52" s="97"/>
      <c r="B52" s="196"/>
      <c r="C52" s="196"/>
      <c r="D52" s="148"/>
      <c r="E52" s="148"/>
      <c r="F52" s="160"/>
      <c r="G52" s="80"/>
      <c r="H52" s="137"/>
      <c r="I52" s="138"/>
      <c r="J52" s="138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ht="12.75" customHeight="1">
      <c r="A53" s="188" t="s">
        <v>191</v>
      </c>
      <c r="B53" s="190">
        <f>B31+C31</f>
        <v>6568963.372</v>
      </c>
      <c r="C53" s="198">
        <f>1/InfoInicial!B14</f>
        <v>0.2</v>
      </c>
      <c r="D53" s="190">
        <f>B53*C53</f>
        <v>1313792.674</v>
      </c>
      <c r="E53" s="190">
        <f>B53*C53</f>
        <v>1313792.674</v>
      </c>
      <c r="F53" s="194">
        <f>+B53-D53*3-E53*2</f>
        <v>-0.0000000009313225746</v>
      </c>
      <c r="G53" s="80"/>
      <c r="H53" s="151">
        <f t="shared" ref="H53:J53" si="6">H43</f>
        <v>0.5845116955</v>
      </c>
      <c r="I53" s="152">
        <f t="shared" si="6"/>
        <v>0.3361966433</v>
      </c>
      <c r="J53" s="152">
        <f t="shared" si="6"/>
        <v>0.07929166116</v>
      </c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ht="12.75" customHeight="1">
      <c r="A54" s="188"/>
      <c r="B54" s="148"/>
      <c r="C54" s="148"/>
      <c r="D54" s="148"/>
      <c r="E54" s="148"/>
      <c r="F54" s="160"/>
      <c r="G54" s="80"/>
      <c r="H54" s="137"/>
      <c r="I54" s="138"/>
      <c r="J54" s="138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ht="12.75" customHeight="1">
      <c r="A55" s="95"/>
      <c r="B55" s="148"/>
      <c r="C55" s="148"/>
      <c r="D55" s="200"/>
      <c r="E55" s="196"/>
      <c r="F55" s="202"/>
      <c r="G55" s="203"/>
      <c r="H55" s="204"/>
      <c r="I55" s="138"/>
      <c r="J55" s="138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ht="12.75" customHeight="1">
      <c r="A56" s="115" t="s">
        <v>193</v>
      </c>
      <c r="B56" s="206">
        <f>B51+B53</f>
        <v>23689241.79</v>
      </c>
      <c r="C56" s="206"/>
      <c r="D56" s="206">
        <f t="shared" ref="D56:E56" si="7">D51+D53</f>
        <v>2981788.437</v>
      </c>
      <c r="E56" s="206">
        <f t="shared" si="7"/>
        <v>2576315.76</v>
      </c>
      <c r="F56" s="210">
        <f>-(F51+F53)</f>
        <v>-9591244.96</v>
      </c>
      <c r="G56" s="211"/>
      <c r="H56" s="212"/>
      <c r="I56" s="213"/>
      <c r="J56" s="213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</row>
  </sheetData>
  <mergeCells count="6">
    <mergeCell ref="B3:C3"/>
    <mergeCell ref="D3:E3"/>
    <mergeCell ref="H39:H40"/>
    <mergeCell ref="I39:I40"/>
    <mergeCell ref="J39:J40"/>
    <mergeCell ref="D39:E39"/>
  </mergeCells>
  <conditionalFormatting sqref="F56">
    <cfRule type="notContainsBlanks" dxfId="0" priority="1">
      <formula>LEN(TRIM(F56))&gt;0</formula>
    </cfRule>
  </conditionalFormatting>
  <conditionalFormatting sqref="F56">
    <cfRule type="notContainsBlanks" dxfId="0" priority="2">
      <formula>LEN(TRIM(F56))&gt;0</formula>
    </cfRule>
  </conditionalFormatting>
  <conditionalFormatting sqref="F56">
    <cfRule type="colorScale" priority="3">
      <colorScale>
        <cfvo type="min"/>
        <cfvo type="max"/>
        <color rgb="FF57BB8A"/>
        <color rgb="FFFFFFFF"/>
      </colorScale>
    </cfRule>
  </conditionalFormatting>
  <hyperlinks>
    <hyperlink r:id="rId1" ref="F27"/>
  </hyperlinks>
  <printOptions/>
  <pageMargins bottom="0.75" footer="0.0" header="0.0" left="0.7" right="0.7" top="0.75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43"/>
    <col customWidth="1" min="2" max="2" width="18.14"/>
    <col customWidth="1" min="3" max="3" width="20.0"/>
    <col customWidth="1" min="4" max="4" width="19.43"/>
    <col customWidth="1" min="5" max="7" width="14.71"/>
    <col customWidth="1" min="8" max="26" width="10.0"/>
  </cols>
  <sheetData>
    <row r="1" ht="12.75" customHeight="1">
      <c r="A1" s="2" t="s">
        <v>0</v>
      </c>
      <c r="E1" s="4">
        <f>InfoInicial!E1</f>
        <v>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2.75" customHeight="1">
      <c r="A2" s="2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5.75" customHeight="1">
      <c r="A3" s="269" t="s">
        <v>307</v>
      </c>
      <c r="B3" s="271"/>
      <c r="C3" s="271"/>
      <c r="D3" s="271"/>
      <c r="E3" s="271"/>
      <c r="F3" s="271"/>
      <c r="G3" s="27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2.75" customHeight="1">
      <c r="A4" s="273" t="s">
        <v>227</v>
      </c>
      <c r="B4" s="91" t="s">
        <v>95</v>
      </c>
      <c r="C4" s="91" t="s">
        <v>83</v>
      </c>
      <c r="D4" s="91" t="s">
        <v>228</v>
      </c>
      <c r="E4" s="91" t="s">
        <v>229</v>
      </c>
      <c r="F4" s="91" t="s">
        <v>230</v>
      </c>
      <c r="G4" s="92" t="s">
        <v>231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429" t="s">
        <v>309</v>
      </c>
      <c r="B5" s="277"/>
      <c r="C5" s="277"/>
      <c r="D5" s="277"/>
      <c r="E5" s="277"/>
      <c r="F5" s="277"/>
      <c r="G5" s="431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429" t="s">
        <v>312</v>
      </c>
      <c r="B6" s="289">
        <f>C6*0.8</f>
        <v>5350800</v>
      </c>
      <c r="C6" s="289">
        <f>'E-Costos'!B87*0.02</f>
        <v>6688500</v>
      </c>
      <c r="D6" s="289">
        <f>'E-Costos'!C87*0.02</f>
        <v>7890750</v>
      </c>
      <c r="E6" s="289">
        <f>'E-Costos'!D87*0.02</f>
        <v>7890750</v>
      </c>
      <c r="F6" s="289">
        <f>'E-Costos'!E87*0.02</f>
        <v>7890750</v>
      </c>
      <c r="G6" s="289">
        <f>'E-Costos'!F87*0.02</f>
        <v>7890750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429" t="s">
        <v>314</v>
      </c>
      <c r="B7" s="279">
        <v>0.0</v>
      </c>
      <c r="C7" s="289">
        <f>'E-Costos'!B87*(InfoInicial!$B$39/365)</f>
        <v>27486986.3</v>
      </c>
      <c r="D7" s="289">
        <f>'E-Costos'!C87*(InfoInicial!$B$39/365)</f>
        <v>32427739.73</v>
      </c>
      <c r="E7" s="289">
        <f>'E-Costos'!D87*(InfoInicial!$B$39/365)</f>
        <v>32427739.73</v>
      </c>
      <c r="F7" s="289">
        <f>'E-Costos'!E87*(InfoInicial!$B$39/365)</f>
        <v>32427739.73</v>
      </c>
      <c r="G7" s="289">
        <f>'E-Costos'!F87*(InfoInicial!$B$39/365)</f>
        <v>32427739.73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443"/>
      <c r="B8" s="289"/>
      <c r="C8" s="289"/>
      <c r="D8" s="289"/>
      <c r="E8" s="289"/>
      <c r="F8" s="289"/>
      <c r="G8" s="446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429" t="s">
        <v>318</v>
      </c>
      <c r="B9" s="442">
        <f t="shared" ref="B9:G9" si="1">SUM(B10:B13)</f>
        <v>12478362.11</v>
      </c>
      <c r="C9" s="442">
        <f t="shared" si="1"/>
        <v>57171610.41</v>
      </c>
      <c r="D9" s="442">
        <f t="shared" si="1"/>
        <v>47483665.17</v>
      </c>
      <c r="E9" s="442">
        <f t="shared" si="1"/>
        <v>47483696.13</v>
      </c>
      <c r="F9" s="442">
        <f t="shared" si="1"/>
        <v>47490913.5</v>
      </c>
      <c r="G9" s="442">
        <f t="shared" si="1"/>
        <v>47490908.75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443" t="s">
        <v>319</v>
      </c>
      <c r="B10" s="289">
        <f>'E-Costos'!G25</f>
        <v>4090992.36</v>
      </c>
      <c r="C10" s="289">
        <f>'Calculos auxiliares'!F205*'Calculos auxiliares'!F245</f>
        <v>42600392.37</v>
      </c>
      <c r="D10" s="289">
        <f>'Calculos auxiliares'!$F$206*'Calculos auxiliares'!$F$246</f>
        <v>31295429.13</v>
      </c>
      <c r="E10" s="289">
        <f>'Calculos auxiliares'!$F$206*'Calculos auxiliares'!$F$246</f>
        <v>31295429.13</v>
      </c>
      <c r="F10" s="289">
        <f>'Calculos auxiliares'!$F$206*'Calculos auxiliares'!$F$246</f>
        <v>31295429.13</v>
      </c>
      <c r="G10" s="289">
        <f>'Calculos auxiliares'!$F$206*'Calculos auxiliares'!$F$246</f>
        <v>31295429.13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443" t="s">
        <v>322</v>
      </c>
      <c r="B11" s="289">
        <f>C11*0.8</f>
        <v>8387369.751</v>
      </c>
      <c r="C11" s="289">
        <f>'Calculos auxiliares'!J143+'Calculos auxiliares'!J158+'Calculos auxiliares'!J167</f>
        <v>10484212.19</v>
      </c>
      <c r="D11" s="289">
        <f>'Calculos auxiliares'!$K$158+'Calculos auxiliares'!$K$167+'Calculos auxiliares'!$K$143</f>
        <v>12056197.52</v>
      </c>
      <c r="E11" s="289">
        <f>'Calculos auxiliares'!$K$158+'Calculos auxiliares'!$K$167+'Calculos auxiliares'!$K$143</f>
        <v>12056197.52</v>
      </c>
      <c r="F11" s="289">
        <f>'Calculos auxiliares'!$L$143+'Calculos auxiliares'!$L$158+'Calculos auxiliares'!$L$167</f>
        <v>12066990.5</v>
      </c>
      <c r="G11" s="289">
        <f>'Calculos auxiliares'!$L$143+'Calculos auxiliares'!$L$158+'Calculos auxiliares'!$L$167</f>
        <v>12066990.5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443" t="s">
        <v>326</v>
      </c>
      <c r="B12" s="279">
        <v>0.0</v>
      </c>
      <c r="C12" s="289">
        <f>'E-Costos'!B34</f>
        <v>765667.2376</v>
      </c>
      <c r="D12" s="289">
        <f>'E-Costos'!C34</f>
        <v>768007.8683</v>
      </c>
      <c r="E12" s="289">
        <f>'E-Costos'!D34</f>
        <v>768007.8683</v>
      </c>
      <c r="F12" s="289">
        <f>'E-Costos'!E34</f>
        <v>767649.2287</v>
      </c>
      <c r="G12" s="289">
        <f>'E-Costos'!F34</f>
        <v>767649.2287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443" t="s">
        <v>328</v>
      </c>
      <c r="B13" s="279">
        <v>0.0</v>
      </c>
      <c r="C13" s="289">
        <f>'E-Costos'!B105</f>
        <v>3321338.614</v>
      </c>
      <c r="D13" s="289">
        <f>'E-Costos'!C105</f>
        <v>3364030.651</v>
      </c>
      <c r="E13" s="289">
        <f>'E-Costos'!D105</f>
        <v>3364061.616</v>
      </c>
      <c r="F13" s="289">
        <f>'E-Costos'!E105</f>
        <v>3360844.634</v>
      </c>
      <c r="G13" s="289">
        <f>'E-Costos'!F105</f>
        <v>3360839.889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443"/>
      <c r="B14" s="289"/>
      <c r="C14" s="289"/>
      <c r="D14" s="289"/>
      <c r="E14" s="289"/>
      <c r="F14" s="289"/>
      <c r="G14" s="446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429" t="s">
        <v>333</v>
      </c>
      <c r="B15" s="442">
        <f t="shared" ref="B15:G15" si="2">SUM(B6:B9)</f>
        <v>17829162.11</v>
      </c>
      <c r="C15" s="442">
        <f t="shared" si="2"/>
        <v>91347096.71</v>
      </c>
      <c r="D15" s="442">
        <f t="shared" si="2"/>
        <v>87802154.89</v>
      </c>
      <c r="E15" s="442">
        <f t="shared" si="2"/>
        <v>87802185.86</v>
      </c>
      <c r="F15" s="442">
        <f t="shared" si="2"/>
        <v>87809403.22</v>
      </c>
      <c r="G15" s="442">
        <f t="shared" si="2"/>
        <v>87809398.48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429" t="s">
        <v>336</v>
      </c>
      <c r="B16" s="289"/>
      <c r="C16" s="442">
        <f t="shared" ref="C16:G16" si="3">SUM(C17:C20)</f>
        <v>5721846.628</v>
      </c>
      <c r="D16" s="442">
        <f t="shared" si="3"/>
        <v>6743091.881</v>
      </c>
      <c r="E16" s="442">
        <f t="shared" si="3"/>
        <v>6740765.976</v>
      </c>
      <c r="F16" s="442">
        <f t="shared" si="3"/>
        <v>6399855.85</v>
      </c>
      <c r="G16" s="442">
        <f t="shared" si="3"/>
        <v>6371040.412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443" t="s">
        <v>337</v>
      </c>
      <c r="B17" s="289"/>
      <c r="C17" s="289">
        <f>'E-Costos'!B27</f>
        <v>2669.111349</v>
      </c>
      <c r="D17" s="289">
        <f>'E-Costos'!C27</f>
        <v>2262.440358</v>
      </c>
      <c r="E17" s="289">
        <f>'E-Costos'!D27</f>
        <v>2262.440358</v>
      </c>
      <c r="F17" s="289">
        <f>'E-Costos'!E27</f>
        <v>1928.749276</v>
      </c>
      <c r="G17" s="289">
        <f>'E-Costos'!F27</f>
        <v>1928.749276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443" t="s">
        <v>338</v>
      </c>
      <c r="B18" s="289"/>
      <c r="C18" s="289">
        <f>('E-Costos'!B10-'E-Costos'!B27)/('Calculos auxiliares'!$F$211)*'Calculos auxiliares'!$F$208</f>
        <v>2356685.333</v>
      </c>
      <c r="D18" s="289">
        <f>('E-Costos'!C10-'E-Costos'!C27)/('Calculos auxiliares'!$F$211)*'Calculos auxiliares'!$F$208</f>
        <v>2357310.292</v>
      </c>
      <c r="E18" s="289">
        <f>('E-Costos'!D10-'E-Costos'!D27)/('Calculos auxiliares'!$F$211)*'Calculos auxiliares'!$F$208</f>
        <v>2357310.292</v>
      </c>
      <c r="F18" s="289">
        <f>('E-Costos'!E10-'E-Costos'!E27)/('Calculos auxiliares'!$F$211)*'Calculos auxiliares'!$F$208</f>
        <v>2009626.686</v>
      </c>
      <c r="G18" s="289">
        <f>('E-Costos'!F10-'E-Costos'!F27)/('Calculos auxiliares'!$F$211)*'Calculos auxiliares'!$F$208</f>
        <v>2009626.686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443" t="s">
        <v>340</v>
      </c>
      <c r="B19" s="289"/>
      <c r="C19" s="289">
        <f>'E-Costos'!B122*C7</f>
        <v>3310622.684</v>
      </c>
      <c r="D19" s="289">
        <f>'E-Costos'!C122*D7</f>
        <v>4135054.97</v>
      </c>
      <c r="E19" s="289">
        <f>'E-Costos'!D122*E7</f>
        <v>4132710.874</v>
      </c>
      <c r="F19" s="289">
        <f>'E-Costos'!E122*F7</f>
        <v>4144605.993</v>
      </c>
      <c r="G19" s="289">
        <f>'E-Costos'!F122*G7</f>
        <v>4144791.997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443" t="s">
        <v>341</v>
      </c>
      <c r="B20" s="289"/>
      <c r="C20" s="289">
        <f>('E-Inv AF y Am'!D56-C17-C18)*30/360</f>
        <v>51869.49939</v>
      </c>
      <c r="D20" s="289">
        <f>('E-Inv AF y Am'!D56-D17-D18+C17+C18)*30/360</f>
        <v>248464.1791</v>
      </c>
      <c r="E20" s="289">
        <f>('E-Inv AF y Am'!D56-E17-E18+D17+D18)*30/360</f>
        <v>248482.3697</v>
      </c>
      <c r="F20" s="289">
        <f>('E-Inv AF y Am'!E56-F17-F18+E17+E18)*30/360</f>
        <v>243694.4214</v>
      </c>
      <c r="G20" s="289">
        <f>('E-Inv AF y Am'!E56-G17-G18+F17+F18)*30/360</f>
        <v>214692.98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443"/>
      <c r="B21" s="289"/>
      <c r="C21" s="289"/>
      <c r="D21" s="289"/>
      <c r="E21" s="289"/>
      <c r="F21" s="289"/>
      <c r="G21" s="446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429" t="s">
        <v>343</v>
      </c>
      <c r="B22" s="442">
        <f t="shared" ref="B22:G22" si="4">B15-B16</f>
        <v>17829162.11</v>
      </c>
      <c r="C22" s="442">
        <f t="shared" si="4"/>
        <v>85625250.09</v>
      </c>
      <c r="D22" s="442">
        <f t="shared" si="4"/>
        <v>81059063.01</v>
      </c>
      <c r="E22" s="442">
        <f t="shared" si="4"/>
        <v>81061419.88</v>
      </c>
      <c r="F22" s="442">
        <f t="shared" si="4"/>
        <v>81409547.37</v>
      </c>
      <c r="G22" s="442">
        <f t="shared" si="4"/>
        <v>81438358.07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443"/>
      <c r="B23" s="289"/>
      <c r="C23" s="289"/>
      <c r="D23" s="289"/>
      <c r="E23" s="289"/>
      <c r="F23" s="289"/>
      <c r="G23" s="446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429" t="s">
        <v>344</v>
      </c>
      <c r="B24" s="289">
        <f>B15</f>
        <v>17829162.11</v>
      </c>
      <c r="C24" s="289">
        <f t="shared" ref="C24:G24" si="5">C15-B15</f>
        <v>73517934.6</v>
      </c>
      <c r="D24" s="289">
        <f t="shared" si="5"/>
        <v>-3544941.819</v>
      </c>
      <c r="E24" s="289">
        <f t="shared" si="5"/>
        <v>30.96547011</v>
      </c>
      <c r="F24" s="289">
        <f t="shared" si="5"/>
        <v>7217.363403</v>
      </c>
      <c r="G24" s="289">
        <f t="shared" si="5"/>
        <v>-4.744637668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429" t="s">
        <v>345</v>
      </c>
      <c r="B25" s="289">
        <f>B22</f>
        <v>17829162.11</v>
      </c>
      <c r="C25" s="289">
        <f t="shared" ref="C25:G25" si="6">C22-B22</f>
        <v>67796087.97</v>
      </c>
      <c r="D25" s="289">
        <f t="shared" si="6"/>
        <v>-4566187.073</v>
      </c>
      <c r="E25" s="289">
        <f t="shared" si="6"/>
        <v>2356.870322</v>
      </c>
      <c r="F25" s="289">
        <f t="shared" si="6"/>
        <v>348127.4895</v>
      </c>
      <c r="G25" s="289">
        <f t="shared" si="6"/>
        <v>28810.69318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443"/>
      <c r="B26" s="289"/>
      <c r="C26" s="289"/>
      <c r="D26" s="289"/>
      <c r="E26" s="289"/>
      <c r="F26" s="289"/>
      <c r="G26" s="446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429" t="s">
        <v>346</v>
      </c>
      <c r="B27" s="289"/>
      <c r="C27" s="289"/>
      <c r="D27" s="289"/>
      <c r="E27" s="289"/>
      <c r="F27" s="289"/>
      <c r="G27" s="446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443" t="s">
        <v>347</v>
      </c>
      <c r="B28" s="289"/>
      <c r="C28" s="289"/>
      <c r="D28" s="289"/>
      <c r="E28" s="289"/>
      <c r="F28" s="289"/>
      <c r="G28" s="446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443" t="s">
        <v>348</v>
      </c>
      <c r="B29" s="289"/>
      <c r="C29" s="289"/>
      <c r="D29" s="289"/>
      <c r="E29" s="289"/>
      <c r="F29" s="289"/>
      <c r="G29" s="446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443" t="s">
        <v>349</v>
      </c>
      <c r="B30" s="289">
        <f t="shared" ref="B30:B31" si="8">B10*0.21</f>
        <v>859108.3956</v>
      </c>
      <c r="C30" s="289">
        <f t="shared" ref="C30:G30" si="7">C10*0.21-B10*0.21</f>
        <v>8086974.003</v>
      </c>
      <c r="D30" s="289">
        <f t="shared" si="7"/>
        <v>-2374042.281</v>
      </c>
      <c r="E30" s="289">
        <f t="shared" si="7"/>
        <v>0</v>
      </c>
      <c r="F30" s="289">
        <f t="shared" si="7"/>
        <v>0</v>
      </c>
      <c r="G30" s="289">
        <f t="shared" si="7"/>
        <v>0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443" t="s">
        <v>352</v>
      </c>
      <c r="B31" s="289">
        <f t="shared" si="8"/>
        <v>1761347.648</v>
      </c>
      <c r="C31" s="289">
        <f t="shared" ref="C31:G31" si="9">C11*0.21-B11*0.21</f>
        <v>440336.9119</v>
      </c>
      <c r="D31" s="289">
        <f t="shared" si="9"/>
        <v>330116.9192</v>
      </c>
      <c r="E31" s="289">
        <f t="shared" si="9"/>
        <v>0</v>
      </c>
      <c r="F31" s="289">
        <f t="shared" si="9"/>
        <v>2266.526993</v>
      </c>
      <c r="G31" s="289">
        <f t="shared" si="9"/>
        <v>0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443" t="s">
        <v>353</v>
      </c>
      <c r="B32" s="279">
        <v>0.0</v>
      </c>
      <c r="C32" s="289">
        <f t="shared" ref="C32:G32" si="10">C48</f>
        <v>147479.6054</v>
      </c>
      <c r="D32" s="289">
        <f t="shared" si="10"/>
        <v>581.9178909</v>
      </c>
      <c r="E32" s="289">
        <f t="shared" si="10"/>
        <v>0</v>
      </c>
      <c r="F32" s="289">
        <f t="shared" si="10"/>
        <v>0.01529228664</v>
      </c>
      <c r="G32" s="289">
        <f t="shared" si="10"/>
        <v>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443" t="s">
        <v>355</v>
      </c>
      <c r="B33" s="279">
        <v>0.0</v>
      </c>
      <c r="C33" s="481">
        <f t="shared" ref="C33:G33" si="11">C61</f>
        <v>6868556.108</v>
      </c>
      <c r="D33" s="481">
        <f t="shared" si="11"/>
        <v>1322914.512</v>
      </c>
      <c r="E33" s="481">
        <f t="shared" si="11"/>
        <v>0</v>
      </c>
      <c r="F33" s="481">
        <f t="shared" si="11"/>
        <v>5.592314897</v>
      </c>
      <c r="G33" s="481">
        <f t="shared" si="11"/>
        <v>0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443" t="s">
        <v>360</v>
      </c>
      <c r="B34" s="483">
        <f t="shared" ref="B34:G34" si="12">SUM(B30:B33)</f>
        <v>2620456.043</v>
      </c>
      <c r="C34" s="483">
        <f t="shared" si="12"/>
        <v>15543346.63</v>
      </c>
      <c r="D34" s="483">
        <f t="shared" si="12"/>
        <v>-720428.932</v>
      </c>
      <c r="E34" s="483">
        <f t="shared" si="12"/>
        <v>0</v>
      </c>
      <c r="F34" s="483">
        <f t="shared" si="12"/>
        <v>2272.1346</v>
      </c>
      <c r="G34" s="483">
        <f t="shared" si="12"/>
        <v>0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443"/>
      <c r="B35" s="324"/>
      <c r="C35" s="324"/>
      <c r="D35" s="324"/>
      <c r="E35" s="324"/>
      <c r="F35" s="324"/>
      <c r="G35" s="325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485" t="s">
        <v>363</v>
      </c>
      <c r="B36" s="487">
        <f t="shared" ref="B36:G36" si="13">B25+B34</f>
        <v>20449618.15</v>
      </c>
      <c r="C36" s="487">
        <f t="shared" si="13"/>
        <v>83339434.6</v>
      </c>
      <c r="D36" s="487">
        <f t="shared" si="13"/>
        <v>-5286616.005</v>
      </c>
      <c r="E36" s="487">
        <f t="shared" si="13"/>
        <v>2356.870322</v>
      </c>
      <c r="F36" s="487">
        <f t="shared" si="13"/>
        <v>350399.6241</v>
      </c>
      <c r="G36" s="487">
        <f t="shared" si="13"/>
        <v>28810.69318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491" t="s">
        <v>368</v>
      </c>
      <c r="B39" s="492"/>
      <c r="C39" s="492"/>
      <c r="D39" s="492"/>
      <c r="E39" s="492"/>
      <c r="F39" s="492"/>
      <c r="G39" s="492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494" t="s">
        <v>369</v>
      </c>
      <c r="E40" s="492"/>
      <c r="F40" s="492"/>
      <c r="G40" s="492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492"/>
      <c r="B41" s="492"/>
      <c r="C41" s="492"/>
      <c r="D41" s="492"/>
      <c r="E41" s="492"/>
      <c r="F41" s="492"/>
      <c r="G41" s="492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492"/>
      <c r="B42" s="496"/>
      <c r="C42" s="498" t="s">
        <v>83</v>
      </c>
      <c r="D42" s="498" t="s">
        <v>228</v>
      </c>
      <c r="E42" s="498" t="s">
        <v>229</v>
      </c>
      <c r="F42" s="498" t="s">
        <v>230</v>
      </c>
      <c r="G42" s="498" t="s">
        <v>231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492"/>
      <c r="B43" s="500" t="s">
        <v>172</v>
      </c>
      <c r="C43" s="502">
        <f>'E-Costos'!B25*0.21</f>
        <v>143526.2047</v>
      </c>
      <c r="D43" s="502">
        <f>'E-Costos'!C25*0.21</f>
        <v>143526.2047</v>
      </c>
      <c r="E43" s="502">
        <f>'E-Costos'!D25*0.21</f>
        <v>143526.2047</v>
      </c>
      <c r="F43" s="502">
        <f>'E-Costos'!E25*0.21</f>
        <v>143526.2047</v>
      </c>
      <c r="G43" s="502">
        <f>'E-Costos'!F25*0.21</f>
        <v>143526.2047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492"/>
      <c r="B44" s="500" t="s">
        <v>235</v>
      </c>
      <c r="C44" s="502">
        <f>'E-Costos'!B29*0.21</f>
        <v>3747.664841</v>
      </c>
      <c r="D44" s="502">
        <f>'E-Costos'!C29*0.21</f>
        <v>4314.96585</v>
      </c>
      <c r="E44" s="502">
        <f>'E-Costos'!D29*0.21</f>
        <v>4314.96585</v>
      </c>
      <c r="F44" s="502">
        <f>'E-Costos'!E29*0.21</f>
        <v>4314.981143</v>
      </c>
      <c r="G44" s="502">
        <f>'E-Costos'!F29*0.21</f>
        <v>4314.981143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492"/>
      <c r="B45" s="500" t="s">
        <v>331</v>
      </c>
      <c r="C45" s="502">
        <f>'E-Costos'!B30*0.21</f>
        <v>205.7358011</v>
      </c>
      <c r="D45" s="502">
        <f>'E-Costos'!C30*0.21</f>
        <v>220.3526825</v>
      </c>
      <c r="E45" s="502">
        <f>'E-Costos'!D30*0.21</f>
        <v>220.3526825</v>
      </c>
      <c r="F45" s="502">
        <f>'E-Costos'!E30*0.21</f>
        <v>220.3526825</v>
      </c>
      <c r="G45" s="502">
        <f>'E-Costos'!F30*0.21</f>
        <v>220.3526825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492"/>
      <c r="B46" s="500" t="s">
        <v>247</v>
      </c>
      <c r="C46" s="502">
        <v>0.0</v>
      </c>
      <c r="D46" s="502">
        <v>0.0</v>
      </c>
      <c r="E46" s="502">
        <v>0.0</v>
      </c>
      <c r="F46" s="502">
        <v>0.0</v>
      </c>
      <c r="G46" s="502">
        <v>0.0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492"/>
      <c r="B47" s="510" t="s">
        <v>190</v>
      </c>
      <c r="C47" s="512">
        <f t="shared" ref="C47:G47" si="14">SUM(C43:C46)</f>
        <v>147479.6054</v>
      </c>
      <c r="D47" s="512">
        <f t="shared" si="14"/>
        <v>148061.5232</v>
      </c>
      <c r="E47" s="512">
        <f t="shared" si="14"/>
        <v>148061.5232</v>
      </c>
      <c r="F47" s="512">
        <f t="shared" si="14"/>
        <v>148061.5385</v>
      </c>
      <c r="G47" s="512">
        <f t="shared" si="14"/>
        <v>148061.5385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492"/>
      <c r="B48" s="510" t="s">
        <v>382</v>
      </c>
      <c r="C48" s="512">
        <f>SUM(C43:C46)</f>
        <v>147479.6054</v>
      </c>
      <c r="D48" s="512">
        <f t="shared" ref="D48:G48" si="15">D47-C47</f>
        <v>581.9178909</v>
      </c>
      <c r="E48" s="512">
        <f t="shared" si="15"/>
        <v>0</v>
      </c>
      <c r="F48" s="512">
        <f t="shared" si="15"/>
        <v>0.01529228664</v>
      </c>
      <c r="G48" s="512">
        <f t="shared" si="15"/>
        <v>0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492"/>
      <c r="B49" s="492"/>
      <c r="C49" s="492"/>
      <c r="D49" s="492"/>
      <c r="E49" s="492"/>
      <c r="F49" s="492"/>
      <c r="G49" s="492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492"/>
      <c r="B50" s="492"/>
      <c r="C50" s="492"/>
      <c r="D50" s="492"/>
      <c r="E50" s="492"/>
      <c r="F50" s="492"/>
      <c r="G50" s="492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491" t="s">
        <v>386</v>
      </c>
      <c r="B51" s="500" t="s">
        <v>364</v>
      </c>
      <c r="C51" s="496"/>
      <c r="D51" s="492"/>
      <c r="E51" s="492"/>
      <c r="F51" s="492"/>
      <c r="G51" s="492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492"/>
      <c r="B52" s="500" t="s">
        <v>366</v>
      </c>
      <c r="C52" s="517">
        <f>'Calculos auxiliares'!F206</f>
        <v>300930</v>
      </c>
      <c r="D52" s="492"/>
      <c r="E52" s="492"/>
      <c r="F52" s="492"/>
      <c r="G52" s="492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492"/>
      <c r="B53" s="492"/>
      <c r="C53" s="492"/>
      <c r="D53" s="492"/>
      <c r="E53" s="492"/>
      <c r="F53" s="492"/>
      <c r="G53" s="492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492"/>
      <c r="B54" s="492"/>
      <c r="C54" s="492"/>
      <c r="D54" s="492"/>
      <c r="E54" s="492"/>
      <c r="F54" s="492"/>
      <c r="G54" s="492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492"/>
      <c r="B55" s="496"/>
      <c r="C55" s="498" t="s">
        <v>83</v>
      </c>
      <c r="D55" s="498" t="s">
        <v>228</v>
      </c>
      <c r="E55" s="498" t="s">
        <v>229</v>
      </c>
      <c r="F55" s="498" t="s">
        <v>230</v>
      </c>
      <c r="G55" s="498" t="s">
        <v>231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492"/>
      <c r="B56" s="500" t="s">
        <v>172</v>
      </c>
      <c r="C56" s="502">
        <f>(('E-Costos'!B7-'E-Costos'!B25-'E-Costos'!G25)*0.21/'Calculos auxiliares'!F211)*C52</f>
        <v>6471470.334</v>
      </c>
      <c r="D56" s="502">
        <f>(('E-Costos'!C7-'E-Costos'!C25)*0.21/'Calculos auxiliares'!$F$213)*$C$52</f>
        <v>6552882.282</v>
      </c>
      <c r="E56" s="502">
        <f>(('E-Costos'!D7-'E-Costos'!D25)*0.21/'Calculos auxiliares'!$F$213)*$C$52</f>
        <v>6552882.282</v>
      </c>
      <c r="F56" s="502">
        <f>(('E-Costos'!E7-'E-Costos'!E25)*0.21/'Calculos auxiliares'!$F$213)*$C$52</f>
        <v>6552882.282</v>
      </c>
      <c r="G56" s="502">
        <f>(('E-Costos'!F7-'E-Costos'!F25)*0.21/'Calculos auxiliares'!$F$213)*$C$52</f>
        <v>6552882.282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492"/>
      <c r="B57" s="500" t="s">
        <v>235</v>
      </c>
      <c r="C57" s="502">
        <f>(('E-Costos'!B12-'E-Costos'!B29-'E-Costos'!G30)*0.21/'Calculos auxiliares'!F211)*C52</f>
        <v>327200.9861</v>
      </c>
      <c r="D57" s="502">
        <f>(('E-Costos'!C12-'E-Costos'!C29*0.21)/'Calculos auxiliares'!$F$213)*$C$52</f>
        <v>1577962.037</v>
      </c>
      <c r="E57" s="502">
        <f>(('E-Costos'!D12-'E-Costos'!D29*0.21)/'Calculos auxiliares'!$F$213)*$C$52</f>
        <v>1577962.037</v>
      </c>
      <c r="F57" s="502">
        <f>(('E-Costos'!E12-'E-Costos'!E29*0.21)/'Calculos auxiliares'!$F$213)*$C$52</f>
        <v>1577967.629</v>
      </c>
      <c r="G57" s="502">
        <f>(('E-Costos'!F12-'E-Costos'!F29*0.21)/'Calculos auxiliares'!$F$213)*$C$52</f>
        <v>1577967.629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492"/>
      <c r="B58" s="500" t="s">
        <v>331</v>
      </c>
      <c r="C58" s="502">
        <f>(('E-Costos'!B13-'E-Costos'!B30-'E-Costos'!G31*0.21)/'Calculos auxiliares'!F211)*C52
</f>
        <v>69884.78816</v>
      </c>
      <c r="D58" s="502">
        <f>(('E-Costos'!C13-'E-Costos'!C30*0.21)/'Calculos auxiliares'!$F$213)*$C$52</f>
        <v>60626.30097</v>
      </c>
      <c r="E58" s="502">
        <f>(('E-Costos'!D13-'E-Costos'!D30*0.21)/'Calculos auxiliares'!$F$213)*$C$52</f>
        <v>60626.30097</v>
      </c>
      <c r="F58" s="502">
        <f>(('E-Costos'!E13-'E-Costos'!E30*0.21)/'Calculos auxiliares'!$F$213)*$C$52</f>
        <v>60626.30097</v>
      </c>
      <c r="G58" s="502">
        <f>(('E-Costos'!F13-'E-Costos'!F30*0.21)/'Calculos auxiliares'!$F$213)*$C$52</f>
        <v>60626.30097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492"/>
      <c r="B59" s="500" t="s">
        <v>247</v>
      </c>
      <c r="C59" s="502">
        <v>0.0</v>
      </c>
      <c r="D59" s="502">
        <v>0.0</v>
      </c>
      <c r="E59" s="502">
        <v>0.0</v>
      </c>
      <c r="F59" s="502">
        <v>0.0</v>
      </c>
      <c r="G59" s="502">
        <v>0.0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492"/>
      <c r="B60" s="541" t="s">
        <v>190</v>
      </c>
      <c r="C60" s="543">
        <f t="shared" ref="C60:G60" si="16">SUM(C56:C59)</f>
        <v>6868556.108</v>
      </c>
      <c r="D60" s="543">
        <f t="shared" si="16"/>
        <v>8191470.62</v>
      </c>
      <c r="E60" s="543">
        <f t="shared" si="16"/>
        <v>8191470.62</v>
      </c>
      <c r="F60" s="543">
        <f t="shared" si="16"/>
        <v>8191476.212</v>
      </c>
      <c r="G60" s="543">
        <f t="shared" si="16"/>
        <v>8191476.212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492"/>
      <c r="B61" s="541" t="s">
        <v>382</v>
      </c>
      <c r="C61" s="543">
        <f>SUM(C56:C59)</f>
        <v>6868556.108</v>
      </c>
      <c r="D61" s="543">
        <f t="shared" ref="D61:G61" si="17">D60-C60</f>
        <v>1322914.512</v>
      </c>
      <c r="E61" s="543">
        <f t="shared" si="17"/>
        <v>0</v>
      </c>
      <c r="F61" s="543">
        <f t="shared" si="17"/>
        <v>5.592314897</v>
      </c>
      <c r="G61" s="543">
        <f t="shared" si="17"/>
        <v>0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1">
    <mergeCell ref="A40:D40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13.86"/>
    <col customWidth="1" min="3" max="3" width="20.14"/>
    <col customWidth="1" min="4" max="4" width="18.29"/>
    <col customWidth="1" min="5" max="5" width="19.71"/>
    <col customWidth="1" min="6" max="6" width="23.43"/>
    <col customWidth="1" min="7" max="7" width="18.57"/>
    <col customWidth="1" min="8" max="26" width="10.0"/>
  </cols>
  <sheetData>
    <row r="1" ht="12.75" customHeight="1">
      <c r="A1" s="2" t="s">
        <v>0</v>
      </c>
      <c r="E1" s="80"/>
      <c r="F1" s="80"/>
      <c r="G1" s="4">
        <f>InfoInicial!E1</f>
        <v>4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5.75" customHeight="1">
      <c r="A2" s="655" t="s">
        <v>471</v>
      </c>
      <c r="B2" s="271"/>
      <c r="C2" s="271"/>
      <c r="D2" s="271"/>
      <c r="E2" s="271"/>
      <c r="F2" s="271"/>
      <c r="G2" s="27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5.75" customHeight="1">
      <c r="A3" s="656"/>
      <c r="B3" s="657" t="s">
        <v>472</v>
      </c>
      <c r="C3" s="657"/>
      <c r="D3" s="657"/>
      <c r="E3" s="657"/>
      <c r="F3" s="657"/>
      <c r="G3" s="658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2.75" customHeight="1">
      <c r="A4" s="659" t="s">
        <v>227</v>
      </c>
      <c r="B4" s="660" t="s">
        <v>95</v>
      </c>
      <c r="C4" s="91" t="s">
        <v>83</v>
      </c>
      <c r="D4" s="91" t="s">
        <v>228</v>
      </c>
      <c r="E4" s="91" t="s">
        <v>229</v>
      </c>
      <c r="F4" s="91" t="s">
        <v>230</v>
      </c>
      <c r="G4" s="92" t="s">
        <v>231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661" t="s">
        <v>473</v>
      </c>
      <c r="B5" s="662"/>
      <c r="C5" s="277"/>
      <c r="D5" s="277"/>
      <c r="E5" s="277"/>
      <c r="F5" s="277"/>
      <c r="G5" s="431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663" t="s">
        <v>172</v>
      </c>
      <c r="B6" s="664"/>
      <c r="C6" s="289">
        <f>'E-Costos'!B7*0.21</f>
        <v>42739908.66</v>
      </c>
      <c r="D6" s="289">
        <f>'E-Costos'!C7*0.21</f>
        <v>49236249.11</v>
      </c>
      <c r="E6" s="289">
        <f>'E-Costos'!D7*0.21</f>
        <v>49236249.11</v>
      </c>
      <c r="F6" s="289">
        <f>'E-Costos'!E7*0.21</f>
        <v>49236249.11</v>
      </c>
      <c r="G6" s="289">
        <f>'E-Costos'!F7*0.21</f>
        <v>49236249.11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663" t="s">
        <v>235</v>
      </c>
      <c r="B7" s="664"/>
      <c r="C7" s="289">
        <f>'E-Costos'!B12*0.21</f>
        <v>2156961.886</v>
      </c>
      <c r="D7" s="289">
        <f>'E-Costos'!C12*0.21</f>
        <v>2483470.98</v>
      </c>
      <c r="E7" s="289">
        <f>'E-Costos'!D12*0.21</f>
        <v>2483470.98</v>
      </c>
      <c r="F7" s="289">
        <f>'E-Costos'!E12*0.21</f>
        <v>2483479.782</v>
      </c>
      <c r="G7" s="289">
        <f>'E-Costos'!F12*0.21</f>
        <v>2483479.782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663" t="s">
        <v>245</v>
      </c>
      <c r="B8" s="664"/>
      <c r="C8" s="289">
        <f>'E-Costos'!B13*0.21</f>
        <v>95259.08737</v>
      </c>
      <c r="D8" s="289">
        <f>'E-Costos'!C13*0.21</f>
        <v>95427.98762</v>
      </c>
      <c r="E8" s="289">
        <f>'E-Costos'!D13*0.21</f>
        <v>95427.98762</v>
      </c>
      <c r="F8" s="289">
        <f>'E-Costos'!E13*0.21</f>
        <v>95427.98762</v>
      </c>
      <c r="G8" s="289">
        <f>'E-Costos'!F13*0.21</f>
        <v>95427.98762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663" t="s">
        <v>247</v>
      </c>
      <c r="B9" s="664"/>
      <c r="C9" s="279">
        <v>0.0</v>
      </c>
      <c r="D9" s="279">
        <v>0.0</v>
      </c>
      <c r="E9" s="279">
        <v>0.0</v>
      </c>
      <c r="F9" s="279">
        <v>0.0</v>
      </c>
      <c r="G9" s="279">
        <v>0.0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663" t="s">
        <v>474</v>
      </c>
      <c r="B10" s="664"/>
      <c r="C10" s="279">
        <v>0.0</v>
      </c>
      <c r="D10" s="279">
        <v>0.0</v>
      </c>
      <c r="E10" s="279">
        <v>0.0</v>
      </c>
      <c r="F10" s="279">
        <v>0.0</v>
      </c>
      <c r="G10" s="279">
        <v>0.0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663" t="s">
        <v>310</v>
      </c>
      <c r="B11" s="664"/>
      <c r="C11" s="279">
        <v>0.0</v>
      </c>
      <c r="D11" s="279">
        <v>0.0</v>
      </c>
      <c r="E11" s="279">
        <v>0.0</v>
      </c>
      <c r="F11" s="279">
        <v>0.0</v>
      </c>
      <c r="G11" s="279">
        <v>0.0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665" t="s">
        <v>184</v>
      </c>
      <c r="B12" s="666"/>
      <c r="C12" s="442">
        <f t="shared" ref="C12:G12" si="1">SUM(C6:C11)</f>
        <v>44992129.63</v>
      </c>
      <c r="D12" s="442">
        <f t="shared" si="1"/>
        <v>51815148.08</v>
      </c>
      <c r="E12" s="442">
        <f t="shared" si="1"/>
        <v>51815148.08</v>
      </c>
      <c r="F12" s="442">
        <f t="shared" si="1"/>
        <v>51815156.88</v>
      </c>
      <c r="G12" s="442">
        <f t="shared" si="1"/>
        <v>51815156.88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663" t="s">
        <v>475</v>
      </c>
      <c r="B13" s="664"/>
      <c r="C13" s="289">
        <f>('E-Costos'!G35-'E-Costos'!G26)*0.21</f>
        <v>903981.9989</v>
      </c>
      <c r="D13" s="289"/>
      <c r="E13" s="289"/>
      <c r="F13" s="289"/>
      <c r="G13" s="446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663" t="s">
        <v>476</v>
      </c>
      <c r="B14" s="664"/>
      <c r="C14" s="289"/>
      <c r="D14" s="289"/>
      <c r="E14" s="289"/>
      <c r="F14" s="289"/>
      <c r="G14" s="446"/>
      <c r="H14" s="80"/>
      <c r="I14" s="557"/>
      <c r="J14" s="557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663" t="s">
        <v>477</v>
      </c>
      <c r="B15" s="664"/>
      <c r="C15" s="390">
        <f>'E-InvAT'!C32</f>
        <v>147479.6054</v>
      </c>
      <c r="D15" s="390">
        <f>'E-InvAT'!D32</f>
        <v>581.9178909</v>
      </c>
      <c r="E15" s="390">
        <f>'E-InvAT'!E32</f>
        <v>0</v>
      </c>
      <c r="F15" s="390">
        <f>'E-InvAT'!F32</f>
        <v>0.01529228664</v>
      </c>
      <c r="G15" s="390">
        <f>'E-InvAT'!G32</f>
        <v>0</v>
      </c>
      <c r="H15" s="80"/>
      <c r="I15" s="559"/>
      <c r="J15" s="557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663" t="s">
        <v>478</v>
      </c>
      <c r="B16" s="664"/>
      <c r="C16" s="390">
        <f>'E-InvAT'!C33</f>
        <v>6868556.108</v>
      </c>
      <c r="D16" s="390">
        <f>'E-InvAT'!D33</f>
        <v>1322914.512</v>
      </c>
      <c r="E16" s="390">
        <f>'E-InvAT'!E33</f>
        <v>0</v>
      </c>
      <c r="F16" s="390">
        <f>'E-InvAT'!F33</f>
        <v>5.592314897</v>
      </c>
      <c r="G16" s="390">
        <f>'E-InvAT'!G33</f>
        <v>0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665" t="s">
        <v>479</v>
      </c>
      <c r="B17" s="664"/>
      <c r="C17" s="289">
        <f t="shared" ref="C17:G17" si="2">C12-SUM(C13:C16)</f>
        <v>37072111.92</v>
      </c>
      <c r="D17" s="289">
        <f t="shared" si="2"/>
        <v>50491651.65</v>
      </c>
      <c r="E17" s="289">
        <f t="shared" si="2"/>
        <v>51815148.08</v>
      </c>
      <c r="F17" s="289">
        <f t="shared" si="2"/>
        <v>51815151.27</v>
      </c>
      <c r="G17" s="289">
        <f t="shared" si="2"/>
        <v>51815156.88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665" t="s">
        <v>480</v>
      </c>
      <c r="B18" s="664"/>
      <c r="C18" s="289">
        <f>SUM('E-Costos'!B53:B56)*0.21</f>
        <v>7701818.259</v>
      </c>
      <c r="D18" s="289">
        <f>SUM('E-Costos'!C53:C56)*0.21</f>
        <v>7704162.402</v>
      </c>
      <c r="E18" s="289">
        <f>SUM('E-Costos'!D53:D56)*0.21</f>
        <v>7704162.402</v>
      </c>
      <c r="F18" s="289">
        <f>SUM('E-Costos'!E53:E56)*0.21</f>
        <v>7705465.711</v>
      </c>
      <c r="G18" s="289">
        <f>SUM('E-Costos'!F53:F56)*0.21</f>
        <v>7705465.711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665" t="s">
        <v>481</v>
      </c>
      <c r="B19" s="664"/>
      <c r="C19" s="289">
        <f>SUM('E-Costos'!B70:B73)*0.21</f>
        <v>34913.50223</v>
      </c>
      <c r="D19" s="289">
        <f>SUM('E-Costos'!C70:C73)*0.21</f>
        <v>36346.08418</v>
      </c>
      <c r="E19" s="289">
        <f>SUM('E-Costos'!D70:D73)*0.21</f>
        <v>36346.08418</v>
      </c>
      <c r="F19" s="289">
        <f>SUM('E-Costos'!E70:E73)*0.21</f>
        <v>37300.50028</v>
      </c>
      <c r="G19" s="289">
        <f>SUM('E-Costos'!F70:F73)*0.21</f>
        <v>37300.50028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665"/>
      <c r="B20" s="664"/>
      <c r="C20" s="289"/>
      <c r="D20" s="289"/>
      <c r="E20" s="289"/>
      <c r="F20" s="289"/>
      <c r="G20" s="446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663" t="s">
        <v>482</v>
      </c>
      <c r="B21" s="664"/>
      <c r="C21" s="289">
        <f t="shared" ref="C21:G21" si="3">SUM(C17:C19)</f>
        <v>44808843.68</v>
      </c>
      <c r="D21" s="289">
        <f t="shared" si="3"/>
        <v>58232160.13</v>
      </c>
      <c r="E21" s="289">
        <f t="shared" si="3"/>
        <v>59555656.56</v>
      </c>
      <c r="F21" s="289">
        <f t="shared" si="3"/>
        <v>59557917.48</v>
      </c>
      <c r="G21" s="289">
        <f t="shared" si="3"/>
        <v>59557923.09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663" t="s">
        <v>483</v>
      </c>
      <c r="B22" s="664"/>
      <c r="C22" s="289">
        <f>'E-Costos'!B87*0.21</f>
        <v>70229250</v>
      </c>
      <c r="D22" s="289">
        <f>'E-Costos'!C87*0.21</f>
        <v>82852875</v>
      </c>
      <c r="E22" s="289">
        <f>'E-Costos'!D87*0.21</f>
        <v>82852875</v>
      </c>
      <c r="F22" s="289">
        <f>'E-Costos'!E87*0.21</f>
        <v>82852875</v>
      </c>
      <c r="G22" s="289">
        <f>'E-Costos'!F87*0.21</f>
        <v>82852875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665" t="s">
        <v>484</v>
      </c>
      <c r="B23" s="664"/>
      <c r="C23" s="289">
        <f t="shared" ref="C23:G23" si="4">IF(C21&lt;0,C22+C21,C22-C21)</f>
        <v>25420406.32</v>
      </c>
      <c r="D23" s="289">
        <f t="shared" si="4"/>
        <v>24620714.87</v>
      </c>
      <c r="E23" s="289">
        <f t="shared" si="4"/>
        <v>23297218.44</v>
      </c>
      <c r="F23" s="289">
        <f t="shared" si="4"/>
        <v>23294957.52</v>
      </c>
      <c r="G23" s="289">
        <f t="shared" si="4"/>
        <v>23294951.91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663"/>
      <c r="B24" s="664"/>
      <c r="C24" s="289"/>
      <c r="D24" s="289"/>
      <c r="E24" s="289"/>
      <c r="F24" s="289"/>
      <c r="G24" s="446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667" t="s">
        <v>485</v>
      </c>
      <c r="B25" s="668">
        <v>0.0</v>
      </c>
      <c r="C25" s="289">
        <f t="shared" ref="C25:G25" si="5">B27</f>
        <v>6677945.463</v>
      </c>
      <c r="D25" s="289">
        <f t="shared" si="5"/>
        <v>0</v>
      </c>
      <c r="E25" s="289">
        <f t="shared" si="5"/>
        <v>0</v>
      </c>
      <c r="F25" s="289">
        <f t="shared" si="5"/>
        <v>0</v>
      </c>
      <c r="G25" s="289">
        <f t="shared" si="5"/>
        <v>0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667" t="s">
        <v>486</v>
      </c>
      <c r="B26" s="664">
        <f>'E-Cal Inv.'!B23+'E-Cal Inv.'!C23</f>
        <v>6677945.463</v>
      </c>
      <c r="C26" s="289">
        <f>'E-Cal Inv.'!D23</f>
        <v>15543346.63</v>
      </c>
      <c r="D26" s="289">
        <f>'E-Cal Inv.'!E23</f>
        <v>0</v>
      </c>
      <c r="E26" s="289">
        <f>'E-Cal Inv.'!F23</f>
        <v>0</v>
      </c>
      <c r="F26" s="289">
        <f>'E-Cal Inv.'!G23</f>
        <v>0</v>
      </c>
      <c r="G26" s="289">
        <f>'E-Cal Inv.'!H23</f>
        <v>0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665" t="s">
        <v>487</v>
      </c>
      <c r="B27" s="664">
        <f>B26-B23</f>
        <v>6677945.463</v>
      </c>
      <c r="C27" s="289">
        <f t="shared" ref="C27:G27" si="6">IF(C25+C26-C23&gt;0,C25+C26-C23,0)</f>
        <v>0</v>
      </c>
      <c r="D27" s="289">
        <f t="shared" si="6"/>
        <v>0</v>
      </c>
      <c r="E27" s="289">
        <f t="shared" si="6"/>
        <v>0</v>
      </c>
      <c r="F27" s="289">
        <f t="shared" si="6"/>
        <v>0</v>
      </c>
      <c r="G27" s="289">
        <f t="shared" si="6"/>
        <v>0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669" t="s">
        <v>488</v>
      </c>
      <c r="B28" s="664"/>
      <c r="C28" s="289">
        <f t="shared" ref="C28:G28" si="7">IF(C25+C26&gt;C23,C23,IF(C23-C25-C26&gt;0,C25+C26,0))
</f>
        <v>22221292.09</v>
      </c>
      <c r="D28" s="289">
        <f t="shared" si="7"/>
        <v>0</v>
      </c>
      <c r="E28" s="289">
        <f t="shared" si="7"/>
        <v>0</v>
      </c>
      <c r="F28" s="289">
        <f t="shared" si="7"/>
        <v>0</v>
      </c>
      <c r="G28" s="289">
        <f t="shared" si="7"/>
        <v>0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663"/>
      <c r="B29" s="664"/>
      <c r="C29" s="289"/>
      <c r="D29" s="289"/>
      <c r="E29" s="289"/>
      <c r="F29" s="289"/>
      <c r="G29" s="446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670" t="s">
        <v>489</v>
      </c>
      <c r="B30" s="671">
        <v>0.0</v>
      </c>
      <c r="C30" s="377">
        <f t="shared" ref="C30:G30" si="8">IF(C23-C27-C28&gt;0,C23-C27-C28,0)</f>
        <v>3199114.23</v>
      </c>
      <c r="D30" s="377">
        <f t="shared" si="8"/>
        <v>24620714.87</v>
      </c>
      <c r="E30" s="377">
        <f t="shared" si="8"/>
        <v>23297218.44</v>
      </c>
      <c r="F30" s="377">
        <f t="shared" si="8"/>
        <v>23294957.52</v>
      </c>
      <c r="G30" s="377">
        <f t="shared" si="8"/>
        <v>23294951.91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13.86"/>
    <col customWidth="1" min="3" max="3" width="19.71"/>
    <col customWidth="1" min="4" max="4" width="13.86"/>
    <col customWidth="1" min="5" max="5" width="18.71"/>
    <col customWidth="1" min="6" max="9" width="13.86"/>
    <col customWidth="1" min="10" max="26" width="10.0"/>
  </cols>
  <sheetData>
    <row r="1" ht="12.75" customHeight="1">
      <c r="A1" s="2" t="s">
        <v>0</v>
      </c>
      <c r="E1" s="80"/>
      <c r="F1" s="80"/>
      <c r="G1" s="4">
        <f>InfoInicial!E1</f>
        <v>4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15.75" customHeight="1">
      <c r="A3" s="269" t="s">
        <v>490</v>
      </c>
      <c r="B3" s="271"/>
      <c r="C3" s="271"/>
      <c r="D3" s="271"/>
      <c r="E3" s="271"/>
      <c r="F3" s="271"/>
      <c r="G3" s="271"/>
      <c r="H3" s="271"/>
      <c r="I3" s="672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25.5" customHeight="1">
      <c r="A4" s="273" t="s">
        <v>227</v>
      </c>
      <c r="B4" s="660" t="s">
        <v>491</v>
      </c>
      <c r="C4" s="660" t="s">
        <v>492</v>
      </c>
      <c r="D4" s="91" t="s">
        <v>83</v>
      </c>
      <c r="E4" s="91" t="s">
        <v>228</v>
      </c>
      <c r="F4" s="91" t="s">
        <v>229</v>
      </c>
      <c r="G4" s="91" t="s">
        <v>230</v>
      </c>
      <c r="H4" s="673" t="s">
        <v>231</v>
      </c>
      <c r="I4" s="674" t="s">
        <v>211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429" t="s">
        <v>493</v>
      </c>
      <c r="B5" s="277"/>
      <c r="C5" s="277"/>
      <c r="D5" s="277"/>
      <c r="E5" s="277"/>
      <c r="F5" s="277"/>
      <c r="G5" s="277"/>
      <c r="H5" s="349"/>
      <c r="I5" s="675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443" t="s">
        <v>494</v>
      </c>
      <c r="B6" s="289"/>
      <c r="C6" s="289">
        <f>'E-Inv AF y Am'!B20</f>
        <v>17120278.42</v>
      </c>
      <c r="D6" s="289"/>
      <c r="E6" s="289"/>
      <c r="F6" s="289"/>
      <c r="G6" s="289"/>
      <c r="H6" s="357"/>
      <c r="I6" s="675">
        <f t="shared" ref="I6:I8" si="1">SUM(B6:H6)</f>
        <v>17120278.42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676" t="s">
        <v>495</v>
      </c>
      <c r="B7" s="394">
        <f>'E-Inv AF y Am'!B31</f>
        <v>2201099.77</v>
      </c>
      <c r="C7" s="394"/>
      <c r="D7" s="394">
        <f>'E-Inv AF y Am'!C31</f>
        <v>4367863.602</v>
      </c>
      <c r="E7" s="394"/>
      <c r="F7" s="394"/>
      <c r="G7" s="394"/>
      <c r="H7" s="677"/>
      <c r="I7" s="675">
        <f t="shared" si="1"/>
        <v>6568963.372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104" t="s">
        <v>496</v>
      </c>
      <c r="B8" s="678">
        <f>B7</f>
        <v>2201099.77</v>
      </c>
      <c r="C8" s="678">
        <f>C6</f>
        <v>17120278.42</v>
      </c>
      <c r="D8" s="678">
        <f>D7</f>
        <v>4367863.602</v>
      </c>
      <c r="E8" s="678"/>
      <c r="F8" s="678"/>
      <c r="G8" s="678"/>
      <c r="H8" s="678"/>
      <c r="I8" s="678">
        <f t="shared" si="1"/>
        <v>23689241.79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679"/>
      <c r="B9" s="277"/>
      <c r="C9" s="277"/>
      <c r="D9" s="277"/>
      <c r="E9" s="277"/>
      <c r="F9" s="277"/>
      <c r="G9" s="277"/>
      <c r="H9" s="349"/>
      <c r="I9" s="675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429" t="s">
        <v>497</v>
      </c>
      <c r="B10" s="289"/>
      <c r="C10" s="289"/>
      <c r="D10" s="289"/>
      <c r="E10" s="289"/>
      <c r="F10" s="289"/>
      <c r="G10" s="289"/>
      <c r="H10" s="357"/>
      <c r="I10" s="675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443" t="s">
        <v>498</v>
      </c>
      <c r="B11" s="289"/>
      <c r="C11" s="289">
        <f>'E-InvAT'!B6</f>
        <v>5350800</v>
      </c>
      <c r="D11" s="289">
        <f>'E-InvAT'!C6-'E-InvAT'!B6</f>
        <v>1337700</v>
      </c>
      <c r="E11" s="289">
        <f>'E-InvAT'!D6-'E-InvAT'!C6</f>
        <v>1202250</v>
      </c>
      <c r="F11" s="289">
        <f>'E-InvAT'!D6-'E-InvAT'!E6</f>
        <v>0</v>
      </c>
      <c r="G11" s="289">
        <f>'E-InvAT'!E6-'E-InvAT'!F6</f>
        <v>0</v>
      </c>
      <c r="H11" s="357">
        <f>'E-InvAT'!F6-'E-InvAT'!G6</f>
        <v>0</v>
      </c>
      <c r="I11" s="675">
        <f t="shared" ref="I11:I12" si="2">SUM(B11:H11)</f>
        <v>7890750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443" t="s">
        <v>499</v>
      </c>
      <c r="B12" s="289"/>
      <c r="C12" s="289"/>
      <c r="D12" s="289">
        <f>'E-InvAT'!C7-SUM('E-InvAT'!C19:C20)-('E-InvAT'!B7-SUM('E-InvAT'!B19:B20))</f>
        <v>24124494.12</v>
      </c>
      <c r="E12" s="289">
        <f>'E-InvAT'!D7-SUM('E-InvAT'!D19:D20)-('E-InvAT'!C7-SUM('E-InvAT'!C19:C20))</f>
        <v>3919726.46</v>
      </c>
      <c r="F12" s="289">
        <f>'E-InvAT'!E7-SUM('E-InvAT'!E19:E20)-('E-InvAT'!D7-SUM('E-InvAT'!D19:D20))</f>
        <v>2325.904852</v>
      </c>
      <c r="G12" s="289">
        <f>'E-InvAT'!F7-SUM('E-InvAT'!F19:F20)-('E-InvAT'!E7-SUM('E-InvAT'!E19:E20))</f>
        <v>-7107.17074</v>
      </c>
      <c r="H12" s="357">
        <f>'E-InvAT'!G7-SUM('E-InvAT'!G19:G20)-('E-InvAT'!F7-SUM('E-InvAT'!F19:F20))</f>
        <v>28815.43781</v>
      </c>
      <c r="I12" s="675">
        <f t="shared" si="2"/>
        <v>28068254.75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443" t="s">
        <v>500</v>
      </c>
      <c r="B13" s="289"/>
      <c r="C13" s="289"/>
      <c r="D13" s="289"/>
      <c r="E13" s="289"/>
      <c r="F13" s="289"/>
      <c r="G13" s="289"/>
      <c r="H13" s="357"/>
      <c r="I13" s="675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443" t="s">
        <v>501</v>
      </c>
      <c r="B14" s="289"/>
      <c r="C14" s="289">
        <f>'E-InvAT'!B10</f>
        <v>4090992.36</v>
      </c>
      <c r="D14" s="279">
        <f>'E-InvAT'!C10-'E-InvAT'!B10</f>
        <v>38509400.01</v>
      </c>
      <c r="E14" s="279">
        <f>'E-InvAT'!D10-'E-InvAT'!C10</f>
        <v>-11304963.24</v>
      </c>
      <c r="F14" s="279">
        <f>'E-InvAT'!E10-'E-InvAT'!D10</f>
        <v>0</v>
      </c>
      <c r="G14" s="279">
        <f>'E-InvAT'!F10-'E-InvAT'!E10</f>
        <v>0</v>
      </c>
      <c r="H14" s="680">
        <f>'E-InvAT'!G10-'E-InvAT'!F10</f>
        <v>0</v>
      </c>
      <c r="I14" s="675">
        <f t="shared" ref="I14:I18" si="3">SUM(B14:H14)</f>
        <v>31295429.13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443" t="s">
        <v>502</v>
      </c>
      <c r="B15" s="289"/>
      <c r="C15" s="289">
        <f>'E-InvAT'!B11</f>
        <v>8387369.751</v>
      </c>
      <c r="D15" s="289">
        <f>'E-InvAT'!C11-'E-InvAT'!B11</f>
        <v>2096842.438</v>
      </c>
      <c r="E15" s="289">
        <f>'E-InvAT'!D11-'E-InvAT'!C11</f>
        <v>1571985.33</v>
      </c>
      <c r="F15" s="289">
        <f>'E-InvAT'!E11-'E-InvAT'!D11</f>
        <v>0</v>
      </c>
      <c r="G15" s="289">
        <f>'E-InvAT'!F11-'E-InvAT'!E11</f>
        <v>10792.98568</v>
      </c>
      <c r="H15" s="357">
        <f>'E-InvAT'!G11-'E-InvAT'!F11</f>
        <v>0</v>
      </c>
      <c r="I15" s="675">
        <f t="shared" si="3"/>
        <v>12066990.5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443" t="s">
        <v>503</v>
      </c>
      <c r="B16" s="289"/>
      <c r="C16" s="289"/>
      <c r="D16" s="289">
        <f>'E-InvAT'!C12-'E-InvAT'!B12-'E-InvAT'!C17-'E-InvAT'!B17</f>
        <v>762998.1262</v>
      </c>
      <c r="E16" s="289">
        <f>'E-InvAT'!D12-'E-InvAT'!C12-'E-InvAT'!D17-'E-InvAT'!C17</f>
        <v>-2590.920971</v>
      </c>
      <c r="F16" s="289">
        <f>'E-InvAT'!E12-'E-InvAT'!D12-'E-InvAT'!E17-'E-InvAT'!D17</f>
        <v>-4524.880716</v>
      </c>
      <c r="G16" s="289">
        <f>'E-InvAT'!F12-'E-InvAT'!E12-'E-InvAT'!F17-'E-InvAT'!E17</f>
        <v>-4549.829266</v>
      </c>
      <c r="H16" s="357">
        <f>'E-InvAT'!G12-'E-InvAT'!F12-'E-InvAT'!G17-'E-InvAT'!F17</f>
        <v>-3857.498553</v>
      </c>
      <c r="I16" s="675">
        <f t="shared" si="3"/>
        <v>747474.9967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676" t="s">
        <v>504</v>
      </c>
      <c r="B17" s="394"/>
      <c r="C17" s="394"/>
      <c r="D17" s="394">
        <f>('E-InvAT'!C13-'E-InvAT'!C18)-('E-InvAT'!B13-'E-InvAT'!B18)</f>
        <v>964653.2808</v>
      </c>
      <c r="E17" s="394">
        <f>('E-InvAT'!D13-'E-InvAT'!D18)-('E-InvAT'!C13-'E-InvAT'!C18)</f>
        <v>42067.07807</v>
      </c>
      <c r="F17" s="394">
        <f>('E-InvAT'!E13-'E-InvAT'!E18)-('E-InvAT'!D13-'E-InvAT'!D18)</f>
        <v>30.9654701</v>
      </c>
      <c r="G17" s="394">
        <f>('E-InvAT'!F13-'E-InvAT'!F18)-('E-InvAT'!E13-'E-InvAT'!E18)</f>
        <v>344466.6231</v>
      </c>
      <c r="H17" s="677">
        <f>('E-InvAT'!G13-'E-InvAT'!G18)-('E-InvAT'!F13-'E-InvAT'!F18)</f>
        <v>-4.744637674</v>
      </c>
      <c r="I17" s="675">
        <f t="shared" si="3"/>
        <v>1351213.203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104" t="s">
        <v>505</v>
      </c>
      <c r="B18" s="678"/>
      <c r="C18" s="678">
        <f t="shared" ref="C18:H18" si="4">SUM(C11:C17)</f>
        <v>17829162.11</v>
      </c>
      <c r="D18" s="678">
        <f t="shared" si="4"/>
        <v>67796087.97</v>
      </c>
      <c r="E18" s="678">
        <f t="shared" si="4"/>
        <v>-4571525.295</v>
      </c>
      <c r="F18" s="678">
        <f t="shared" si="4"/>
        <v>-2168.010395</v>
      </c>
      <c r="G18" s="678">
        <f t="shared" si="4"/>
        <v>343602.6088</v>
      </c>
      <c r="H18" s="678">
        <f t="shared" si="4"/>
        <v>24953.19462</v>
      </c>
      <c r="I18" s="678">
        <f t="shared" si="3"/>
        <v>81420112.58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679"/>
      <c r="B19" s="277"/>
      <c r="C19" s="277"/>
      <c r="D19" s="277"/>
      <c r="E19" s="277"/>
      <c r="F19" s="277"/>
      <c r="G19" s="277"/>
      <c r="H19" s="349"/>
      <c r="I19" s="675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429" t="s">
        <v>506</v>
      </c>
      <c r="B20" s="289"/>
      <c r="C20" s="289"/>
      <c r="D20" s="289"/>
      <c r="E20" s="289"/>
      <c r="F20" s="289"/>
      <c r="G20" s="289"/>
      <c r="H20" s="357"/>
      <c r="I20" s="67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443" t="s">
        <v>507</v>
      </c>
      <c r="B21" s="289">
        <f t="shared" ref="B21:C21" si="5">B8*0.21</f>
        <v>462230.9517</v>
      </c>
      <c r="C21" s="289">
        <f t="shared" si="5"/>
        <v>3595258.468</v>
      </c>
      <c r="D21" s="289">
        <f>'E-InvAT'!C34</f>
        <v>15543346.63</v>
      </c>
      <c r="E21" s="289"/>
      <c r="F21" s="289"/>
      <c r="G21" s="289"/>
      <c r="H21" s="357"/>
      <c r="I21" s="675">
        <f t="shared" ref="I21:I23" si="6">SUM(B21:H21)</f>
        <v>19600836.05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676" t="s">
        <v>508</v>
      </c>
      <c r="B22" s="394"/>
      <c r="C22" s="394">
        <f>'E-InvAT'!B34</f>
        <v>2620456.043</v>
      </c>
      <c r="D22" s="394"/>
      <c r="E22" s="394"/>
      <c r="F22" s="394"/>
      <c r="G22" s="394"/>
      <c r="H22" s="677"/>
      <c r="I22" s="675">
        <f t="shared" si="6"/>
        <v>2620456.043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104" t="s">
        <v>509</v>
      </c>
      <c r="B23" s="678">
        <f t="shared" ref="B23:H23" si="7">B21+B22</f>
        <v>462230.9517</v>
      </c>
      <c r="C23" s="678">
        <f t="shared" si="7"/>
        <v>6215714.511</v>
      </c>
      <c r="D23" s="678">
        <f t="shared" si="7"/>
        <v>15543346.63</v>
      </c>
      <c r="E23" s="678">
        <f t="shared" si="7"/>
        <v>0</v>
      </c>
      <c r="F23" s="678">
        <f t="shared" si="7"/>
        <v>0</v>
      </c>
      <c r="G23" s="678">
        <f t="shared" si="7"/>
        <v>0</v>
      </c>
      <c r="H23" s="678">
        <f t="shared" si="7"/>
        <v>0</v>
      </c>
      <c r="I23" s="678">
        <f t="shared" si="6"/>
        <v>22221292.09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104"/>
      <c r="B24" s="678"/>
      <c r="C24" s="678"/>
      <c r="D24" s="678"/>
      <c r="E24" s="678"/>
      <c r="F24" s="678"/>
      <c r="G24" s="678"/>
      <c r="H24" s="678"/>
      <c r="I24" s="678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104" t="s">
        <v>510</v>
      </c>
      <c r="B25" s="678">
        <f t="shared" ref="B25:H25" si="8">B8+B18+B23</f>
        <v>2663330.722</v>
      </c>
      <c r="C25" s="678">
        <f t="shared" si="8"/>
        <v>41165155.04</v>
      </c>
      <c r="D25" s="678">
        <f t="shared" si="8"/>
        <v>87707298.2</v>
      </c>
      <c r="E25" s="678">
        <f t="shared" si="8"/>
        <v>-4571525.295</v>
      </c>
      <c r="F25" s="678">
        <f t="shared" si="8"/>
        <v>-2168.010395</v>
      </c>
      <c r="G25" s="678">
        <f t="shared" si="8"/>
        <v>343602.6088</v>
      </c>
      <c r="H25" s="678">
        <f t="shared" si="8"/>
        <v>24953.19462</v>
      </c>
      <c r="I25" s="678">
        <f>SUM(B25:H25)</f>
        <v>127330646.5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14.71"/>
    <col customWidth="1" min="3" max="3" width="19.57"/>
    <col customWidth="1" min="4" max="4" width="16.86"/>
    <col customWidth="1" min="5" max="6" width="14.71"/>
    <col customWidth="1" min="7" max="7" width="21.86"/>
    <col customWidth="1" min="8" max="8" width="16.0"/>
    <col customWidth="1" min="9" max="9" width="14.71"/>
    <col customWidth="1" min="10" max="10" width="16.0"/>
    <col customWidth="1" min="11" max="11" width="14.71"/>
    <col customWidth="1" min="12" max="13" width="19.43"/>
    <col customWidth="1" min="14" max="26" width="10.0"/>
  </cols>
  <sheetData>
    <row r="1" ht="12.75" customHeight="1">
      <c r="A1" s="2" t="s">
        <v>0</v>
      </c>
      <c r="E1" s="80"/>
      <c r="F1" s="80"/>
      <c r="G1" s="80">
        <f>InfoInicial!E1</f>
        <v>4</v>
      </c>
      <c r="H1" s="4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15.75" customHeight="1">
      <c r="A2" s="655" t="s">
        <v>511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38.25" customHeight="1">
      <c r="A3" s="659" t="s">
        <v>512</v>
      </c>
      <c r="B3" s="660" t="s">
        <v>513</v>
      </c>
      <c r="C3" s="660" t="s">
        <v>514</v>
      </c>
      <c r="D3" s="660" t="s">
        <v>515</v>
      </c>
      <c r="E3" s="660" t="s">
        <v>11</v>
      </c>
      <c r="F3" s="660" t="s">
        <v>516</v>
      </c>
      <c r="G3" s="660" t="s">
        <v>517</v>
      </c>
      <c r="H3" s="660" t="s">
        <v>518</v>
      </c>
      <c r="I3" s="660" t="s">
        <v>241</v>
      </c>
      <c r="J3" s="660" t="s">
        <v>519</v>
      </c>
      <c r="K3" s="660" t="s">
        <v>520</v>
      </c>
      <c r="L3" s="681" t="s">
        <v>521</v>
      </c>
      <c r="M3" s="682" t="s">
        <v>522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2.75" customHeight="1">
      <c r="A4" s="683">
        <v>0.0</v>
      </c>
      <c r="B4" s="662">
        <f>'E-Cal Inv.'!B8+'E-Cal Inv.'!C8</f>
        <v>19321378.19</v>
      </c>
      <c r="C4" s="277">
        <f>'E-Cal Inv.'!C18</f>
        <v>17829162.11</v>
      </c>
      <c r="D4" s="277">
        <f>'E-Cal Inv.'!B23+'E-Cal Inv.'!C23</f>
        <v>6677945.463</v>
      </c>
      <c r="E4" s="684">
        <v>0.0</v>
      </c>
      <c r="F4" s="685">
        <v>0.0</v>
      </c>
      <c r="G4" s="686">
        <f t="shared" ref="G4:G9" si="1">SUM(B4:F4)</f>
        <v>43828485.76</v>
      </c>
      <c r="H4" s="685">
        <v>0.0</v>
      </c>
      <c r="I4" s="277"/>
      <c r="J4" s="277"/>
      <c r="K4" s="349"/>
      <c r="L4" s="687">
        <f t="shared" ref="L4:L9" si="2">K4-G4</f>
        <v>-43828485.76</v>
      </c>
      <c r="M4" s="431">
        <f>L4</f>
        <v>-43828485.76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2.75" customHeight="1">
      <c r="A5" s="688">
        <v>1.0</v>
      </c>
      <c r="B5" s="689">
        <f>'E-Inv AF y Am'!C36</f>
        <v>4367863.602</v>
      </c>
      <c r="C5" s="310">
        <f>'E-Cal Inv.'!D18</f>
        <v>67796087.97</v>
      </c>
      <c r="D5" s="289">
        <f>'E-Cal Inv.'!D23</f>
        <v>15543346.63</v>
      </c>
      <c r="E5" s="277">
        <f>'E-Costos'!B$118</f>
        <v>1588924.76</v>
      </c>
      <c r="F5" s="289">
        <f>'E-Costos'!B119</f>
        <v>21688822.97</v>
      </c>
      <c r="G5" s="686">
        <f t="shared" si="1"/>
        <v>110985045.9</v>
      </c>
      <c r="H5" s="289">
        <f>'E-Costos'!B$117</f>
        <v>63556990.39</v>
      </c>
      <c r="I5" s="289">
        <f>'E-Inv AF y Am'!D56</f>
        <v>2981788.437</v>
      </c>
      <c r="J5" s="686">
        <f>'E-IVA '!C28</f>
        <v>22221292.09</v>
      </c>
      <c r="K5" s="690">
        <f t="shared" ref="K5:K9" si="3">SUM(H5:J5)</f>
        <v>88760070.92</v>
      </c>
      <c r="L5" s="687">
        <f t="shared" si="2"/>
        <v>-22224975.02</v>
      </c>
      <c r="M5" s="446">
        <f t="shared" ref="M5:M9" si="4">M4+L5</f>
        <v>-66053460.78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688">
        <v>2.0</v>
      </c>
      <c r="B6" s="664"/>
      <c r="C6" s="310">
        <f>'E-Cal Inv.'!E18</f>
        <v>-4571525.295</v>
      </c>
      <c r="D6" s="289">
        <f>'E-Cal Inv.'!E23</f>
        <v>0</v>
      </c>
      <c r="E6" s="277">
        <f>'E-Costos'!C118</f>
        <v>1984608.894</v>
      </c>
      <c r="F6" s="289">
        <f>'E-Costos'!C119</f>
        <v>27089911.4</v>
      </c>
      <c r="G6" s="686">
        <f t="shared" si="1"/>
        <v>24502995</v>
      </c>
      <c r="H6" s="289">
        <f>'E-Costos'!C$117</f>
        <v>79384355.76</v>
      </c>
      <c r="I6" s="289">
        <f>'E-Inv AF y Am'!D56</f>
        <v>2981788.437</v>
      </c>
      <c r="J6" s="686">
        <f>'E-IVA '!D28</f>
        <v>0</v>
      </c>
      <c r="K6" s="690">
        <f t="shared" si="3"/>
        <v>82366144.2</v>
      </c>
      <c r="L6" s="687">
        <f t="shared" si="2"/>
        <v>57863149.2</v>
      </c>
      <c r="M6" s="446">
        <f t="shared" si="4"/>
        <v>-8190311.587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12.75" customHeight="1">
      <c r="A7" s="688">
        <v>3.0</v>
      </c>
      <c r="B7" s="664"/>
      <c r="C7" s="300">
        <f>'E-Cal Inv.'!F18</f>
        <v>-2168.010395</v>
      </c>
      <c r="D7" s="289">
        <f>'E-Cal Inv.'!F23</f>
        <v>0</v>
      </c>
      <c r="E7" s="277">
        <f>'E-Costos'!D$118</f>
        <v>1983483.851</v>
      </c>
      <c r="F7" s="289">
        <f>'E-Costos'!D119</f>
        <v>27074554.57</v>
      </c>
      <c r="G7" s="686">
        <f t="shared" si="1"/>
        <v>29055870.41</v>
      </c>
      <c r="H7" s="289">
        <f>'E-Costos'!D$117</f>
        <v>79339354.06</v>
      </c>
      <c r="I7" s="289">
        <f>'E-Inv AF y Am'!D56</f>
        <v>2981788.437</v>
      </c>
      <c r="J7" s="686">
        <f>'E-IVA '!E28</f>
        <v>0</v>
      </c>
      <c r="K7" s="690">
        <f t="shared" si="3"/>
        <v>82321142.49</v>
      </c>
      <c r="L7" s="687">
        <f t="shared" si="2"/>
        <v>53265272.08</v>
      </c>
      <c r="M7" s="446">
        <f t="shared" si="4"/>
        <v>45074960.49</v>
      </c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12.75" customHeight="1">
      <c r="A8" s="688">
        <v>4.0</v>
      </c>
      <c r="B8" s="664"/>
      <c r="C8" s="300">
        <f>'E-Cal Inv.'!G18</f>
        <v>343602.6088</v>
      </c>
      <c r="D8" s="289">
        <f>'E-Cal Inv.'!G23</f>
        <v>0</v>
      </c>
      <c r="E8" s="277">
        <f>'E-Costos'!E$118</f>
        <v>1989192.883</v>
      </c>
      <c r="F8" s="289">
        <f>'E-Costos'!E119</f>
        <v>27152482.85</v>
      </c>
      <c r="G8" s="686">
        <f t="shared" si="1"/>
        <v>29485278.34</v>
      </c>
      <c r="H8" s="289">
        <f>'E-Costos'!E$117</f>
        <v>79567715.32</v>
      </c>
      <c r="I8" s="289">
        <f>'E-Inv AF y Am'!E56</f>
        <v>2576315.76</v>
      </c>
      <c r="J8" s="686">
        <f>'E-IVA '!F28</f>
        <v>0</v>
      </c>
      <c r="K8" s="690">
        <f t="shared" si="3"/>
        <v>82144031.08</v>
      </c>
      <c r="L8" s="687">
        <f t="shared" si="2"/>
        <v>52658752.73</v>
      </c>
      <c r="M8" s="446">
        <f t="shared" si="4"/>
        <v>97733713.23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12.75" customHeight="1">
      <c r="A9" s="688">
        <v>5.0</v>
      </c>
      <c r="B9" s="664">
        <f>('E-Inv AF y Am'!F56)</f>
        <v>-9591244.96</v>
      </c>
      <c r="C9" s="300">
        <f>-'E-Cal Inv.'!I18+'E-Cal Inv.'!H18</f>
        <v>-81395159.39</v>
      </c>
      <c r="D9" s="289">
        <f>'E-Cal Inv.'!H23</f>
        <v>0</v>
      </c>
      <c r="E9" s="277">
        <f>'E-Costos'!F$118</f>
        <v>1989282.155</v>
      </c>
      <c r="F9" s="289">
        <f>'E-Costos'!F119</f>
        <v>27153701.41</v>
      </c>
      <c r="G9" s="686">
        <f t="shared" si="1"/>
        <v>-61843420.78</v>
      </c>
      <c r="H9" s="289">
        <f>'E-Costos'!F$117</f>
        <v>79571286.19</v>
      </c>
      <c r="I9" s="289">
        <f>'E-Inv AF y Am'!E56</f>
        <v>2576315.76</v>
      </c>
      <c r="J9" s="686">
        <f>'E-IVA '!G28</f>
        <v>0</v>
      </c>
      <c r="K9" s="690">
        <f t="shared" si="3"/>
        <v>82147601.96</v>
      </c>
      <c r="L9" s="687">
        <f t="shared" si="2"/>
        <v>143991022.7</v>
      </c>
      <c r="M9" s="446">
        <f t="shared" si="4"/>
        <v>241724736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12.75" customHeight="1">
      <c r="A10" s="688"/>
      <c r="B10" s="664"/>
      <c r="C10" s="289"/>
      <c r="D10" s="289"/>
      <c r="E10" s="277"/>
      <c r="F10" s="289"/>
      <c r="G10" s="289"/>
      <c r="H10" s="289"/>
      <c r="I10" s="289"/>
      <c r="J10" s="289"/>
      <c r="K10" s="289"/>
      <c r="L10" s="357"/>
      <c r="M10" s="446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2.75" customHeight="1">
      <c r="A11" s="691" t="s">
        <v>523</v>
      </c>
      <c r="B11" s="692">
        <f t="shared" ref="B11:D11" si="5">SUM(B4:B10)</f>
        <v>14097996.83</v>
      </c>
      <c r="C11" s="692">
        <f t="shared" si="5"/>
        <v>0</v>
      </c>
      <c r="D11" s="692">
        <f t="shared" si="5"/>
        <v>22221292.09</v>
      </c>
      <c r="E11" s="692">
        <f>SUM(E5:E10)</f>
        <v>9535492.543</v>
      </c>
      <c r="F11" s="692">
        <f t="shared" ref="F11:K11" si="6">SUM(F4:F10)</f>
        <v>130159473.2</v>
      </c>
      <c r="G11" s="692">
        <f t="shared" si="6"/>
        <v>176014254.7</v>
      </c>
      <c r="H11" s="692">
        <f t="shared" si="6"/>
        <v>381419701.7</v>
      </c>
      <c r="I11" s="692">
        <f t="shared" si="6"/>
        <v>14097996.83</v>
      </c>
      <c r="J11" s="692">
        <f t="shared" si="6"/>
        <v>22221292.09</v>
      </c>
      <c r="K11" s="692">
        <f t="shared" si="6"/>
        <v>417738990.6</v>
      </c>
      <c r="L11" s="379">
        <f>K11-G11</f>
        <v>241724736</v>
      </c>
      <c r="M11" s="693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2.75" customHeight="1">
      <c r="A13" s="80"/>
      <c r="B13" s="80"/>
      <c r="C13" s="35" t="s">
        <v>524</v>
      </c>
      <c r="D13" s="694">
        <f>L11</f>
        <v>241724736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2.75" customHeight="1">
      <c r="A14" s="51"/>
      <c r="B14" s="80"/>
      <c r="C14" s="35" t="s">
        <v>525</v>
      </c>
      <c r="D14" s="695">
        <f>2-M6/M7</f>
        <v>2.181704243</v>
      </c>
      <c r="E14" s="80" t="s">
        <v>526</v>
      </c>
      <c r="F14" s="363" t="s">
        <v>527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2.75" customHeight="1">
      <c r="A15" s="80"/>
      <c r="B15" s="80"/>
      <c r="C15" s="35" t="s">
        <v>528</v>
      </c>
      <c r="D15" s="696">
        <f>IRR(L4:L9)</f>
        <v>0.5967906743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2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697" t="s">
        <v>529</v>
      </c>
      <c r="M16" s="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2.75" customHeight="1">
      <c r="A17" s="80"/>
      <c r="B17" s="80"/>
      <c r="C17" s="80"/>
      <c r="D17" s="80"/>
      <c r="E17" s="80"/>
      <c r="F17" s="80"/>
      <c r="G17" s="80"/>
      <c r="H17" s="80"/>
      <c r="I17" s="80"/>
      <c r="J17" s="698"/>
      <c r="K17" s="80"/>
      <c r="L17" s="697" t="s">
        <v>530</v>
      </c>
      <c r="M17" s="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2.75" customHeight="1">
      <c r="A18" s="80"/>
      <c r="B18" s="80"/>
      <c r="C18" s="80"/>
      <c r="D18" s="80"/>
      <c r="E18" s="80"/>
      <c r="F18" s="80"/>
      <c r="G18" s="363"/>
      <c r="I18" s="699"/>
      <c r="J18" s="80"/>
      <c r="K18" s="80"/>
      <c r="L18" s="700" t="s">
        <v>241</v>
      </c>
      <c r="M18" s="701" t="str">
        <f>IF(B11=I11,"OK","MAL")</f>
        <v>OK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2.75" customHeight="1">
      <c r="A19" s="80"/>
      <c r="C19" s="80"/>
      <c r="D19" s="702"/>
      <c r="E19" s="363"/>
      <c r="F19" s="80"/>
      <c r="G19" s="80"/>
      <c r="H19" s="80"/>
      <c r="I19" s="80"/>
      <c r="J19" s="80"/>
      <c r="K19" s="80"/>
      <c r="L19" s="700" t="s">
        <v>531</v>
      </c>
      <c r="M19" s="701" t="str">
        <f>IF(D11=J11,"OK","MAL")</f>
        <v>OK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2.75" customHeight="1">
      <c r="A20" s="80"/>
      <c r="B20" s="703" t="s">
        <v>532</v>
      </c>
      <c r="C20" s="704"/>
      <c r="D20" s="705"/>
      <c r="E20" s="80"/>
      <c r="F20" s="80"/>
      <c r="G20" s="80"/>
      <c r="H20" s="706"/>
      <c r="I20" s="363"/>
      <c r="J20" s="80"/>
      <c r="K20" s="80"/>
      <c r="L20" s="700" t="s">
        <v>533</v>
      </c>
      <c r="M20" s="701" t="str">
        <f>IF(C11=0,"OK","MAL")</f>
        <v>OK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2.75" customHeight="1">
      <c r="A21" s="80"/>
      <c r="B21" s="707" t="s">
        <v>534</v>
      </c>
      <c r="C21" s="708"/>
      <c r="D21" s="708"/>
      <c r="E21" s="80"/>
      <c r="F21" s="80"/>
      <c r="G21" s="80"/>
      <c r="H21" s="80"/>
      <c r="I21" s="80"/>
      <c r="J21" s="80"/>
      <c r="K21" s="80"/>
      <c r="L21" s="700" t="s">
        <v>535</v>
      </c>
      <c r="M21" s="701" t="str">
        <f>IF((H11-F11-E11)=L11,IF(L11=M9,"OK","MAL"),"MAL")</f>
        <v>OK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2.75" customHeight="1">
      <c r="A22" s="80"/>
      <c r="B22" s="709">
        <f>H11-F11-E11-L11</f>
        <v>-0.0000001192092896</v>
      </c>
      <c r="C22" s="707" t="s">
        <v>536</v>
      </c>
      <c r="D22" s="335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2.75" customHeight="1">
      <c r="A23" s="80"/>
      <c r="B23" s="363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2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2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2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2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2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2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2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2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2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2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2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2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2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2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2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2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2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2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2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2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2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2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2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2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2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2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2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2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2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2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2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2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2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2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2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2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2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2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2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2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2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2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2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2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2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2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2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2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2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2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2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2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2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2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2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2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2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2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2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2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2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2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2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2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2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2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2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2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2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2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2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2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2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2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2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2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2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2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2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2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2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2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2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2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2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2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2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2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2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2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2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2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2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2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2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2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2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2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2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2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2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2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2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2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2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2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2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2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2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2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2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2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2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2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2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2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2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2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2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2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2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2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2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2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2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2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2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2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2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2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2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2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2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2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2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2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2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2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2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2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2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2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2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2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2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2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2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2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2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2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2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2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2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2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2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2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2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2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2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2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2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2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2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2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2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2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2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2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2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2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2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2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2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2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2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2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2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2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2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2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2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2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2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2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2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2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2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2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2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2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2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2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2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2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2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2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2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2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2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2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2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2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2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2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2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2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2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2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2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2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2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2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2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2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2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2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2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2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2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2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2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2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2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2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2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2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2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2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2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2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2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2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2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2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2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2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2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2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2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2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2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2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2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2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2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2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2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2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2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2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2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2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2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2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2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2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2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2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2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2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2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2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2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2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2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2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2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2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2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2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2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2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2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2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2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2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2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2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2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2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2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2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2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2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2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2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2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2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2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2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2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2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2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2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2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2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2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2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2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2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2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2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2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2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2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2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2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2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2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2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2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2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2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2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2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2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2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2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2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2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2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2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2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2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2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2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2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2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2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2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2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2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2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2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2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2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2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2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2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2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2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2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2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2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2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2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2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2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2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2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2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2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2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2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2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2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2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2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2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2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2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2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2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2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2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2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2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2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2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2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2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2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2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2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2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2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2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2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2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2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2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2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2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2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2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2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2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2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2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2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2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2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2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2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2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2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2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2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2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2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2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2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2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2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2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2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2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2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2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2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2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2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2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2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2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2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2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2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2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2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2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2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2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2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2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2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2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2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2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2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2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2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2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2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2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2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2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2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2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2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2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2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2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2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2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2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2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2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2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2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2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2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2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2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2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2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2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2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2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2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2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2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2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2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2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2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2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2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2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2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2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2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2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2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2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2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2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2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2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2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2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2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2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2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2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2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2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2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2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2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2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2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2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2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2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2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2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2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2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2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2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2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2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2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2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2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2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2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2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2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2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2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2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2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2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2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2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2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2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2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2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2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2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2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2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2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2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2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2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2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2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2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2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2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2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2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2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2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2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2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2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2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2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2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2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2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2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2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2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2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2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2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2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2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2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2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2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2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2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2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2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2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2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2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2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2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2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2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2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2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2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2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2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2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2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2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2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2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2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2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2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2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2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2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2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2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2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2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2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2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2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2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2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2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2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2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2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2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2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2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2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2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2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2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2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2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2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2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2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2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2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2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2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2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2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2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2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2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2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2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2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2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2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2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2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2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2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2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2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2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2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2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2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2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2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2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2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2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2">
    <mergeCell ref="L16:M16"/>
    <mergeCell ref="L17:M17"/>
  </mergeCells>
  <conditionalFormatting sqref="M18">
    <cfRule type="cellIs" dxfId="1" priority="1" operator="equal">
      <formula>"OK"</formula>
    </cfRule>
  </conditionalFormatting>
  <conditionalFormatting sqref="M18">
    <cfRule type="cellIs" dxfId="2" priority="2" operator="equal">
      <formula>"MAL"</formula>
    </cfRule>
  </conditionalFormatting>
  <conditionalFormatting sqref="M19">
    <cfRule type="cellIs" dxfId="1" priority="3" operator="equal">
      <formula>"OK"</formula>
    </cfRule>
  </conditionalFormatting>
  <conditionalFormatting sqref="M19">
    <cfRule type="cellIs" dxfId="2" priority="4" operator="equal">
      <formula>"MAL"</formula>
    </cfRule>
  </conditionalFormatting>
  <conditionalFormatting sqref="M20">
    <cfRule type="cellIs" dxfId="1" priority="5" operator="equal">
      <formula>"OK"</formula>
    </cfRule>
  </conditionalFormatting>
  <conditionalFormatting sqref="M20">
    <cfRule type="cellIs" dxfId="2" priority="6" operator="equal">
      <formula>"MAL"</formula>
    </cfRule>
  </conditionalFormatting>
  <conditionalFormatting sqref="M21">
    <cfRule type="cellIs" dxfId="1" priority="7" operator="equal">
      <formula>"OK"</formula>
    </cfRule>
  </conditionalFormatting>
  <conditionalFormatting sqref="M21">
    <cfRule type="cellIs" dxfId="2" priority="8" operator="equal">
      <formula>"MAL"</formula>
    </cfRule>
  </conditionalFormatting>
  <conditionalFormatting sqref="J17">
    <cfRule type="cellIs" dxfId="1" priority="9" operator="equal">
      <formula>"OK"</formula>
    </cfRule>
  </conditionalFormatting>
  <conditionalFormatting sqref="J17">
    <cfRule type="cellIs" dxfId="2" priority="10" operator="equal">
      <formula>"MAL"</formula>
    </cfRule>
  </conditionalFormatting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710"/>
      <c r="B1" s="492"/>
      <c r="C1" s="492"/>
      <c r="D1" s="711" t="s">
        <v>71</v>
      </c>
      <c r="E1" s="712"/>
      <c r="F1" s="711"/>
      <c r="G1" s="713">
        <v>30.0</v>
      </c>
      <c r="H1" s="492"/>
      <c r="I1" s="492"/>
      <c r="J1" s="492"/>
    </row>
    <row r="2">
      <c r="A2" s="710" t="s">
        <v>537</v>
      </c>
      <c r="B2" s="492"/>
      <c r="C2" s="492"/>
      <c r="D2" s="711"/>
      <c r="E2" s="711" t="s">
        <v>72</v>
      </c>
      <c r="F2" s="711"/>
      <c r="G2" s="714">
        <v>0.5</v>
      </c>
      <c r="H2" s="492"/>
      <c r="I2" s="492"/>
      <c r="J2" s="492"/>
    </row>
    <row r="3">
      <c r="A3" s="494" t="s">
        <v>538</v>
      </c>
      <c r="B3" s="715">
        <f>'Calculos auxiliares'!F218/12</f>
        <v>240480</v>
      </c>
      <c r="C3" s="492"/>
      <c r="D3" s="711"/>
      <c r="E3" s="711" t="s">
        <v>75</v>
      </c>
      <c r="F3" s="711"/>
      <c r="G3" s="716">
        <v>0.24</v>
      </c>
      <c r="H3" s="492"/>
      <c r="I3" s="492"/>
      <c r="J3" s="492"/>
    </row>
    <row r="4">
      <c r="A4" s="494" t="s">
        <v>539</v>
      </c>
      <c r="B4" s="717">
        <f>'Calculos auxiliares'!F246</f>
        <v>103.9957104</v>
      </c>
      <c r="C4" s="492"/>
      <c r="D4" s="492"/>
      <c r="E4" s="492"/>
      <c r="F4" s="718"/>
      <c r="G4" s="719"/>
      <c r="H4" s="492"/>
      <c r="I4" s="492"/>
      <c r="J4" s="492"/>
    </row>
    <row r="5">
      <c r="A5" s="500" t="s">
        <v>540</v>
      </c>
      <c r="B5" s="500">
        <f>B3*B4</f>
        <v>25008888.44</v>
      </c>
      <c r="C5" s="492"/>
      <c r="D5" s="492"/>
      <c r="E5" s="492"/>
      <c r="F5" s="492"/>
      <c r="G5" s="492"/>
      <c r="H5" s="492"/>
      <c r="I5" s="492"/>
      <c r="J5" s="492"/>
    </row>
    <row r="6">
      <c r="A6" s="492"/>
      <c r="B6" s="492"/>
      <c r="C6" s="492"/>
      <c r="D6" s="492"/>
      <c r="E6" s="492"/>
      <c r="F6" s="492"/>
      <c r="G6" s="492"/>
      <c r="H6" s="492"/>
      <c r="I6" s="492"/>
      <c r="J6" s="492"/>
    </row>
    <row r="7">
      <c r="A7" s="494" t="s">
        <v>541</v>
      </c>
      <c r="B7" s="494">
        <f>B5*G2</f>
        <v>12504444.22</v>
      </c>
      <c r="C7" s="492"/>
      <c r="D7" s="492"/>
      <c r="E7" s="492"/>
      <c r="F7" s="492"/>
      <c r="G7" s="492"/>
      <c r="H7" s="492"/>
      <c r="I7" s="492"/>
      <c r="J7" s="492"/>
    </row>
    <row r="8">
      <c r="A8" s="494" t="s">
        <v>542</v>
      </c>
      <c r="B8" s="720">
        <f>+B7*G3*G1/365</f>
        <v>246663.0092</v>
      </c>
      <c r="C8" s="492"/>
      <c r="D8" s="492"/>
      <c r="E8" s="492"/>
      <c r="F8" s="492"/>
      <c r="G8" s="492"/>
      <c r="H8" s="492"/>
      <c r="I8" s="492"/>
      <c r="J8" s="492"/>
    </row>
    <row r="9">
      <c r="A9" s="494" t="s">
        <v>543</v>
      </c>
      <c r="B9" s="721">
        <v>12.0</v>
      </c>
      <c r="C9" s="492"/>
      <c r="D9" s="492"/>
      <c r="E9" s="492"/>
      <c r="F9" s="492"/>
      <c r="G9" s="492"/>
      <c r="H9" s="492"/>
      <c r="I9" s="492"/>
      <c r="J9" s="492"/>
    </row>
    <row r="10">
      <c r="A10" s="500" t="s">
        <v>544</v>
      </c>
      <c r="B10" s="722">
        <f>+B8*B9</f>
        <v>2959956.111</v>
      </c>
      <c r="C10" s="492"/>
      <c r="D10" s="492"/>
      <c r="E10" s="492"/>
      <c r="F10" s="492"/>
      <c r="G10" s="492"/>
      <c r="H10" s="492"/>
      <c r="I10" s="492"/>
      <c r="J10" s="492"/>
    </row>
    <row r="11">
      <c r="A11" s="492"/>
      <c r="B11" s="492"/>
      <c r="C11" s="492"/>
      <c r="D11" s="492"/>
      <c r="E11" s="492"/>
      <c r="F11" s="492"/>
      <c r="G11" s="492"/>
      <c r="H11" s="492"/>
      <c r="I11" s="492"/>
      <c r="J11" s="492"/>
    </row>
    <row r="12">
      <c r="A12" s="723" t="s">
        <v>545</v>
      </c>
      <c r="B12" s="724">
        <f>+B10/InfoInicial!$B$41</f>
        <v>12333150.46</v>
      </c>
      <c r="C12" s="492"/>
      <c r="D12" s="492"/>
      <c r="E12" s="492"/>
      <c r="F12" s="492"/>
      <c r="G12" s="492"/>
      <c r="H12" s="492"/>
      <c r="I12" s="492"/>
      <c r="J12" s="492"/>
    </row>
    <row r="13">
      <c r="A13" s="492"/>
      <c r="B13" s="492"/>
      <c r="C13" s="492"/>
      <c r="D13" s="492"/>
      <c r="E13" s="492"/>
      <c r="F13" s="492"/>
      <c r="G13" s="492"/>
      <c r="H13" s="492"/>
      <c r="I13" s="492"/>
      <c r="J13" s="492"/>
    </row>
    <row r="14">
      <c r="A14" s="492"/>
      <c r="B14" s="492"/>
      <c r="C14" s="492"/>
      <c r="D14" s="492"/>
      <c r="E14" s="492"/>
      <c r="F14" s="492"/>
      <c r="G14" s="492"/>
      <c r="H14" s="492"/>
      <c r="I14" s="492"/>
      <c r="J14" s="492"/>
    </row>
    <row r="15">
      <c r="A15" s="491" t="s">
        <v>546</v>
      </c>
      <c r="C15" s="494" t="s">
        <v>547</v>
      </c>
      <c r="E15" s="492"/>
      <c r="F15" s="492"/>
      <c r="G15" s="492"/>
      <c r="H15" s="492"/>
      <c r="I15" s="492"/>
      <c r="J15" s="492"/>
    </row>
    <row r="16">
      <c r="A16" s="491" t="s">
        <v>548</v>
      </c>
      <c r="B16" s="492"/>
      <c r="C16" s="494" t="s">
        <v>549</v>
      </c>
      <c r="I16" s="492"/>
      <c r="J16" s="492"/>
    </row>
    <row r="17">
      <c r="A17" s="491" t="s">
        <v>550</v>
      </c>
      <c r="B17" s="492"/>
      <c r="C17" s="494" t="s">
        <v>551</v>
      </c>
      <c r="E17" s="492"/>
      <c r="F17" s="492"/>
      <c r="G17" s="492"/>
      <c r="H17" s="492"/>
      <c r="I17" s="492"/>
      <c r="J17" s="492"/>
    </row>
    <row r="18">
      <c r="A18" s="491" t="s">
        <v>552</v>
      </c>
      <c r="B18" s="492"/>
      <c r="C18" s="494" t="s">
        <v>553</v>
      </c>
      <c r="D18" s="492"/>
      <c r="E18" s="492"/>
      <c r="F18" s="492"/>
      <c r="G18" s="492"/>
      <c r="H18" s="492"/>
      <c r="I18" s="492"/>
      <c r="J18" s="492"/>
    </row>
    <row r="19">
      <c r="A19" s="491" t="s">
        <v>554</v>
      </c>
      <c r="B19" s="492"/>
      <c r="C19" s="725">
        <v>0.17</v>
      </c>
      <c r="D19" s="494" t="s">
        <v>64</v>
      </c>
      <c r="E19" s="726">
        <v>0.085</v>
      </c>
      <c r="F19" s="494" t="s">
        <v>555</v>
      </c>
      <c r="G19" s="492"/>
      <c r="H19" s="492"/>
      <c r="I19" s="492"/>
      <c r="J19" s="492"/>
    </row>
    <row r="20">
      <c r="A20" s="491" t="s">
        <v>556</v>
      </c>
      <c r="B20" s="492"/>
      <c r="C20" s="614">
        <v>60.0</v>
      </c>
      <c r="D20" s="494" t="s">
        <v>557</v>
      </c>
      <c r="E20" s="492"/>
      <c r="F20" s="492"/>
      <c r="G20" s="492"/>
      <c r="H20" s="492"/>
      <c r="I20" s="492"/>
      <c r="J20" s="492"/>
    </row>
    <row r="21">
      <c r="A21" s="491" t="s">
        <v>558</v>
      </c>
      <c r="C21" s="725">
        <v>9.0E-4</v>
      </c>
      <c r="D21" s="494" t="s">
        <v>64</v>
      </c>
      <c r="E21" s="492"/>
      <c r="F21" s="492"/>
      <c r="G21" s="492"/>
      <c r="H21" s="492"/>
      <c r="I21" s="492"/>
      <c r="J21" s="492"/>
    </row>
    <row r="22">
      <c r="A22" s="491" t="s">
        <v>559</v>
      </c>
      <c r="B22" s="492"/>
      <c r="C22" s="727">
        <v>0.02</v>
      </c>
      <c r="D22" s="492"/>
      <c r="E22" s="492"/>
      <c r="F22" s="492"/>
      <c r="G22" s="492"/>
      <c r="H22" s="492"/>
      <c r="I22" s="492"/>
      <c r="J22" s="492"/>
    </row>
    <row r="23">
      <c r="A23" s="491" t="s">
        <v>560</v>
      </c>
      <c r="B23" s="492"/>
      <c r="C23" s="727">
        <v>1.0</v>
      </c>
      <c r="D23" s="494" t="s">
        <v>561</v>
      </c>
      <c r="E23" s="492"/>
      <c r="F23" s="492"/>
      <c r="G23" s="492"/>
      <c r="H23" s="492"/>
      <c r="I23" s="492"/>
      <c r="J23" s="492"/>
    </row>
    <row r="24">
      <c r="A24" s="728"/>
      <c r="B24" s="492"/>
      <c r="C24" s="727">
        <v>0.2</v>
      </c>
      <c r="D24" s="494" t="s">
        <v>562</v>
      </c>
      <c r="F24" s="492"/>
      <c r="G24" s="492"/>
      <c r="H24" s="492"/>
      <c r="I24" s="492"/>
      <c r="J24" s="492"/>
    </row>
    <row r="25">
      <c r="A25" s="491" t="s">
        <v>563</v>
      </c>
      <c r="C25" s="494" t="s">
        <v>564</v>
      </c>
      <c r="D25" s="492"/>
      <c r="E25" s="492"/>
      <c r="F25" s="492"/>
      <c r="G25" s="492"/>
      <c r="H25" s="492"/>
      <c r="I25" s="492"/>
      <c r="J25" s="492"/>
    </row>
    <row r="26">
      <c r="A26" s="491" t="s">
        <v>565</v>
      </c>
      <c r="C26" s="494" t="s">
        <v>538</v>
      </c>
      <c r="D26" s="492"/>
      <c r="E26" s="492"/>
      <c r="F26" s="492"/>
      <c r="G26" s="492"/>
      <c r="H26" s="492"/>
      <c r="I26" s="492"/>
      <c r="J26" s="492"/>
    </row>
    <row r="27">
      <c r="A27" s="491" t="s">
        <v>566</v>
      </c>
      <c r="B27" s="492"/>
      <c r="C27" s="494" t="s">
        <v>567</v>
      </c>
      <c r="D27" s="492"/>
      <c r="E27" s="492"/>
      <c r="F27" s="492"/>
      <c r="G27" s="492"/>
      <c r="H27" s="492"/>
      <c r="I27" s="492"/>
      <c r="J27" s="492"/>
    </row>
    <row r="28">
      <c r="A28" s="491" t="s">
        <v>568</v>
      </c>
      <c r="B28" s="492"/>
      <c r="C28" s="729" t="s">
        <v>569</v>
      </c>
      <c r="H28" s="492"/>
      <c r="I28" s="492"/>
      <c r="J28" s="492"/>
    </row>
    <row r="29">
      <c r="A29" s="492"/>
      <c r="B29" s="492"/>
      <c r="C29" s="729" t="s">
        <v>570</v>
      </c>
      <c r="J29" s="492"/>
    </row>
    <row r="30">
      <c r="A30" s="492"/>
      <c r="B30" s="492"/>
      <c r="C30" s="730"/>
      <c r="D30" s="492"/>
      <c r="E30" s="492"/>
      <c r="F30" s="492"/>
      <c r="G30" s="492"/>
      <c r="H30" s="492"/>
      <c r="I30" s="492"/>
      <c r="J30" s="492"/>
    </row>
    <row r="31">
      <c r="A31" s="731" t="s">
        <v>571</v>
      </c>
      <c r="B31" s="732"/>
      <c r="C31" s="732"/>
      <c r="D31" s="732"/>
      <c r="E31" s="732"/>
      <c r="F31" s="732"/>
      <c r="G31" s="732"/>
      <c r="H31" s="732"/>
    </row>
    <row r="32">
      <c r="A32" s="733" t="s">
        <v>572</v>
      </c>
      <c r="B32" s="734" t="s">
        <v>573</v>
      </c>
      <c r="C32" s="734" t="s">
        <v>574</v>
      </c>
      <c r="D32" s="734" t="s">
        <v>575</v>
      </c>
      <c r="E32" s="734" t="s">
        <v>574</v>
      </c>
      <c r="F32" s="734" t="s">
        <v>576</v>
      </c>
      <c r="G32" s="734" t="s">
        <v>577</v>
      </c>
      <c r="H32" s="735"/>
    </row>
    <row r="33">
      <c r="A33" s="736"/>
      <c r="B33" s="735"/>
      <c r="C33" s="734" t="s">
        <v>555</v>
      </c>
      <c r="D33" s="734" t="s">
        <v>555</v>
      </c>
      <c r="E33" s="737" t="s">
        <v>64</v>
      </c>
      <c r="F33" s="734" t="s">
        <v>64</v>
      </c>
      <c r="G33" s="734" t="s">
        <v>578</v>
      </c>
      <c r="H33" s="734" t="s">
        <v>579</v>
      </c>
    </row>
    <row r="34">
      <c r="A34" s="738" t="s">
        <v>580</v>
      </c>
      <c r="B34" s="739">
        <f>'F-Cred'!D5/2</f>
        <v>4487448.647</v>
      </c>
      <c r="C34" s="739"/>
      <c r="D34" s="740"/>
      <c r="E34" s="351" t="s">
        <v>581</v>
      </c>
      <c r="F34" s="741"/>
      <c r="G34" s="740">
        <f>B34*C22</f>
        <v>89748.97295</v>
      </c>
      <c r="H34" s="741"/>
    </row>
    <row r="35">
      <c r="A35" s="742" t="s">
        <v>582</v>
      </c>
      <c r="B35" s="743">
        <f>'F-Cred'!D5</f>
        <v>8974897.295</v>
      </c>
      <c r="C35" s="351"/>
      <c r="D35" s="351">
        <f>B34*$E$19*0.5</f>
        <v>190716.5675</v>
      </c>
      <c r="E35" s="351"/>
      <c r="F35" s="351"/>
      <c r="G35" s="351">
        <f>(B35-B34)*C22</f>
        <v>89748.97295</v>
      </c>
      <c r="H35" s="359"/>
    </row>
    <row r="36">
      <c r="A36" s="738" t="s">
        <v>583</v>
      </c>
      <c r="B36" s="743">
        <f>'F-Cred'!D5</f>
        <v>8974897.295</v>
      </c>
      <c r="C36" s="744"/>
      <c r="D36" s="744">
        <f>B35*$E$19</f>
        <v>762866.27</v>
      </c>
      <c r="E36" s="744"/>
      <c r="F36" s="744"/>
      <c r="G36" s="744"/>
      <c r="H36" s="745"/>
    </row>
    <row r="37">
      <c r="A37" s="746" t="s">
        <v>584</v>
      </c>
      <c r="B37" s="747"/>
      <c r="C37" s="747"/>
      <c r="D37" s="748">
        <f>sum(D35:D36)</f>
        <v>953582.8375</v>
      </c>
      <c r="E37" s="749" t="s">
        <v>581</v>
      </c>
      <c r="F37" s="750">
        <f>D37</f>
        <v>953582.8375</v>
      </c>
      <c r="G37" s="751">
        <f>SUM(G34:G35)</f>
        <v>179497.9459</v>
      </c>
      <c r="H37" s="752">
        <f>F37+G37</f>
        <v>1133080.783</v>
      </c>
    </row>
    <row r="38">
      <c r="A38" s="753">
        <v>37072.0</v>
      </c>
      <c r="B38" s="754">
        <f>B36-C38</f>
        <v>8077407.565</v>
      </c>
      <c r="C38" s="755">
        <f t="shared" ref="C38:C47" si="1">$B$35/10</f>
        <v>897489.7295</v>
      </c>
      <c r="D38" s="754">
        <f>B36*0.085</f>
        <v>762866.27</v>
      </c>
      <c r="E38" s="754"/>
      <c r="F38" s="756"/>
      <c r="G38" s="757"/>
      <c r="H38" s="758"/>
    </row>
    <row r="39">
      <c r="A39" s="759">
        <v>37256.0</v>
      </c>
      <c r="B39" s="359">
        <f t="shared" ref="B39:B47" si="2">B38-C39</f>
        <v>7179917.836</v>
      </c>
      <c r="C39" s="760">
        <f t="shared" si="1"/>
        <v>897489.7295</v>
      </c>
      <c r="D39" s="359">
        <f t="shared" ref="D39:D47" si="3">B38*0.085</f>
        <v>686579.643</v>
      </c>
      <c r="E39" s="351">
        <f>B35/5</f>
        <v>1794979.459</v>
      </c>
      <c r="F39" s="359">
        <f>D38+D39</f>
        <v>1449445.913</v>
      </c>
      <c r="G39" s="761">
        <f>B39*$C$21</f>
        <v>6461.926052</v>
      </c>
      <c r="H39" s="356">
        <f>F39+G39</f>
        <v>1455907.839</v>
      </c>
    </row>
    <row r="40">
      <c r="A40" s="753">
        <v>37437.0</v>
      </c>
      <c r="B40" s="359">
        <f t="shared" si="2"/>
        <v>6282428.106</v>
      </c>
      <c r="C40" s="760">
        <f t="shared" si="1"/>
        <v>897489.7295</v>
      </c>
      <c r="D40" s="359">
        <f t="shared" si="3"/>
        <v>610293.016</v>
      </c>
      <c r="E40" s="359"/>
      <c r="F40" s="351"/>
      <c r="G40" s="761"/>
      <c r="H40" s="356"/>
      <c r="L40" s="762"/>
      <c r="M40" s="762"/>
    </row>
    <row r="41">
      <c r="A41" s="759">
        <v>37621.0</v>
      </c>
      <c r="B41" s="359">
        <f t="shared" si="2"/>
        <v>5384938.377</v>
      </c>
      <c r="C41" s="760">
        <f t="shared" si="1"/>
        <v>897489.7295</v>
      </c>
      <c r="D41" s="359">
        <f t="shared" si="3"/>
        <v>534006.389</v>
      </c>
      <c r="E41" s="351">
        <f>$B$35/5</f>
        <v>1794979.459</v>
      </c>
      <c r="F41" s="359">
        <f>D40+D41</f>
        <v>1144299.405</v>
      </c>
      <c r="G41" s="761">
        <f>B41*$C$21</f>
        <v>4846.444539</v>
      </c>
      <c r="H41" s="356">
        <f>F41+G41</f>
        <v>1149145.85</v>
      </c>
      <c r="L41" s="763"/>
      <c r="M41" s="763"/>
    </row>
    <row r="42">
      <c r="A42" s="753">
        <v>37802.0</v>
      </c>
      <c r="B42" s="359">
        <f t="shared" si="2"/>
        <v>4487448.647</v>
      </c>
      <c r="C42" s="760">
        <f t="shared" si="1"/>
        <v>897489.7295</v>
      </c>
      <c r="D42" s="359">
        <f t="shared" si="3"/>
        <v>457719.762</v>
      </c>
      <c r="E42" s="359"/>
      <c r="F42" s="351"/>
      <c r="G42" s="761"/>
      <c r="H42" s="356"/>
    </row>
    <row r="43">
      <c r="A43" s="759">
        <v>37986.0</v>
      </c>
      <c r="B43" s="359">
        <f t="shared" si="2"/>
        <v>3589958.918</v>
      </c>
      <c r="C43" s="760">
        <f t="shared" si="1"/>
        <v>897489.7295</v>
      </c>
      <c r="D43" s="359">
        <f t="shared" si="3"/>
        <v>381433.135</v>
      </c>
      <c r="E43" s="351">
        <f>$B$35/5</f>
        <v>1794979.459</v>
      </c>
      <c r="F43" s="359">
        <f>D42+D43</f>
        <v>839152.897</v>
      </c>
      <c r="G43" s="761">
        <f>B43*$C$21</f>
        <v>3230.963026</v>
      </c>
      <c r="H43" s="356">
        <f>F43+G43</f>
        <v>842383.8601</v>
      </c>
      <c r="L43" s="715"/>
      <c r="M43" s="764"/>
    </row>
    <row r="44">
      <c r="A44" s="753">
        <v>38168.0</v>
      </c>
      <c r="B44" s="359">
        <f t="shared" si="2"/>
        <v>2692469.188</v>
      </c>
      <c r="C44" s="760">
        <f t="shared" si="1"/>
        <v>897489.7295</v>
      </c>
      <c r="D44" s="359">
        <f t="shared" si="3"/>
        <v>305146.508</v>
      </c>
      <c r="E44" s="359"/>
      <c r="F44" s="351"/>
      <c r="G44" s="761"/>
      <c r="H44" s="356"/>
      <c r="L44" s="765"/>
      <c r="M44" s="765"/>
    </row>
    <row r="45">
      <c r="A45" s="759">
        <v>38352.0</v>
      </c>
      <c r="B45" s="359">
        <f t="shared" si="2"/>
        <v>1794979.459</v>
      </c>
      <c r="C45" s="760">
        <f t="shared" si="1"/>
        <v>897489.7295</v>
      </c>
      <c r="D45" s="359">
        <f t="shared" si="3"/>
        <v>228859.881</v>
      </c>
      <c r="E45" s="351">
        <f>$B$35/5</f>
        <v>1794979.459</v>
      </c>
      <c r="F45" s="359">
        <f>D44+D45</f>
        <v>534006.389</v>
      </c>
      <c r="G45" s="761">
        <f>B45*$C$21</f>
        <v>1615.481513</v>
      </c>
      <c r="H45" s="356">
        <f>F45+G45</f>
        <v>535621.8705</v>
      </c>
      <c r="L45" s="765"/>
      <c r="M45" s="765"/>
    </row>
    <row r="46">
      <c r="A46" s="753">
        <v>38533.0</v>
      </c>
      <c r="B46" s="359">
        <f t="shared" si="2"/>
        <v>897489.7294</v>
      </c>
      <c r="C46" s="760">
        <f t="shared" si="1"/>
        <v>897489.7295</v>
      </c>
      <c r="D46" s="359">
        <f t="shared" si="3"/>
        <v>152573.254</v>
      </c>
      <c r="E46" s="359"/>
      <c r="F46" s="351"/>
      <c r="H46" s="356"/>
      <c r="L46" s="766"/>
      <c r="M46" s="767"/>
    </row>
    <row r="47">
      <c r="A47" s="753">
        <v>38717.0</v>
      </c>
      <c r="B47" s="359">
        <f t="shared" si="2"/>
        <v>-0.000000001629814506</v>
      </c>
      <c r="C47" s="760">
        <f t="shared" si="1"/>
        <v>897489.7295</v>
      </c>
      <c r="D47" s="359">
        <f t="shared" si="3"/>
        <v>76286.627</v>
      </c>
      <c r="E47" s="351">
        <f>$B$35/5</f>
        <v>1794979.459</v>
      </c>
      <c r="F47" s="359">
        <f>D46+D47</f>
        <v>228859.881</v>
      </c>
      <c r="G47" s="761">
        <f>B46*$C$21</f>
        <v>807.7407565</v>
      </c>
      <c r="H47" s="356">
        <f>F47+G47</f>
        <v>229667.6218</v>
      </c>
      <c r="L47" s="766"/>
      <c r="M47" s="767"/>
    </row>
    <row r="48">
      <c r="A48" s="770" t="s">
        <v>586</v>
      </c>
      <c r="B48" s="771"/>
      <c r="C48" s="773">
        <f>SUM(C38:C47)</f>
        <v>8974897.295</v>
      </c>
      <c r="D48" s="773">
        <f>SUM(D35:D47)</f>
        <v>6102930.16</v>
      </c>
      <c r="E48" s="773">
        <f>SUM(E38:E47)</f>
        <v>8974897.295</v>
      </c>
      <c r="F48" s="775">
        <f>SUM(F36:F47)</f>
        <v>5149347.323</v>
      </c>
      <c r="G48" s="773">
        <f>SUM(G34:G47)</f>
        <v>375958.4477</v>
      </c>
      <c r="H48" s="777" t="s">
        <v>581</v>
      </c>
      <c r="L48" s="778"/>
      <c r="M48" s="778"/>
    </row>
    <row r="49">
      <c r="A49" s="492"/>
      <c r="B49" s="492"/>
      <c r="C49" s="492"/>
      <c r="D49" s="492"/>
      <c r="E49" s="492"/>
      <c r="F49" s="492"/>
      <c r="G49" s="492"/>
      <c r="H49" s="492"/>
      <c r="I49" s="492"/>
      <c r="J49" s="492"/>
      <c r="L49" s="778"/>
      <c r="M49" s="778"/>
    </row>
    <row r="50">
      <c r="A50" s="731" t="s">
        <v>592</v>
      </c>
      <c r="B50" s="732"/>
      <c r="C50" s="732"/>
      <c r="D50" s="732"/>
      <c r="E50" s="779"/>
      <c r="F50" s="492"/>
      <c r="G50" s="492"/>
      <c r="H50" s="492"/>
      <c r="I50" s="492"/>
      <c r="J50" s="492"/>
      <c r="L50" s="778"/>
      <c r="M50" s="778"/>
    </row>
    <row r="51">
      <c r="A51" s="733" t="s">
        <v>572</v>
      </c>
      <c r="B51" s="734" t="s">
        <v>573</v>
      </c>
      <c r="C51" s="734" t="s">
        <v>575</v>
      </c>
      <c r="D51" s="734" t="s">
        <v>573</v>
      </c>
      <c r="E51" s="780" t="s">
        <v>575</v>
      </c>
      <c r="F51" s="492"/>
      <c r="G51" s="492"/>
      <c r="H51" s="492"/>
      <c r="I51" s="492"/>
      <c r="J51" s="492"/>
      <c r="L51" s="778"/>
      <c r="M51" s="778"/>
    </row>
    <row r="52">
      <c r="A52" s="782"/>
      <c r="B52" s="783"/>
      <c r="C52" s="784" t="s">
        <v>555</v>
      </c>
      <c r="D52" s="784" t="s">
        <v>594</v>
      </c>
      <c r="E52" s="785" t="s">
        <v>64</v>
      </c>
      <c r="F52" s="492"/>
      <c r="G52" s="492"/>
      <c r="H52" s="492"/>
      <c r="I52" s="492"/>
      <c r="J52" s="492"/>
      <c r="L52" s="778"/>
      <c r="M52" s="778"/>
    </row>
    <row r="53">
      <c r="A53" s="786">
        <v>37072.0</v>
      </c>
      <c r="B53" s="498">
        <v>0.0</v>
      </c>
      <c r="C53" s="787">
        <v>0.0</v>
      </c>
      <c r="D53" s="788"/>
      <c r="E53" s="789"/>
      <c r="F53" s="492"/>
      <c r="G53" s="492"/>
      <c r="H53" s="492"/>
      <c r="I53" s="492"/>
      <c r="J53" s="492"/>
      <c r="L53" s="778"/>
      <c r="M53" s="778"/>
    </row>
    <row r="54">
      <c r="A54" s="790">
        <v>37256.0</v>
      </c>
      <c r="B54" s="791">
        <f>B12</f>
        <v>12333150.46</v>
      </c>
      <c r="C54" s="793">
        <f t="shared" ref="C54:C62" si="4">B54*$G$3/12</f>
        <v>246663.0092</v>
      </c>
      <c r="D54" s="498">
        <f>(B53+B54)/2</f>
        <v>6166575.231</v>
      </c>
      <c r="E54" s="795">
        <f>C53+C54</f>
        <v>246663.0092</v>
      </c>
      <c r="F54" s="492"/>
      <c r="G54" s="492"/>
      <c r="H54" s="492"/>
      <c r="I54" s="492"/>
      <c r="J54" s="492"/>
      <c r="L54" s="778"/>
      <c r="M54" s="778"/>
    </row>
    <row r="55">
      <c r="A55" s="786">
        <v>37437.0</v>
      </c>
      <c r="B55" s="791">
        <f>B12</f>
        <v>12333150.46</v>
      </c>
      <c r="C55" s="793">
        <f t="shared" si="4"/>
        <v>246663.0092</v>
      </c>
      <c r="D55" s="498"/>
      <c r="E55" s="798"/>
      <c r="F55" s="492"/>
      <c r="G55" s="492"/>
      <c r="H55" s="492"/>
      <c r="I55" s="492"/>
      <c r="J55" s="492"/>
      <c r="L55" s="778"/>
      <c r="M55" s="778"/>
    </row>
    <row r="56">
      <c r="A56" s="790">
        <v>37621.0</v>
      </c>
      <c r="B56" s="791">
        <f>B12</f>
        <v>12333150.46</v>
      </c>
      <c r="C56" s="793">
        <f t="shared" si="4"/>
        <v>246663.0092</v>
      </c>
      <c r="D56" s="498">
        <f>(B55+B56)/2</f>
        <v>12333150.46</v>
      </c>
      <c r="E56" s="795">
        <f>C55+C56</f>
        <v>493326.0185</v>
      </c>
      <c r="F56" s="492"/>
      <c r="G56" s="492"/>
      <c r="H56" s="492"/>
      <c r="I56" s="492"/>
      <c r="J56" s="492"/>
      <c r="L56" s="778"/>
      <c r="M56" s="778"/>
    </row>
    <row r="57">
      <c r="A57" s="786">
        <v>37802.0</v>
      </c>
      <c r="B57" s="791">
        <f>B12</f>
        <v>12333150.46</v>
      </c>
      <c r="C57" s="793">
        <f t="shared" si="4"/>
        <v>246663.0092</v>
      </c>
      <c r="D57" s="498"/>
      <c r="E57" s="798"/>
      <c r="F57" s="492"/>
      <c r="G57" s="492"/>
      <c r="H57" s="492"/>
      <c r="I57" s="492"/>
      <c r="J57" s="492"/>
      <c r="L57" s="804"/>
      <c r="M57" s="805"/>
    </row>
    <row r="58">
      <c r="A58" s="790">
        <v>37986.0</v>
      </c>
      <c r="B58" s="791">
        <f>B12</f>
        <v>12333150.46</v>
      </c>
      <c r="C58" s="793">
        <f t="shared" si="4"/>
        <v>246663.0092</v>
      </c>
      <c r="D58" s="498">
        <f>(B57+B58)/2</f>
        <v>12333150.46</v>
      </c>
      <c r="E58" s="795">
        <f>C57+C58</f>
        <v>493326.0185</v>
      </c>
      <c r="F58" s="492"/>
      <c r="G58" s="492"/>
      <c r="H58" s="492"/>
      <c r="I58" s="492"/>
      <c r="J58" s="492"/>
    </row>
    <row r="59">
      <c r="A59" s="786">
        <v>38168.0</v>
      </c>
      <c r="B59" s="791">
        <f>B12</f>
        <v>12333150.46</v>
      </c>
      <c r="C59" s="793">
        <f t="shared" si="4"/>
        <v>246663.0092</v>
      </c>
      <c r="D59" s="498"/>
      <c r="E59" s="798"/>
      <c r="F59" s="492"/>
      <c r="G59" s="492"/>
      <c r="H59" s="492"/>
      <c r="I59" s="492"/>
      <c r="J59" s="492"/>
    </row>
    <row r="60">
      <c r="A60" s="790">
        <v>38352.0</v>
      </c>
      <c r="B60" s="791">
        <f>B12</f>
        <v>12333150.46</v>
      </c>
      <c r="C60" s="793">
        <f t="shared" si="4"/>
        <v>246663.0092</v>
      </c>
      <c r="D60" s="498">
        <f>(B59+B60)/2</f>
        <v>12333150.46</v>
      </c>
      <c r="E60" s="795">
        <f>C59+C60</f>
        <v>493326.0185</v>
      </c>
      <c r="F60" s="492"/>
      <c r="G60" s="492"/>
      <c r="H60" s="492"/>
      <c r="I60" s="492"/>
      <c r="J60" s="492"/>
    </row>
    <row r="61">
      <c r="A61" s="786">
        <v>38533.0</v>
      </c>
      <c r="B61" s="791">
        <f>B12</f>
        <v>12333150.46</v>
      </c>
      <c r="C61" s="793">
        <f t="shared" si="4"/>
        <v>246663.0092</v>
      </c>
      <c r="D61" s="498"/>
      <c r="E61" s="798"/>
      <c r="F61" s="492"/>
      <c r="G61" s="492"/>
      <c r="H61" s="492"/>
      <c r="I61" s="492"/>
      <c r="J61" s="492"/>
    </row>
    <row r="62">
      <c r="A62" s="790">
        <v>38717.0</v>
      </c>
      <c r="B62" s="791">
        <f>B12</f>
        <v>12333150.46</v>
      </c>
      <c r="C62" s="793">
        <f t="shared" si="4"/>
        <v>246663.0092</v>
      </c>
      <c r="D62" s="498">
        <f>(B61+B62)/2</f>
        <v>12333150.46</v>
      </c>
      <c r="E62" s="813">
        <f>C61+C62</f>
        <v>493326.0185</v>
      </c>
      <c r="F62" s="492"/>
      <c r="G62" s="492"/>
      <c r="H62" s="492"/>
      <c r="I62" s="492"/>
      <c r="J62" s="492"/>
    </row>
    <row r="63">
      <c r="A63" s="816"/>
      <c r="B63" s="818" t="str">
        <f>B21</f>
        <v/>
      </c>
      <c r="C63" s="819"/>
      <c r="D63" s="821"/>
      <c r="E63" s="822"/>
      <c r="F63" s="492"/>
      <c r="G63" s="492"/>
      <c r="H63" s="492"/>
      <c r="I63" s="492"/>
      <c r="J63" s="492"/>
    </row>
    <row r="64">
      <c r="A64" s="824" t="s">
        <v>586</v>
      </c>
      <c r="B64" s="826"/>
      <c r="C64" s="828">
        <f>SUM(C54:C62)</f>
        <v>2219967.083</v>
      </c>
      <c r="D64" s="830"/>
      <c r="E64" s="832">
        <f>SUM(E54:E62)</f>
        <v>2219967.083</v>
      </c>
      <c r="F64" s="492"/>
      <c r="G64" s="492"/>
      <c r="H64" s="492"/>
      <c r="I64" s="492"/>
      <c r="J64" s="492"/>
    </row>
  </sheetData>
  <mergeCells count="12">
    <mergeCell ref="C17:D17"/>
    <mergeCell ref="C16:H16"/>
    <mergeCell ref="A25:B25"/>
    <mergeCell ref="D24:E24"/>
    <mergeCell ref="A21:B21"/>
    <mergeCell ref="A15:B15"/>
    <mergeCell ref="C28:G28"/>
    <mergeCell ref="C29:I29"/>
    <mergeCell ref="L41:L42"/>
    <mergeCell ref="M41:M42"/>
    <mergeCell ref="A26:B26"/>
    <mergeCell ref="C15:D15"/>
  </mergeCells>
  <hyperlinks>
    <hyperlink r:id="rId1" ref="C28"/>
    <hyperlink r:id="rId2" ref="C29"/>
  </hyperlinks>
  <drawing r:id="rId3"/>
</worksheet>
</file>