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autoCompressPictures="0"/>
  <mc:AlternateContent xmlns:mc="http://schemas.openxmlformats.org/markup-compatibility/2006">
    <mc:Choice Requires="x15">
      <x15ac:absPath xmlns:x15ac="http://schemas.microsoft.com/office/spreadsheetml/2010/11/ac" url="E:\Desktop\"/>
    </mc:Choice>
  </mc:AlternateContent>
  <bookViews>
    <workbookView xWindow="0" yWindow="0" windowWidth="19455" windowHeight="7965" tabRatio="877" firstSheet="2" activeTab="16"/>
  </bookViews>
  <sheets>
    <sheet name="InfoInicial" sheetId="1" r:id="rId1"/>
    <sheet name="Credito No Renovable" sheetId="16" r:id="rId2"/>
    <sheet name="E-Costos" sheetId="3" r:id="rId3"/>
    <sheet name="E-IVA " sheetId="7" r:id="rId4"/>
    <sheet name="E-Inv AF y Am" sheetId="4" r:id="rId5"/>
    <sheet name="E-Cal Inv." sheetId="6" r:id="rId6"/>
    <sheet name="E-InvAT" sheetId="5" r:id="rId7"/>
    <sheet name="E-Form" sheetId="8" r:id="rId8"/>
    <sheet name="Ejercicios" sheetId="2" state="hidden" r:id="rId9"/>
    <sheet name="Crédito MP" sheetId="17" r:id="rId10"/>
    <sheet name="F-Cred" sheetId="9" r:id="rId11"/>
    <sheet name="F-CRes" sheetId="10" r:id="rId12"/>
    <sheet name="F-2 Estructura" sheetId="11" r:id="rId13"/>
    <sheet name="F-IVA" sheetId="12" r:id="rId14"/>
    <sheet name="F- CFyU" sheetId="13" r:id="rId15"/>
    <sheet name="F-Balance" sheetId="14" r:id="rId16"/>
    <sheet name="F- Form" sheetId="15" r:id="rId17"/>
  </sheets>
  <externalReferences>
    <externalReference r:id="rId18"/>
    <externalReference r:id="rId19"/>
    <externalReference r:id="rId20"/>
  </externalReferences>
  <calcPr calcId="162913" concurrentCalc="0"/>
  <fileRecoveryPr autoRecover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6" i="13" l="1"/>
  <c r="D14" i="8"/>
  <c r="F14" i="8"/>
  <c r="E32" i="5"/>
  <c r="F32" i="5"/>
  <c r="G32" i="5"/>
  <c r="D32" i="5"/>
  <c r="C32" i="5"/>
  <c r="D22" i="5"/>
  <c r="E22" i="5"/>
  <c r="F22" i="5"/>
  <c r="G22" i="5"/>
  <c r="F12" i="6"/>
  <c r="G12" i="6"/>
  <c r="H12" i="6"/>
  <c r="I12" i="6"/>
  <c r="E12" i="6"/>
  <c r="C16" i="3"/>
  <c r="D16" i="3"/>
  <c r="E16" i="3"/>
  <c r="F16" i="3"/>
  <c r="B16" i="3"/>
  <c r="B12" i="4"/>
  <c r="J9" i="4"/>
  <c r="B15" i="4"/>
  <c r="L19" i="4"/>
  <c r="L20" i="4"/>
  <c r="L2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2" i="4"/>
  <c r="L43" i="4"/>
  <c r="L44" i="4"/>
  <c r="L46" i="4"/>
  <c r="L47" i="4"/>
  <c r="L48" i="4"/>
  <c r="L49" i="4"/>
  <c r="L50" i="4"/>
  <c r="L52" i="4"/>
  <c r="L54" i="4"/>
  <c r="L56" i="4"/>
  <c r="L57" i="4"/>
  <c r="L58" i="4"/>
  <c r="L59" i="4"/>
  <c r="L60" i="4"/>
  <c r="L61" i="4"/>
  <c r="L62" i="4"/>
  <c r="L63" i="4"/>
  <c r="L64" i="4"/>
  <c r="B16" i="4"/>
  <c r="B18" i="4"/>
  <c r="B20" i="4"/>
  <c r="B29" i="4"/>
  <c r="B31" i="4"/>
  <c r="B33" i="4"/>
  <c r="C20" i="4"/>
  <c r="N35" i="3"/>
  <c r="N36" i="3"/>
  <c r="N37" i="3"/>
  <c r="N38" i="3"/>
  <c r="N39" i="3"/>
  <c r="N44" i="3"/>
  <c r="N45" i="3"/>
  <c r="N46" i="3"/>
  <c r="N47" i="3"/>
  <c r="N48" i="3"/>
  <c r="N49" i="3"/>
  <c r="B6" i="3"/>
  <c r="B25" i="3"/>
  <c r="G25" i="3"/>
  <c r="K5" i="3"/>
  <c r="K6" i="3"/>
  <c r="K7" i="3"/>
  <c r="K8" i="3"/>
  <c r="K9" i="3"/>
  <c r="K10" i="3"/>
  <c r="K12" i="3"/>
  <c r="B7" i="3"/>
  <c r="B26" i="3"/>
  <c r="G26" i="3"/>
  <c r="K4" i="3"/>
  <c r="K11" i="3"/>
  <c r="K13" i="3"/>
  <c r="B10" i="3"/>
  <c r="B29" i="3"/>
  <c r="G29" i="3"/>
  <c r="M100" i="3"/>
  <c r="J64" i="3"/>
  <c r="B11" i="3"/>
  <c r="B30" i="3"/>
  <c r="G30" i="3"/>
  <c r="K25" i="3"/>
  <c r="B12" i="3"/>
  <c r="B31" i="3"/>
  <c r="G31" i="3"/>
  <c r="B32" i="3"/>
  <c r="G32" i="3"/>
  <c r="B33" i="3"/>
  <c r="G33" i="3"/>
  <c r="G34" i="3"/>
  <c r="G35" i="3"/>
  <c r="C26" i="4"/>
  <c r="C29" i="4"/>
  <c r="C31" i="4"/>
  <c r="C33" i="4"/>
  <c r="F33" i="4"/>
  <c r="B8" i="16"/>
  <c r="F8" i="16"/>
  <c r="B16" i="16"/>
  <c r="B18" i="16"/>
  <c r="B19" i="16"/>
  <c r="B21" i="16"/>
  <c r="F10" i="16"/>
  <c r="D22" i="16"/>
  <c r="D23" i="16"/>
  <c r="E11" i="17"/>
  <c r="F15" i="17"/>
  <c r="D25" i="9"/>
  <c r="E10" i="17"/>
  <c r="F14" i="17"/>
  <c r="D24" i="9"/>
  <c r="G25" i="9"/>
  <c r="B22" i="16"/>
  <c r="B23" i="16"/>
  <c r="E8" i="17"/>
  <c r="E15" i="17"/>
  <c r="F25" i="9"/>
  <c r="H25" i="9"/>
  <c r="D38" i="15"/>
  <c r="D5" i="9"/>
  <c r="L11" i="9"/>
  <c r="B8" i="6"/>
  <c r="C6" i="6"/>
  <c r="C7" i="6"/>
  <c r="C8" i="6"/>
  <c r="D6" i="6"/>
  <c r="D7" i="6"/>
  <c r="D8" i="6"/>
  <c r="I8" i="6"/>
  <c r="B5" i="9"/>
  <c r="B90" i="3"/>
  <c r="B91" i="3"/>
  <c r="B92" i="3"/>
  <c r="B93" i="3"/>
  <c r="B94" i="3"/>
  <c r="C6" i="5"/>
  <c r="B6" i="5"/>
  <c r="C11" i="6"/>
  <c r="C12" i="6"/>
  <c r="C46" i="5"/>
  <c r="B47" i="5"/>
  <c r="B10" i="5"/>
  <c r="C14" i="6"/>
  <c r="C18" i="6"/>
  <c r="D11" i="6"/>
  <c r="C7" i="5"/>
  <c r="B96" i="3"/>
  <c r="B97" i="3"/>
  <c r="C54" i="4"/>
  <c r="F31" i="4"/>
  <c r="B54" i="4"/>
  <c r="D54" i="4"/>
  <c r="C45" i="4"/>
  <c r="F8" i="4"/>
  <c r="B45" i="4"/>
  <c r="D45" i="4"/>
  <c r="C46" i="4"/>
  <c r="F9" i="4"/>
  <c r="B46" i="4"/>
  <c r="D46" i="4"/>
  <c r="C47" i="4"/>
  <c r="F11" i="4"/>
  <c r="F12" i="4"/>
  <c r="F13" i="4"/>
  <c r="F14" i="4"/>
  <c r="B47" i="4"/>
  <c r="D47" i="4"/>
  <c r="C48" i="4"/>
  <c r="F15" i="4"/>
  <c r="B48" i="4"/>
  <c r="D48" i="4"/>
  <c r="C49" i="4"/>
  <c r="F16" i="4"/>
  <c r="B49" i="4"/>
  <c r="D49" i="4"/>
  <c r="C50" i="4"/>
  <c r="F18" i="4"/>
  <c r="B50" i="4"/>
  <c r="D50" i="4"/>
  <c r="C51" i="4"/>
  <c r="D51" i="4"/>
  <c r="D52" i="4"/>
  <c r="D57" i="4"/>
  <c r="K53" i="3"/>
  <c r="K56" i="3"/>
  <c r="B9" i="3"/>
  <c r="B98" i="3"/>
  <c r="B100" i="3"/>
  <c r="B103" i="3"/>
  <c r="B28" i="3"/>
  <c r="B34" i="3"/>
  <c r="B35" i="3"/>
  <c r="B42" i="3"/>
  <c r="B104" i="3"/>
  <c r="B106" i="3"/>
  <c r="B113" i="3"/>
  <c r="K16" i="3"/>
  <c r="K17" i="3"/>
  <c r="K18" i="3"/>
  <c r="B52" i="3"/>
  <c r="K57" i="3"/>
  <c r="B53" i="3"/>
  <c r="J65" i="3"/>
  <c r="B54" i="3"/>
  <c r="K28" i="3"/>
  <c r="B55" i="3"/>
  <c r="B61" i="3"/>
  <c r="B63" i="3"/>
  <c r="B115" i="3"/>
  <c r="K20" i="3"/>
  <c r="K21" i="3"/>
  <c r="K22" i="3"/>
  <c r="B71" i="3"/>
  <c r="K58" i="3"/>
  <c r="B72" i="3"/>
  <c r="K29" i="3"/>
  <c r="B73" i="3"/>
  <c r="J66" i="3"/>
  <c r="B76" i="3"/>
  <c r="B80" i="3"/>
  <c r="B82" i="3"/>
  <c r="B116" i="3"/>
  <c r="B118" i="3"/>
  <c r="B122" i="3"/>
  <c r="B123" i="3"/>
  <c r="B124" i="3"/>
  <c r="B126" i="3"/>
  <c r="B127" i="3"/>
  <c r="C19" i="5"/>
  <c r="C17" i="5"/>
  <c r="C6" i="3"/>
  <c r="D46" i="5"/>
  <c r="C13" i="5"/>
  <c r="C18" i="5"/>
  <c r="C20" i="5"/>
  <c r="D12" i="6"/>
  <c r="C47" i="5"/>
  <c r="C10" i="5"/>
  <c r="D14" i="6"/>
  <c r="C48" i="5"/>
  <c r="C49" i="5"/>
  <c r="C11" i="5"/>
  <c r="D15" i="6"/>
  <c r="C12" i="5"/>
  <c r="D16" i="6"/>
  <c r="D17" i="6"/>
  <c r="D18" i="6"/>
  <c r="B6" i="9"/>
  <c r="B21" i="6"/>
  <c r="B23" i="6"/>
  <c r="C21" i="6"/>
  <c r="B30" i="5"/>
  <c r="B31" i="5"/>
  <c r="B32" i="5"/>
  <c r="B33" i="5"/>
  <c r="B34" i="5"/>
  <c r="C22" i="6"/>
  <c r="C23" i="6"/>
  <c r="D21" i="6"/>
  <c r="C30" i="5"/>
  <c r="C31" i="5"/>
  <c r="C33" i="5"/>
  <c r="C34" i="5"/>
  <c r="D22" i="6"/>
  <c r="D23" i="6"/>
  <c r="B7" i="9"/>
  <c r="B8" i="9"/>
  <c r="M11" i="9"/>
  <c r="D6" i="9"/>
  <c r="L12" i="9"/>
  <c r="M12" i="9"/>
  <c r="M13" i="9"/>
  <c r="L13" i="9"/>
  <c r="L14" i="9"/>
  <c r="M14" i="9"/>
  <c r="D40" i="15"/>
  <c r="B15" i="5"/>
  <c r="B24" i="5"/>
  <c r="B16" i="13"/>
  <c r="C5" i="15"/>
  <c r="B12" i="11"/>
  <c r="C12" i="11"/>
  <c r="C13" i="11"/>
  <c r="C14" i="11"/>
  <c r="C15" i="11"/>
  <c r="C17" i="11"/>
  <c r="D13" i="9"/>
  <c r="D17" i="16"/>
  <c r="D14" i="9"/>
  <c r="B17" i="16"/>
  <c r="D18" i="16"/>
  <c r="D15" i="9"/>
  <c r="D19" i="16"/>
  <c r="D16" i="9"/>
  <c r="D21" i="9"/>
  <c r="G21" i="9"/>
  <c r="G16" i="16"/>
  <c r="I13" i="9"/>
  <c r="G17" i="16"/>
  <c r="I14" i="9"/>
  <c r="G18" i="16"/>
  <c r="I15" i="9"/>
  <c r="I16" i="9"/>
  <c r="I21" i="9"/>
  <c r="C18" i="11"/>
  <c r="B4" i="10"/>
  <c r="B5" i="10"/>
  <c r="B6" i="10"/>
  <c r="B8" i="10"/>
  <c r="B9" i="10"/>
  <c r="B40" i="9"/>
  <c r="B41" i="9"/>
  <c r="B42" i="9"/>
  <c r="B10" i="10"/>
  <c r="B11" i="10"/>
  <c r="B12" i="10"/>
  <c r="B13" i="10"/>
  <c r="B14" i="10"/>
  <c r="C19" i="11"/>
  <c r="C20" i="11"/>
  <c r="C6" i="15"/>
  <c r="C90" i="3"/>
  <c r="C91" i="3"/>
  <c r="C92" i="3"/>
  <c r="C93" i="3"/>
  <c r="C94" i="3"/>
  <c r="D6" i="5"/>
  <c r="D7" i="5"/>
  <c r="D47" i="5"/>
  <c r="D10" i="5"/>
  <c r="C11" i="3"/>
  <c r="D48" i="5"/>
  <c r="D49" i="5"/>
  <c r="D11" i="5"/>
  <c r="C25" i="3"/>
  <c r="C7" i="3"/>
  <c r="C26" i="3"/>
  <c r="C9" i="3"/>
  <c r="C28" i="3"/>
  <c r="C10" i="3"/>
  <c r="C29" i="3"/>
  <c r="C30" i="3"/>
  <c r="C12" i="3"/>
  <c r="C31" i="3"/>
  <c r="C32" i="3"/>
  <c r="C33" i="3"/>
  <c r="C34" i="3"/>
  <c r="C35" i="3"/>
  <c r="D12" i="5"/>
  <c r="D13" i="5"/>
  <c r="D15" i="5"/>
  <c r="C15" i="5"/>
  <c r="D24" i="5"/>
  <c r="D16" i="13"/>
  <c r="C7" i="15"/>
  <c r="D90" i="3"/>
  <c r="D91" i="3"/>
  <c r="D92" i="3"/>
  <c r="D93" i="3"/>
  <c r="D94" i="3"/>
  <c r="E6" i="5"/>
  <c r="E7" i="5"/>
  <c r="D6" i="3"/>
  <c r="E46" i="5"/>
  <c r="E47" i="5"/>
  <c r="E10" i="5"/>
  <c r="D11" i="3"/>
  <c r="E48" i="5"/>
  <c r="E49" i="5"/>
  <c r="E11" i="5"/>
  <c r="D25" i="3"/>
  <c r="D7" i="3"/>
  <c r="D26" i="3"/>
  <c r="D9" i="3"/>
  <c r="D28" i="3"/>
  <c r="D10" i="3"/>
  <c r="D29" i="3"/>
  <c r="D30" i="3"/>
  <c r="D12" i="3"/>
  <c r="D31" i="3"/>
  <c r="D32" i="3"/>
  <c r="D33" i="3"/>
  <c r="D34" i="3"/>
  <c r="D35" i="3"/>
  <c r="E12" i="5"/>
  <c r="E13" i="5"/>
  <c r="E15" i="5"/>
  <c r="E24" i="5"/>
  <c r="E16" i="13"/>
  <c r="C8" i="15"/>
  <c r="E90" i="3"/>
  <c r="E91" i="3"/>
  <c r="E92" i="3"/>
  <c r="E93" i="3"/>
  <c r="E94" i="3"/>
  <c r="F6" i="5"/>
  <c r="F7" i="5"/>
  <c r="E6" i="3"/>
  <c r="F46" i="5"/>
  <c r="F47" i="5"/>
  <c r="F10" i="5"/>
  <c r="E11" i="3"/>
  <c r="F48" i="5"/>
  <c r="F49" i="5"/>
  <c r="F11" i="5"/>
  <c r="E25" i="3"/>
  <c r="E7" i="3"/>
  <c r="E26" i="3"/>
  <c r="E54" i="4"/>
  <c r="E45" i="4"/>
  <c r="E46" i="4"/>
  <c r="E47" i="4"/>
  <c r="E48" i="4"/>
  <c r="E49" i="4"/>
  <c r="E50" i="4"/>
  <c r="E51" i="4"/>
  <c r="E52" i="4"/>
  <c r="E57" i="4"/>
  <c r="L53" i="3"/>
  <c r="L56" i="3"/>
  <c r="E9" i="3"/>
  <c r="E28" i="3"/>
  <c r="E10" i="3"/>
  <c r="E29" i="3"/>
  <c r="E30" i="3"/>
  <c r="E12" i="3"/>
  <c r="E31" i="3"/>
  <c r="E32" i="3"/>
  <c r="E33" i="3"/>
  <c r="E34" i="3"/>
  <c r="E35" i="3"/>
  <c r="F12" i="5"/>
  <c r="F13" i="5"/>
  <c r="F15" i="5"/>
  <c r="F24" i="5"/>
  <c r="F16" i="13"/>
  <c r="C9" i="15"/>
  <c r="C10" i="15"/>
  <c r="F7" i="4"/>
  <c r="B44" i="4"/>
  <c r="B52" i="4"/>
  <c r="B57" i="4"/>
  <c r="F57" i="4"/>
  <c r="B10" i="15"/>
  <c r="B8" i="13"/>
  <c r="C29" i="11"/>
  <c r="C8" i="13"/>
  <c r="H8" i="13"/>
  <c r="B28" i="15"/>
  <c r="B6" i="11"/>
  <c r="B7" i="11"/>
  <c r="B8" i="11"/>
  <c r="B9" i="11"/>
  <c r="B10" i="11"/>
  <c r="B25" i="11"/>
  <c r="B14" i="11"/>
  <c r="B15" i="11"/>
  <c r="B20" i="11"/>
  <c r="B21" i="11"/>
  <c r="B23" i="11"/>
  <c r="B26" i="11"/>
  <c r="B27" i="11"/>
  <c r="B30" i="11"/>
  <c r="B31" i="11"/>
  <c r="B7" i="13"/>
  <c r="C6" i="11"/>
  <c r="C7" i="11"/>
  <c r="C8" i="11"/>
  <c r="C9" i="11"/>
  <c r="C10" i="11"/>
  <c r="C25" i="11"/>
  <c r="C21" i="11"/>
  <c r="C23" i="11"/>
  <c r="C26" i="11"/>
  <c r="C27" i="11"/>
  <c r="C31" i="11"/>
  <c r="C7" i="13"/>
  <c r="H7" i="13"/>
  <c r="B9" i="13"/>
  <c r="C9" i="13"/>
  <c r="H9" i="13"/>
  <c r="C10" i="13"/>
  <c r="C4" i="10"/>
  <c r="D10" i="13"/>
  <c r="D4" i="10"/>
  <c r="E10" i="13"/>
  <c r="E4" i="10"/>
  <c r="F10" i="13"/>
  <c r="F90" i="3"/>
  <c r="F91" i="3"/>
  <c r="F92" i="3"/>
  <c r="F93" i="3"/>
  <c r="F94" i="3"/>
  <c r="F4" i="10"/>
  <c r="G10" i="13"/>
  <c r="H10" i="13"/>
  <c r="B17" i="12"/>
  <c r="B18" i="12"/>
  <c r="C16" i="12"/>
  <c r="C17" i="12"/>
  <c r="C22" i="7"/>
  <c r="C13" i="12"/>
  <c r="C6" i="7"/>
  <c r="J67" i="3"/>
  <c r="C7" i="7"/>
  <c r="C8" i="7"/>
  <c r="J75" i="3"/>
  <c r="C9" i="7"/>
  <c r="J83" i="3"/>
  <c r="C10" i="7"/>
  <c r="C11" i="7"/>
  <c r="C12" i="7"/>
  <c r="C13" i="7"/>
  <c r="C15" i="7"/>
  <c r="C16" i="7"/>
  <c r="C17" i="7"/>
  <c r="C6" i="12"/>
  <c r="C18" i="7"/>
  <c r="C7" i="12"/>
  <c r="C19" i="7"/>
  <c r="C8" i="12"/>
  <c r="B44" i="9"/>
  <c r="C9" i="12"/>
  <c r="C10" i="12"/>
  <c r="C12" i="12"/>
  <c r="C14" i="12"/>
  <c r="C18" i="12"/>
  <c r="C19" i="12"/>
  <c r="C11" i="13"/>
  <c r="D16" i="12"/>
  <c r="E21" i="6"/>
  <c r="D30" i="5"/>
  <c r="D31" i="5"/>
  <c r="D33" i="5"/>
  <c r="D34" i="5"/>
  <c r="E22" i="6"/>
  <c r="E23" i="6"/>
  <c r="D26" i="7"/>
  <c r="D17" i="12"/>
  <c r="D22" i="7"/>
  <c r="D13" i="12"/>
  <c r="D6" i="7"/>
  <c r="D7" i="7"/>
  <c r="D8" i="7"/>
  <c r="D9" i="7"/>
  <c r="D10" i="7"/>
  <c r="C52" i="3"/>
  <c r="C53" i="3"/>
  <c r="C54" i="3"/>
  <c r="C55" i="3"/>
  <c r="C61" i="3"/>
  <c r="C71" i="3"/>
  <c r="C72" i="3"/>
  <c r="C73" i="3"/>
  <c r="C76" i="3"/>
  <c r="C80" i="3"/>
  <c r="D11" i="7"/>
  <c r="D12" i="7"/>
  <c r="D15" i="7"/>
  <c r="D16" i="7"/>
  <c r="D17" i="7"/>
  <c r="D6" i="12"/>
  <c r="D18" i="7"/>
  <c r="D7" i="12"/>
  <c r="D19" i="7"/>
  <c r="D8" i="12"/>
  <c r="D25" i="16"/>
  <c r="F17" i="17"/>
  <c r="D27" i="9"/>
  <c r="D24" i="16"/>
  <c r="F16" i="17"/>
  <c r="D26" i="9"/>
  <c r="G27" i="9"/>
  <c r="C41" i="9"/>
  <c r="C44" i="9"/>
  <c r="D9" i="12"/>
  <c r="D10" i="12"/>
  <c r="D12" i="12"/>
  <c r="D14" i="12"/>
  <c r="D18" i="12"/>
  <c r="D19" i="12"/>
  <c r="D11" i="13"/>
  <c r="E16" i="12"/>
  <c r="F21" i="6"/>
  <c r="E30" i="5"/>
  <c r="E31" i="5"/>
  <c r="E33" i="5"/>
  <c r="E34" i="5"/>
  <c r="F22" i="6"/>
  <c r="F23" i="6"/>
  <c r="E26" i="7"/>
  <c r="E17" i="12"/>
  <c r="E22" i="7"/>
  <c r="E13" i="12"/>
  <c r="E6" i="7"/>
  <c r="E7" i="7"/>
  <c r="E8" i="7"/>
  <c r="E9" i="7"/>
  <c r="E10" i="7"/>
  <c r="D52" i="3"/>
  <c r="D53" i="3"/>
  <c r="D54" i="3"/>
  <c r="D55" i="3"/>
  <c r="D61" i="3"/>
  <c r="D71" i="3"/>
  <c r="D72" i="3"/>
  <c r="D73" i="3"/>
  <c r="D76" i="3"/>
  <c r="D80" i="3"/>
  <c r="E11" i="7"/>
  <c r="E12" i="7"/>
  <c r="E15" i="7"/>
  <c r="E16" i="7"/>
  <c r="E17" i="7"/>
  <c r="E6" i="12"/>
  <c r="E18" i="7"/>
  <c r="E7" i="12"/>
  <c r="E19" i="7"/>
  <c r="E8" i="12"/>
  <c r="B24" i="16"/>
  <c r="C25" i="16"/>
  <c r="B25" i="16"/>
  <c r="B26" i="16"/>
  <c r="D27" i="16"/>
  <c r="F19" i="17"/>
  <c r="D29" i="9"/>
  <c r="D26" i="16"/>
  <c r="F18" i="17"/>
  <c r="D28" i="9"/>
  <c r="G29" i="9"/>
  <c r="D41" i="9"/>
  <c r="D44" i="9"/>
  <c r="E9" i="12"/>
  <c r="E10" i="12"/>
  <c r="E12" i="12"/>
  <c r="E14" i="12"/>
  <c r="E18" i="12"/>
  <c r="E19" i="12"/>
  <c r="E11" i="13"/>
  <c r="F16" i="12"/>
  <c r="G21" i="6"/>
  <c r="F30" i="5"/>
  <c r="F31" i="5"/>
  <c r="F33" i="5"/>
  <c r="F34" i="5"/>
  <c r="G22" i="6"/>
  <c r="G23" i="6"/>
  <c r="F26" i="7"/>
  <c r="F17" i="12"/>
  <c r="F22" i="7"/>
  <c r="F13" i="12"/>
  <c r="F6" i="7"/>
  <c r="F7" i="7"/>
  <c r="F8" i="7"/>
  <c r="F9" i="7"/>
  <c r="F10" i="7"/>
  <c r="E52" i="3"/>
  <c r="L57" i="3"/>
  <c r="E53" i="3"/>
  <c r="E54" i="3"/>
  <c r="E55" i="3"/>
  <c r="E61" i="3"/>
  <c r="E71" i="3"/>
  <c r="L58" i="3"/>
  <c r="E72" i="3"/>
  <c r="E73" i="3"/>
  <c r="E76" i="3"/>
  <c r="E80" i="3"/>
  <c r="F11" i="7"/>
  <c r="F12" i="7"/>
  <c r="F15" i="7"/>
  <c r="F16" i="7"/>
  <c r="F17" i="7"/>
  <c r="F6" i="12"/>
  <c r="F18" i="7"/>
  <c r="F7" i="12"/>
  <c r="F19" i="7"/>
  <c r="F8" i="12"/>
  <c r="B27" i="16"/>
  <c r="C28" i="16"/>
  <c r="B28" i="16"/>
  <c r="D29" i="16"/>
  <c r="F21" i="17"/>
  <c r="D31" i="9"/>
  <c r="D28" i="16"/>
  <c r="F20" i="17"/>
  <c r="D30" i="9"/>
  <c r="G31" i="9"/>
  <c r="E41" i="9"/>
  <c r="E44" i="9"/>
  <c r="F9" i="12"/>
  <c r="F10" i="12"/>
  <c r="F12" i="12"/>
  <c r="F14" i="12"/>
  <c r="F18" i="12"/>
  <c r="F19" i="12"/>
  <c r="F11" i="13"/>
  <c r="G16" i="12"/>
  <c r="H21" i="6"/>
  <c r="F6" i="3"/>
  <c r="G46" i="5"/>
  <c r="G47" i="5"/>
  <c r="G10" i="5"/>
  <c r="G30" i="5"/>
  <c r="F11" i="3"/>
  <c r="G48" i="5"/>
  <c r="G49" i="5"/>
  <c r="G11" i="5"/>
  <c r="G31" i="5"/>
  <c r="F25" i="3"/>
  <c r="F7" i="3"/>
  <c r="F26" i="3"/>
  <c r="F9" i="3"/>
  <c r="F28" i="3"/>
  <c r="F10" i="3"/>
  <c r="F29" i="3"/>
  <c r="F30" i="3"/>
  <c r="F12" i="3"/>
  <c r="F31" i="3"/>
  <c r="F32" i="3"/>
  <c r="F33" i="3"/>
  <c r="F34" i="3"/>
  <c r="F35" i="3"/>
  <c r="G12" i="5"/>
  <c r="G13" i="5"/>
  <c r="G33" i="5"/>
  <c r="G34" i="5"/>
  <c r="H22" i="6"/>
  <c r="H23" i="6"/>
  <c r="G26" i="7"/>
  <c r="G17" i="12"/>
  <c r="G22" i="7"/>
  <c r="G13" i="12"/>
  <c r="G6" i="7"/>
  <c r="G7" i="7"/>
  <c r="G8" i="7"/>
  <c r="G9" i="7"/>
  <c r="G10" i="7"/>
  <c r="F52" i="3"/>
  <c r="F53" i="3"/>
  <c r="F54" i="3"/>
  <c r="F55" i="3"/>
  <c r="F61" i="3"/>
  <c r="F71" i="3"/>
  <c r="F72" i="3"/>
  <c r="F73" i="3"/>
  <c r="F76" i="3"/>
  <c r="F80" i="3"/>
  <c r="G11" i="7"/>
  <c r="G12" i="7"/>
  <c r="G15" i="7"/>
  <c r="G16" i="7"/>
  <c r="G17" i="7"/>
  <c r="G6" i="12"/>
  <c r="G18" i="7"/>
  <c r="G7" i="12"/>
  <c r="G19" i="7"/>
  <c r="G8" i="12"/>
  <c r="B29" i="16"/>
  <c r="B30" i="16"/>
  <c r="D31" i="16"/>
  <c r="F23" i="17"/>
  <c r="D33" i="9"/>
  <c r="D30" i="16"/>
  <c r="F22" i="17"/>
  <c r="D32" i="9"/>
  <c r="G33" i="9"/>
  <c r="F41" i="9"/>
  <c r="F44" i="9"/>
  <c r="G9" i="12"/>
  <c r="G10" i="12"/>
  <c r="G12" i="12"/>
  <c r="G14" i="12"/>
  <c r="G18" i="12"/>
  <c r="G19" i="12"/>
  <c r="G11" i="13"/>
  <c r="H11" i="13"/>
  <c r="H5" i="13"/>
  <c r="B15" i="13"/>
  <c r="C15" i="13"/>
  <c r="H15" i="13"/>
  <c r="G6" i="5"/>
  <c r="G7" i="5"/>
  <c r="G15" i="5"/>
  <c r="G24" i="5"/>
  <c r="G16" i="13"/>
  <c r="H16" i="13"/>
  <c r="C17" i="13"/>
  <c r="C96" i="3"/>
  <c r="C97" i="3"/>
  <c r="C98" i="3"/>
  <c r="C100" i="3"/>
  <c r="C42" i="3"/>
  <c r="C104" i="3"/>
  <c r="C106" i="3"/>
  <c r="C113" i="3"/>
  <c r="C5" i="10"/>
  <c r="C63" i="3"/>
  <c r="C115" i="3"/>
  <c r="C8" i="10"/>
  <c r="C82" i="3"/>
  <c r="C116" i="3"/>
  <c r="C9" i="10"/>
  <c r="C40" i="9"/>
  <c r="C42" i="9"/>
  <c r="C10" i="10"/>
  <c r="D17" i="13"/>
  <c r="D96" i="3"/>
  <c r="D97" i="3"/>
  <c r="D98" i="3"/>
  <c r="D100" i="3"/>
  <c r="D42" i="3"/>
  <c r="D104" i="3"/>
  <c r="D106" i="3"/>
  <c r="D113" i="3"/>
  <c r="D5" i="10"/>
  <c r="D63" i="3"/>
  <c r="D115" i="3"/>
  <c r="D8" i="10"/>
  <c r="D82" i="3"/>
  <c r="D116" i="3"/>
  <c r="D9" i="10"/>
  <c r="D40" i="9"/>
  <c r="D42" i="9"/>
  <c r="D10" i="10"/>
  <c r="E17" i="13"/>
  <c r="E96" i="3"/>
  <c r="E97" i="3"/>
  <c r="E98" i="3"/>
  <c r="E100" i="3"/>
  <c r="E42" i="3"/>
  <c r="E104" i="3"/>
  <c r="E106" i="3"/>
  <c r="E113" i="3"/>
  <c r="E5" i="10"/>
  <c r="E63" i="3"/>
  <c r="E115" i="3"/>
  <c r="E8" i="10"/>
  <c r="E82" i="3"/>
  <c r="E116" i="3"/>
  <c r="E9" i="10"/>
  <c r="E40" i="9"/>
  <c r="E42" i="9"/>
  <c r="E10" i="10"/>
  <c r="F17" i="13"/>
  <c r="F96" i="3"/>
  <c r="F97" i="3"/>
  <c r="F98" i="3"/>
  <c r="F100" i="3"/>
  <c r="F42" i="3"/>
  <c r="F104" i="3"/>
  <c r="F106" i="3"/>
  <c r="F113" i="3"/>
  <c r="F5" i="10"/>
  <c r="F63" i="3"/>
  <c r="F115" i="3"/>
  <c r="F8" i="10"/>
  <c r="F82" i="3"/>
  <c r="F116" i="3"/>
  <c r="F9" i="10"/>
  <c r="F40" i="9"/>
  <c r="F42" i="9"/>
  <c r="F10" i="10"/>
  <c r="G17" i="13"/>
  <c r="H17" i="13"/>
  <c r="C18" i="13"/>
  <c r="C6" i="10"/>
  <c r="C11" i="10"/>
  <c r="C13" i="10"/>
  <c r="D18" i="13"/>
  <c r="D6" i="10"/>
  <c r="D11" i="10"/>
  <c r="D13" i="10"/>
  <c r="E18" i="13"/>
  <c r="E6" i="10"/>
  <c r="E11" i="10"/>
  <c r="E13" i="10"/>
  <c r="F18" i="13"/>
  <c r="F6" i="10"/>
  <c r="F11" i="10"/>
  <c r="F13" i="10"/>
  <c r="G18" i="13"/>
  <c r="H18" i="13"/>
  <c r="C19" i="13"/>
  <c r="C27" i="9"/>
  <c r="E27" i="9"/>
  <c r="D19" i="13"/>
  <c r="C27" i="16"/>
  <c r="C29" i="9"/>
  <c r="C26" i="16"/>
  <c r="C28" i="9"/>
  <c r="E29" i="9"/>
  <c r="E19" i="13"/>
  <c r="C29" i="16"/>
  <c r="C31" i="9"/>
  <c r="C30" i="9"/>
  <c r="E31" i="9"/>
  <c r="F19" i="13"/>
  <c r="C33" i="9"/>
  <c r="C30" i="16"/>
  <c r="C32" i="9"/>
  <c r="E33" i="9"/>
  <c r="G19" i="13"/>
  <c r="H19" i="13"/>
  <c r="C20" i="13"/>
  <c r="C12" i="10"/>
  <c r="D20" i="13"/>
  <c r="D12" i="10"/>
  <c r="E20" i="13"/>
  <c r="E12" i="10"/>
  <c r="F20" i="13"/>
  <c r="F12" i="10"/>
  <c r="G20" i="13"/>
  <c r="H20" i="13"/>
  <c r="H21" i="13"/>
  <c r="B22" i="13"/>
  <c r="C22" i="13"/>
  <c r="D22" i="13"/>
  <c r="E22" i="13"/>
  <c r="F22" i="13"/>
  <c r="G22" i="13"/>
  <c r="H22" i="13"/>
  <c r="H23" i="13"/>
  <c r="H14" i="13"/>
  <c r="H25" i="13"/>
  <c r="C26" i="13"/>
  <c r="D26" i="13"/>
  <c r="E26" i="13"/>
  <c r="F26" i="13"/>
  <c r="G26" i="13"/>
  <c r="H26" i="13"/>
  <c r="H28" i="13"/>
  <c r="D48" i="15"/>
  <c r="L59" i="3"/>
  <c r="C21" i="14"/>
  <c r="B26" i="7"/>
  <c r="B27" i="7"/>
  <c r="B28" i="7"/>
  <c r="J4" i="8"/>
  <c r="K4" i="8"/>
  <c r="D4" i="8"/>
  <c r="B4" i="8"/>
  <c r="C4" i="8"/>
  <c r="G4" i="8"/>
  <c r="L4" i="8"/>
  <c r="M4" i="8"/>
  <c r="C25" i="7"/>
  <c r="C26" i="7"/>
  <c r="C21" i="7"/>
  <c r="C23" i="7"/>
  <c r="C27" i="7"/>
  <c r="C28" i="7"/>
  <c r="J5" i="8"/>
  <c r="H5" i="8"/>
  <c r="I5" i="8"/>
  <c r="K5" i="8"/>
  <c r="C5" i="8"/>
  <c r="D5" i="8"/>
  <c r="B5" i="8"/>
  <c r="E5" i="8"/>
  <c r="F5" i="8"/>
  <c r="G5" i="8"/>
  <c r="L5" i="8"/>
  <c r="M5" i="8"/>
  <c r="D25" i="7"/>
  <c r="D21" i="7"/>
  <c r="D23" i="7"/>
  <c r="D27" i="7"/>
  <c r="D28" i="7"/>
  <c r="J6" i="8"/>
  <c r="C118" i="3"/>
  <c r="C122" i="3"/>
  <c r="H6" i="8"/>
  <c r="I6" i="8"/>
  <c r="K6" i="8"/>
  <c r="B6" i="8"/>
  <c r="E11" i="6"/>
  <c r="C123" i="3"/>
  <c r="C124" i="3"/>
  <c r="C126" i="3"/>
  <c r="C127" i="3"/>
  <c r="D19" i="5"/>
  <c r="D17" i="5"/>
  <c r="D18" i="5"/>
  <c r="D20" i="5"/>
  <c r="E14" i="6"/>
  <c r="E15" i="6"/>
  <c r="E16" i="6"/>
  <c r="E17" i="6"/>
  <c r="E18" i="6"/>
  <c r="C6" i="8"/>
  <c r="D6" i="8"/>
  <c r="E6" i="8"/>
  <c r="F6" i="8"/>
  <c r="G6" i="8"/>
  <c r="L6" i="8"/>
  <c r="E50" i="5"/>
  <c r="M101" i="3"/>
  <c r="F50" i="5"/>
  <c r="G50" i="5"/>
  <c r="D50" i="5"/>
  <c r="C50" i="5"/>
  <c r="F17" i="6"/>
  <c r="G17" i="6"/>
  <c r="H17" i="6"/>
  <c r="D118" i="3"/>
  <c r="D122" i="3"/>
  <c r="D123" i="3"/>
  <c r="D124" i="3"/>
  <c r="D126" i="3"/>
  <c r="D127" i="3"/>
  <c r="E19" i="5"/>
  <c r="E17" i="5"/>
  <c r="E18" i="5"/>
  <c r="E20" i="5"/>
  <c r="E118" i="3"/>
  <c r="E122" i="3"/>
  <c r="E123" i="3"/>
  <c r="E124" i="3"/>
  <c r="E126" i="3"/>
  <c r="E127" i="3"/>
  <c r="F19" i="5"/>
  <c r="F17" i="5"/>
  <c r="F18" i="5"/>
  <c r="F20" i="5"/>
  <c r="G18" i="5"/>
  <c r="G17" i="5"/>
  <c r="G20" i="5"/>
  <c r="F118" i="3"/>
  <c r="F122" i="3"/>
  <c r="F123" i="3"/>
  <c r="F124" i="3"/>
  <c r="F126" i="3"/>
  <c r="F127" i="3"/>
  <c r="G19" i="5"/>
  <c r="B5" i="13"/>
  <c r="B14" i="13"/>
  <c r="B25" i="13"/>
  <c r="B28" i="13"/>
  <c r="C6" i="13"/>
  <c r="C5" i="13"/>
  <c r="C24" i="5"/>
  <c r="C14" i="13"/>
  <c r="C25" i="13"/>
  <c r="C28" i="13"/>
  <c r="D6" i="13"/>
  <c r="D5" i="13"/>
  <c r="D14" i="13"/>
  <c r="D25" i="13"/>
  <c r="D28" i="13"/>
  <c r="E6" i="13"/>
  <c r="E5" i="13"/>
  <c r="E14" i="13"/>
  <c r="E25" i="13"/>
  <c r="E28" i="13"/>
  <c r="F6" i="13"/>
  <c r="F5" i="13"/>
  <c r="F14" i="13"/>
  <c r="F25" i="13"/>
  <c r="F28" i="13"/>
  <c r="G6" i="13"/>
  <c r="G5" i="13"/>
  <c r="G14" i="13"/>
  <c r="G25" i="13"/>
  <c r="G28" i="13"/>
  <c r="G29" i="13"/>
  <c r="E28" i="15"/>
  <c r="F28" i="15"/>
  <c r="C28" i="15"/>
  <c r="G28" i="15"/>
  <c r="F29" i="13"/>
  <c r="E27" i="15"/>
  <c r="F27" i="15"/>
  <c r="C27" i="15"/>
  <c r="G27" i="15"/>
  <c r="E29" i="13"/>
  <c r="E26" i="15"/>
  <c r="F26" i="15"/>
  <c r="C26" i="15"/>
  <c r="G26" i="15"/>
  <c r="D29" i="13"/>
  <c r="E25" i="15"/>
  <c r="F25" i="15"/>
  <c r="C25" i="15"/>
  <c r="G25" i="15"/>
  <c r="C29" i="13"/>
  <c r="E24" i="15"/>
  <c r="F24" i="15"/>
  <c r="B24" i="15"/>
  <c r="C24" i="15"/>
  <c r="G24" i="15"/>
  <c r="B29" i="13"/>
  <c r="E23" i="15"/>
  <c r="F23" i="15"/>
  <c r="B23" i="15"/>
  <c r="C23" i="15"/>
  <c r="G23" i="15"/>
  <c r="H23" i="15"/>
  <c r="H24" i="15"/>
  <c r="H25" i="15"/>
  <c r="H26" i="15"/>
  <c r="H27" i="15"/>
  <c r="H34" i="15"/>
  <c r="I34" i="15"/>
  <c r="B5" i="15"/>
  <c r="D5" i="15"/>
  <c r="G5" i="15"/>
  <c r="M5" i="15"/>
  <c r="N5" i="15"/>
  <c r="H6" i="15"/>
  <c r="I6" i="15"/>
  <c r="J6" i="15"/>
  <c r="K6" i="15"/>
  <c r="L6" i="15"/>
  <c r="B6" i="15"/>
  <c r="D6" i="15"/>
  <c r="E6" i="15"/>
  <c r="F6" i="15"/>
  <c r="G6" i="15"/>
  <c r="M6" i="15"/>
  <c r="G15" i="15"/>
  <c r="H15" i="15"/>
  <c r="D15" i="15"/>
  <c r="F14" i="6"/>
  <c r="G14" i="6"/>
  <c r="H14" i="6"/>
  <c r="K30" i="3"/>
  <c r="K14" i="3"/>
  <c r="E23" i="17"/>
  <c r="G26" i="14"/>
  <c r="E21" i="17"/>
  <c r="F26" i="14"/>
  <c r="E19" i="17"/>
  <c r="E26" i="14"/>
  <c r="E17" i="17"/>
  <c r="D26" i="14"/>
  <c r="C26" i="14"/>
  <c r="E22" i="17"/>
  <c r="E20" i="17"/>
  <c r="E18" i="17"/>
  <c r="E16" i="17"/>
  <c r="E14" i="17"/>
  <c r="G23" i="17"/>
  <c r="G24" i="17"/>
  <c r="G21" i="17"/>
  <c r="G19" i="17"/>
  <c r="G17" i="17"/>
  <c r="F24" i="17"/>
  <c r="G15" i="17"/>
  <c r="E9" i="17"/>
  <c r="F23" i="4"/>
  <c r="E27" i="6"/>
  <c r="B19" i="14"/>
  <c r="B22" i="14"/>
  <c r="C19" i="14"/>
  <c r="C22" i="14"/>
  <c r="D23" i="9"/>
  <c r="A51" i="9"/>
  <c r="B41" i="6"/>
  <c r="B40" i="6"/>
  <c r="B33" i="6"/>
  <c r="B34" i="6"/>
  <c r="B36" i="6"/>
  <c r="B38" i="6"/>
  <c r="B42" i="6"/>
  <c r="B44" i="6"/>
  <c r="C41" i="6"/>
  <c r="C34" i="6"/>
  <c r="C35" i="6"/>
  <c r="C42" i="6"/>
  <c r="C44" i="6"/>
  <c r="D41" i="6"/>
  <c r="D34" i="6"/>
  <c r="D35" i="6"/>
  <c r="D37" i="6"/>
  <c r="D42" i="6"/>
  <c r="D44" i="6"/>
  <c r="E41" i="6"/>
  <c r="E39" i="6"/>
  <c r="E34" i="6"/>
  <c r="E35" i="6"/>
  <c r="E42" i="6"/>
  <c r="E44" i="6"/>
  <c r="F41" i="6"/>
  <c r="F39" i="6"/>
  <c r="F34" i="6"/>
  <c r="F35" i="6"/>
  <c r="F42" i="6"/>
  <c r="F44" i="6"/>
  <c r="G41" i="6"/>
  <c r="G34" i="6"/>
  <c r="G35" i="6"/>
  <c r="G42" i="6"/>
  <c r="G44" i="6"/>
  <c r="H41" i="6"/>
  <c r="H34" i="6"/>
  <c r="H35" i="6"/>
  <c r="H42" i="6"/>
  <c r="H44" i="6"/>
  <c r="I41" i="6"/>
  <c r="I34" i="6"/>
  <c r="I35" i="6"/>
  <c r="I42" i="6"/>
  <c r="I44" i="6"/>
  <c r="J41" i="6"/>
  <c r="J34" i="6"/>
  <c r="J35" i="6"/>
  <c r="J42" i="6"/>
  <c r="J44" i="6"/>
  <c r="K44" i="6"/>
  <c r="D8" i="15"/>
  <c r="D9" i="15"/>
  <c r="D10" i="15"/>
  <c r="C107" i="3"/>
  <c r="D107" i="3"/>
  <c r="E107" i="3"/>
  <c r="F107" i="3"/>
  <c r="B107" i="3"/>
  <c r="B46" i="6"/>
  <c r="B47" i="6"/>
  <c r="B48" i="6"/>
  <c r="B49" i="6"/>
  <c r="B51" i="6"/>
  <c r="C48" i="6"/>
  <c r="C49" i="6"/>
  <c r="C51" i="6"/>
  <c r="D48" i="6"/>
  <c r="D49" i="6"/>
  <c r="D51" i="6"/>
  <c r="E48" i="6"/>
  <c r="E49" i="6"/>
  <c r="E51" i="6"/>
  <c r="F48" i="6"/>
  <c r="F49" i="6"/>
  <c r="F51" i="6"/>
  <c r="G48" i="6"/>
  <c r="G49" i="6"/>
  <c r="G51" i="6"/>
  <c r="H48" i="6"/>
  <c r="H49" i="6"/>
  <c r="H51" i="6"/>
  <c r="I48" i="6"/>
  <c r="I49" i="6"/>
  <c r="I51" i="6"/>
  <c r="J48" i="6"/>
  <c r="J49" i="6"/>
  <c r="J51" i="6"/>
  <c r="K51" i="6"/>
  <c r="E21" i="7"/>
  <c r="E23" i="7"/>
  <c r="F21" i="7"/>
  <c r="F23" i="7"/>
  <c r="G21" i="7"/>
  <c r="G23" i="7"/>
  <c r="B30" i="7"/>
  <c r="B22" i="11"/>
  <c r="D6" i="11"/>
  <c r="H48" i="5"/>
  <c r="F11" i="6"/>
  <c r="F15" i="6"/>
  <c r="G11" i="6"/>
  <c r="G15" i="6"/>
  <c r="H11" i="6"/>
  <c r="H15" i="6"/>
  <c r="C25" i="6"/>
  <c r="B25" i="6"/>
  <c r="C135" i="3"/>
  <c r="D135" i="3"/>
  <c r="E135" i="3"/>
  <c r="F135" i="3"/>
  <c r="B135" i="3"/>
  <c r="D7" i="8"/>
  <c r="B7" i="8"/>
  <c r="D8" i="8"/>
  <c r="B8" i="8"/>
  <c r="D9" i="8"/>
  <c r="B52" i="6"/>
  <c r="B53" i="6"/>
  <c r="B55" i="6"/>
  <c r="K46" i="6"/>
  <c r="B31" i="6"/>
  <c r="B29" i="6"/>
  <c r="B10" i="14"/>
  <c r="G27" i="14"/>
  <c r="L83" i="11"/>
  <c r="K83" i="11"/>
  <c r="J83" i="11"/>
  <c r="I83" i="11"/>
  <c r="H83" i="11"/>
  <c r="G83" i="11"/>
  <c r="F83" i="11"/>
  <c r="E83" i="11"/>
  <c r="D83" i="11"/>
  <c r="C83" i="11"/>
  <c r="B83" i="11"/>
  <c r="F36" i="11"/>
  <c r="F38" i="11"/>
  <c r="F40" i="11"/>
  <c r="L53" i="11"/>
  <c r="K53" i="11"/>
  <c r="J53" i="11"/>
  <c r="I53" i="11"/>
  <c r="H53" i="11"/>
  <c r="G53" i="11"/>
  <c r="F53" i="11"/>
  <c r="E53" i="11"/>
  <c r="D53" i="11"/>
  <c r="C53" i="11"/>
  <c r="B53" i="11"/>
  <c r="B36" i="11"/>
  <c r="B38" i="11"/>
  <c r="B40" i="11"/>
  <c r="C51" i="11"/>
  <c r="K51" i="11"/>
  <c r="G51" i="11"/>
  <c r="C21" i="9"/>
  <c r="A31" i="16"/>
  <c r="A33" i="9"/>
  <c r="A14" i="9"/>
  <c r="A15" i="9"/>
  <c r="A16" i="9"/>
  <c r="A13" i="9"/>
  <c r="F17" i="4"/>
  <c r="F19" i="4"/>
  <c r="F21" i="4"/>
  <c r="F22" i="4"/>
  <c r="F24" i="4"/>
  <c r="F25" i="4"/>
  <c r="F27" i="4"/>
  <c r="F28" i="4"/>
  <c r="F30" i="4"/>
  <c r="F32" i="4"/>
  <c r="F35" i="4"/>
  <c r="F10" i="4"/>
  <c r="K36" i="6"/>
  <c r="K37" i="6"/>
  <c r="K38" i="6"/>
  <c r="J16" i="4"/>
  <c r="A21" i="16"/>
  <c r="A23" i="9"/>
  <c r="A22" i="16"/>
  <c r="A24" i="9"/>
  <c r="A23" i="16"/>
  <c r="A25" i="9"/>
  <c r="A24" i="16"/>
  <c r="A26" i="9"/>
  <c r="A25" i="16"/>
  <c r="A27" i="9"/>
  <c r="A26" i="16"/>
  <c r="A28" i="9"/>
  <c r="A27" i="16"/>
  <c r="A29" i="9"/>
  <c r="A28" i="16"/>
  <c r="A30" i="9"/>
  <c r="A29" i="16"/>
  <c r="A31" i="9"/>
  <c r="A30" i="16"/>
  <c r="A32" i="9"/>
  <c r="F51" i="4"/>
  <c r="F44" i="4"/>
  <c r="F46" i="4"/>
  <c r="J101" i="3"/>
  <c r="J102" i="3"/>
  <c r="J103" i="3"/>
  <c r="J104" i="3"/>
  <c r="J100" i="3"/>
  <c r="M102" i="3"/>
  <c r="M103" i="3"/>
  <c r="M104" i="3"/>
  <c r="D30" i="15"/>
  <c r="G1" i="15"/>
  <c r="G25" i="14"/>
  <c r="B25" i="14"/>
  <c r="E1" i="14"/>
  <c r="B21" i="12"/>
  <c r="F1" i="10"/>
  <c r="C36" i="11"/>
  <c r="C38" i="11"/>
  <c r="C40" i="11"/>
  <c r="D140" i="3"/>
  <c r="D38" i="11"/>
  <c r="D40" i="11"/>
  <c r="E36" i="11"/>
  <c r="E38" i="11"/>
  <c r="E40" i="11"/>
  <c r="E43" i="11"/>
  <c r="F43" i="11"/>
  <c r="B43" i="11"/>
  <c r="E140" i="3"/>
  <c r="F140" i="3"/>
  <c r="B140" i="3"/>
  <c r="J96" i="3"/>
  <c r="J97" i="3"/>
  <c r="E1" i="13"/>
  <c r="E1" i="12"/>
  <c r="D1" i="11"/>
  <c r="F1" i="9"/>
  <c r="G1" i="8"/>
  <c r="G1" i="7"/>
  <c r="D10" i="6"/>
  <c r="G1" i="6"/>
  <c r="E1" i="5"/>
  <c r="E1" i="4"/>
  <c r="B166" i="3"/>
  <c r="E2" i="3"/>
  <c r="C34" i="2"/>
  <c r="C32" i="2"/>
  <c r="C29" i="2"/>
  <c r="C28" i="2"/>
  <c r="C27" i="2"/>
  <c r="C23" i="2"/>
  <c r="C21" i="2"/>
  <c r="C20" i="2"/>
  <c r="C22" i="2"/>
  <c r="M105" i="3"/>
  <c r="D29" i="11"/>
  <c r="C24" i="2"/>
  <c r="D36" i="11"/>
  <c r="D43" i="11"/>
  <c r="F45" i="4"/>
  <c r="J10" i="4"/>
  <c r="K40" i="6"/>
  <c r="F49" i="4"/>
  <c r="I51" i="11"/>
  <c r="E51" i="11"/>
  <c r="B51" i="11"/>
  <c r="F51" i="11"/>
  <c r="L51" i="11"/>
  <c r="K81" i="11"/>
  <c r="I81" i="11"/>
  <c r="G81" i="11"/>
  <c r="E81" i="11"/>
  <c r="C81" i="11"/>
  <c r="L81" i="11"/>
  <c r="J81" i="11"/>
  <c r="H81" i="11"/>
  <c r="F81" i="11"/>
  <c r="D81" i="11"/>
  <c r="B81" i="11"/>
  <c r="K33" i="6"/>
  <c r="J51" i="11"/>
  <c r="K47" i="6"/>
  <c r="D51" i="11"/>
  <c r="H51" i="11"/>
  <c r="K34" i="6"/>
  <c r="K49" i="6"/>
  <c r="K48" i="6"/>
  <c r="C140" i="3"/>
  <c r="C43" i="11"/>
  <c r="E7" i="14"/>
  <c r="F9" i="14"/>
  <c r="C9" i="14"/>
  <c r="F7" i="14"/>
  <c r="G9" i="14"/>
  <c r="G52" i="6"/>
  <c r="C52" i="6"/>
  <c r="K41" i="6"/>
  <c r="G7" i="14"/>
  <c r="D52" i="6"/>
  <c r="C7" i="14"/>
  <c r="H49" i="5"/>
  <c r="E9" i="14"/>
  <c r="J52" i="6"/>
  <c r="K35" i="6"/>
  <c r="F48" i="4"/>
  <c r="C53" i="6"/>
  <c r="C55" i="6"/>
  <c r="G53" i="6"/>
  <c r="G55" i="6"/>
  <c r="J53" i="6"/>
  <c r="J55" i="6"/>
  <c r="I52" i="6"/>
  <c r="H52" i="6"/>
  <c r="F20" i="4"/>
  <c r="D53" i="6"/>
  <c r="D55" i="6"/>
  <c r="D7" i="14"/>
  <c r="B7" i="14"/>
  <c r="D13" i="11"/>
  <c r="H46" i="5"/>
  <c r="G4" i="10"/>
  <c r="D9" i="14"/>
  <c r="I11" i="6"/>
  <c r="B22" i="5"/>
  <c r="B25" i="5"/>
  <c r="I53" i="6"/>
  <c r="I55" i="6"/>
  <c r="H47" i="5"/>
  <c r="K39" i="6"/>
  <c r="K42" i="6"/>
  <c r="F47" i="4"/>
  <c r="D12" i="11"/>
  <c r="B34" i="4"/>
  <c r="H53" i="6"/>
  <c r="H55" i="6"/>
  <c r="F52" i="6"/>
  <c r="E21" i="14"/>
  <c r="D21" i="14"/>
  <c r="F50" i="4"/>
  <c r="F52" i="4"/>
  <c r="B36" i="5"/>
  <c r="C19" i="6"/>
  <c r="G21" i="14"/>
  <c r="F21" i="14"/>
  <c r="F53" i="6"/>
  <c r="F55" i="6"/>
  <c r="I15" i="6"/>
  <c r="B36" i="4"/>
  <c r="E52" i="6"/>
  <c r="I6" i="6"/>
  <c r="E53" i="6"/>
  <c r="K53" i="6"/>
  <c r="K52" i="6"/>
  <c r="I14" i="6"/>
  <c r="D19" i="14"/>
  <c r="D22" i="14"/>
  <c r="E19" i="14"/>
  <c r="E22" i="14"/>
  <c r="F19" i="14"/>
  <c r="F22" i="14"/>
  <c r="G19" i="14"/>
  <c r="G22" i="14"/>
  <c r="E55" i="6"/>
  <c r="K55" i="6"/>
  <c r="K59" i="3"/>
  <c r="B32" i="9"/>
  <c r="B30" i="9"/>
  <c r="B28" i="9"/>
  <c r="B26" i="9"/>
  <c r="B25" i="9"/>
  <c r="B24" i="9"/>
  <c r="D33" i="13"/>
  <c r="C32" i="14"/>
  <c r="C33" i="14"/>
  <c r="C31" i="14"/>
  <c r="C27" i="14"/>
  <c r="C25" i="14"/>
  <c r="E34" i="9"/>
  <c r="B29" i="14"/>
  <c r="C29" i="14"/>
  <c r="C28" i="14"/>
  <c r="C30" i="14"/>
  <c r="C35" i="14"/>
  <c r="C11" i="14"/>
  <c r="C23" i="14"/>
  <c r="C16" i="14"/>
  <c r="C15" i="14"/>
  <c r="B14" i="14"/>
  <c r="B17" i="14"/>
  <c r="C14" i="14"/>
  <c r="C17" i="14"/>
  <c r="C12" i="14"/>
  <c r="D34" i="9"/>
  <c r="I7" i="15"/>
  <c r="J7" i="15"/>
  <c r="K7" i="15"/>
  <c r="I8" i="15"/>
  <c r="J8" i="15"/>
  <c r="K8" i="15"/>
  <c r="I9" i="15"/>
  <c r="J9" i="15"/>
  <c r="K9" i="15"/>
  <c r="I10" i="15"/>
  <c r="J10" i="15"/>
  <c r="K10" i="15"/>
  <c r="E7" i="15"/>
  <c r="F7" i="15"/>
  <c r="D7" i="15"/>
  <c r="G7" i="15"/>
  <c r="E8" i="15"/>
  <c r="F8" i="15"/>
  <c r="G8" i="15"/>
  <c r="E9" i="15"/>
  <c r="F9" i="15"/>
  <c r="G9" i="15"/>
  <c r="J5" i="15"/>
  <c r="J12" i="15"/>
  <c r="E10" i="15"/>
  <c r="F10" i="15"/>
  <c r="G10" i="15"/>
  <c r="G12" i="15"/>
  <c r="H7" i="15"/>
  <c r="L7" i="15"/>
  <c r="H8" i="15"/>
  <c r="L8" i="15"/>
  <c r="H9" i="15"/>
  <c r="L9" i="15"/>
  <c r="H10" i="15"/>
  <c r="L10" i="15"/>
  <c r="L12" i="15"/>
  <c r="M12" i="15"/>
  <c r="N12" i="15"/>
  <c r="B41" i="3"/>
  <c r="D30" i="7"/>
  <c r="E25" i="7"/>
  <c r="E27" i="7"/>
  <c r="E28" i="7"/>
  <c r="E30" i="7"/>
  <c r="F25" i="7"/>
  <c r="F27" i="7"/>
  <c r="F28" i="7"/>
  <c r="F30" i="7"/>
  <c r="G25" i="7"/>
  <c r="G27" i="7"/>
  <c r="G28" i="7"/>
  <c r="G30" i="7"/>
  <c r="C30" i="7"/>
  <c r="F23" i="16"/>
  <c r="F25" i="16"/>
  <c r="F27" i="16"/>
  <c r="F29" i="16"/>
  <c r="F31" i="16"/>
  <c r="D20" i="16"/>
  <c r="F20" i="16"/>
  <c r="F32" i="16"/>
  <c r="D27" i="11"/>
  <c r="D25" i="11"/>
  <c r="C22" i="11"/>
  <c r="D22" i="11"/>
  <c r="D34" i="14"/>
  <c r="C14" i="10"/>
  <c r="D33" i="14"/>
  <c r="E34" i="14"/>
  <c r="D14" i="10"/>
  <c r="E33" i="14"/>
  <c r="F34" i="14"/>
  <c r="E14" i="10"/>
  <c r="F33" i="14"/>
  <c r="G34" i="14"/>
  <c r="G16" i="14"/>
  <c r="F16" i="14"/>
  <c r="D11" i="14"/>
  <c r="E11" i="14"/>
  <c r="F11" i="14"/>
  <c r="B11" i="14"/>
  <c r="G11" i="14"/>
  <c r="D16" i="14"/>
  <c r="E16" i="14"/>
  <c r="F14" i="10"/>
  <c r="G14" i="10"/>
  <c r="D44" i="15"/>
  <c r="E33" i="13"/>
  <c r="F16" i="6"/>
  <c r="F18" i="6"/>
  <c r="G16" i="6"/>
  <c r="G18" i="6"/>
  <c r="H16" i="6"/>
  <c r="H18" i="6"/>
  <c r="I18" i="6"/>
  <c r="I23" i="6"/>
  <c r="I25" i="6"/>
  <c r="D25" i="6"/>
  <c r="E25" i="6"/>
  <c r="F25" i="6"/>
  <c r="G25" i="6"/>
  <c r="H25" i="6"/>
  <c r="C17" i="3"/>
  <c r="C20" i="3"/>
  <c r="D17" i="3"/>
  <c r="D20" i="3"/>
  <c r="E17" i="3"/>
  <c r="E20" i="3"/>
  <c r="F17" i="3"/>
  <c r="F20" i="3"/>
  <c r="B17" i="3"/>
  <c r="B20" i="3"/>
  <c r="I12" i="15"/>
  <c r="E12" i="15"/>
  <c r="F12" i="15"/>
  <c r="H12" i="15"/>
  <c r="D14" i="15"/>
  <c r="N6" i="15"/>
  <c r="M7" i="15"/>
  <c r="N7" i="15"/>
  <c r="M8" i="15"/>
  <c r="G10" i="14"/>
  <c r="J7" i="8"/>
  <c r="I7" i="8"/>
  <c r="E7" i="8"/>
  <c r="F7" i="8"/>
  <c r="C7" i="8"/>
  <c r="G7" i="8"/>
  <c r="J8" i="8"/>
  <c r="I8" i="8"/>
  <c r="E8" i="8"/>
  <c r="F8" i="8"/>
  <c r="C8" i="8"/>
  <c r="G8" i="8"/>
  <c r="J9" i="8"/>
  <c r="I9" i="8"/>
  <c r="C9" i="8"/>
  <c r="E9" i="8"/>
  <c r="F9" i="8"/>
  <c r="B9" i="8"/>
  <c r="G9" i="8"/>
  <c r="M6" i="8"/>
  <c r="H7" i="8"/>
  <c r="K7" i="8"/>
  <c r="L7" i="8"/>
  <c r="M7" i="8"/>
  <c r="H8" i="8"/>
  <c r="K8" i="8"/>
  <c r="L8" i="8"/>
  <c r="M8" i="8"/>
  <c r="H9" i="8"/>
  <c r="K9" i="8"/>
  <c r="L9" i="8"/>
  <c r="B11" i="8"/>
  <c r="B39" i="3"/>
  <c r="B43" i="3"/>
  <c r="B47" i="3"/>
  <c r="B46" i="3"/>
  <c r="B138" i="3"/>
  <c r="B41" i="11"/>
  <c r="F26" i="4"/>
  <c r="B30" i="6"/>
  <c r="D138" i="3"/>
  <c r="D41" i="11"/>
  <c r="E138" i="3"/>
  <c r="E41" i="11"/>
  <c r="B84" i="3"/>
  <c r="F29" i="4"/>
  <c r="F138" i="3"/>
  <c r="F41" i="11"/>
  <c r="C138" i="3"/>
  <c r="C41" i="11"/>
  <c r="I16" i="6"/>
  <c r="C136" i="3"/>
  <c r="C39" i="11"/>
  <c r="D84" i="3"/>
  <c r="D21" i="11"/>
  <c r="F136" i="3"/>
  <c r="F39" i="11"/>
  <c r="B44" i="3"/>
  <c r="B108" i="3"/>
  <c r="F84" i="3"/>
  <c r="D19" i="3"/>
  <c r="E136" i="3"/>
  <c r="E39" i="11"/>
  <c r="D136" i="3"/>
  <c r="D39" i="11"/>
  <c r="E84" i="3"/>
  <c r="F19" i="3"/>
  <c r="D17" i="11"/>
  <c r="B19" i="3"/>
  <c r="C65" i="3"/>
  <c r="B65" i="3"/>
  <c r="E39" i="3"/>
  <c r="E43" i="3"/>
  <c r="E44" i="3"/>
  <c r="E108" i="3"/>
  <c r="F54" i="4"/>
  <c r="F134" i="3"/>
  <c r="F143" i="3"/>
  <c r="D165" i="3"/>
  <c r="F141" i="3"/>
  <c r="D166" i="3"/>
  <c r="D134" i="3"/>
  <c r="D143" i="3"/>
  <c r="D141" i="3"/>
  <c r="G9" i="10"/>
  <c r="C84" i="3"/>
  <c r="F39" i="3"/>
  <c r="F43" i="3"/>
  <c r="F44" i="3"/>
  <c r="F108" i="3"/>
  <c r="F47" i="3"/>
  <c r="F46" i="3"/>
  <c r="I7" i="6"/>
  <c r="D39" i="3"/>
  <c r="D43" i="3"/>
  <c r="D44" i="3"/>
  <c r="D108" i="3"/>
  <c r="B134" i="3"/>
  <c r="B136" i="3"/>
  <c r="B141" i="3"/>
  <c r="B143" i="3"/>
  <c r="C134" i="3"/>
  <c r="C141" i="3"/>
  <c r="C143" i="3"/>
  <c r="E19" i="3"/>
  <c r="C39" i="3"/>
  <c r="C43" i="3"/>
  <c r="C47" i="3"/>
  <c r="C46" i="3"/>
  <c r="C44" i="3"/>
  <c r="C108" i="3"/>
  <c r="D65" i="3"/>
  <c r="D19" i="11"/>
  <c r="F65" i="3"/>
  <c r="E134" i="3"/>
  <c r="E143" i="3"/>
  <c r="E141" i="3"/>
  <c r="D10" i="14"/>
  <c r="E65" i="3"/>
  <c r="C19" i="3"/>
  <c r="B120" i="3"/>
  <c r="D148" i="3"/>
  <c r="F120" i="3"/>
  <c r="C120" i="3"/>
  <c r="E47" i="3"/>
  <c r="E46" i="3"/>
  <c r="C10" i="14"/>
  <c r="F10" i="14"/>
  <c r="E10" i="14"/>
  <c r="G8" i="10"/>
  <c r="G5" i="10"/>
  <c r="B39" i="11"/>
  <c r="D147" i="3"/>
  <c r="C34" i="4"/>
  <c r="F34" i="4"/>
  <c r="D29" i="6"/>
  <c r="D47" i="3"/>
  <c r="D46" i="3"/>
  <c r="E120" i="3"/>
  <c r="G6" i="10"/>
  <c r="D120" i="3"/>
  <c r="B148" i="3"/>
  <c r="E131" i="3"/>
  <c r="F131" i="3"/>
  <c r="F37" i="11"/>
  <c r="B80" i="11"/>
  <c r="B82" i="11"/>
  <c r="C36" i="4"/>
  <c r="F36" i="4"/>
  <c r="I17" i="6"/>
  <c r="E27" i="16"/>
  <c r="D8" i="9"/>
  <c r="C131" i="3"/>
  <c r="C130" i="3"/>
  <c r="C132" i="3"/>
  <c r="C80" i="11"/>
  <c r="C82" i="11"/>
  <c r="C32" i="16"/>
  <c r="C12" i="15"/>
  <c r="F27" i="14"/>
  <c r="F25" i="14"/>
  <c r="E31" i="16"/>
  <c r="E29" i="16"/>
  <c r="I11" i="8"/>
  <c r="B131" i="3"/>
  <c r="D131" i="3"/>
  <c r="B15" i="9"/>
  <c r="E25" i="16"/>
  <c r="E32" i="16"/>
  <c r="C34" i="9"/>
  <c r="D27" i="14"/>
  <c r="D25" i="14"/>
  <c r="B14" i="9"/>
  <c r="G12" i="10"/>
  <c r="E130" i="3"/>
  <c r="E132" i="3"/>
  <c r="B130" i="3"/>
  <c r="B132" i="3"/>
  <c r="E27" i="14"/>
  <c r="E25" i="14"/>
  <c r="E11" i="8"/>
  <c r="F130" i="3"/>
  <c r="F132" i="3"/>
  <c r="D80" i="11"/>
  <c r="D82" i="11"/>
  <c r="E80" i="11"/>
  <c r="E82" i="11"/>
  <c r="G13" i="10"/>
  <c r="D130" i="3"/>
  <c r="D132" i="3"/>
  <c r="G20" i="16"/>
  <c r="G32" i="16"/>
  <c r="F11" i="8"/>
  <c r="H11" i="8"/>
  <c r="B16" i="9"/>
  <c r="B13" i="9"/>
  <c r="B21" i="9"/>
  <c r="I34" i="9"/>
  <c r="F80" i="11"/>
  <c r="F82" i="11"/>
  <c r="C22" i="5"/>
  <c r="C25" i="5"/>
  <c r="D19" i="6"/>
  <c r="C36" i="5"/>
  <c r="D13" i="8"/>
  <c r="B23" i="9"/>
  <c r="I21" i="6"/>
  <c r="G80" i="11"/>
  <c r="G82" i="11"/>
  <c r="H22" i="16"/>
  <c r="D25" i="5"/>
  <c r="E19" i="6"/>
  <c r="D36" i="5"/>
  <c r="I22" i="6"/>
  <c r="G25" i="5"/>
  <c r="G36" i="5"/>
  <c r="H19" i="6"/>
  <c r="E25" i="5"/>
  <c r="F19" i="6"/>
  <c r="E36" i="5"/>
  <c r="F6" i="9"/>
  <c r="F25" i="5"/>
  <c r="F36" i="5"/>
  <c r="G19" i="6"/>
  <c r="F7" i="9"/>
  <c r="F5" i="9"/>
  <c r="F8" i="9"/>
  <c r="H80" i="11"/>
  <c r="H82" i="11"/>
  <c r="C45" i="9"/>
  <c r="H20" i="16"/>
  <c r="E45" i="9"/>
  <c r="B45" i="9"/>
  <c r="H25" i="16"/>
  <c r="F45" i="9"/>
  <c r="H24" i="16"/>
  <c r="C11" i="8"/>
  <c r="H23" i="16"/>
  <c r="D45" i="9"/>
  <c r="E6" i="9"/>
  <c r="C8" i="9"/>
  <c r="C7" i="9"/>
  <c r="G7" i="9"/>
  <c r="C6" i="9"/>
  <c r="G6" i="9"/>
  <c r="C5" i="9"/>
  <c r="E5" i="9"/>
  <c r="G5" i="9"/>
  <c r="G8" i="9"/>
  <c r="D18" i="11"/>
  <c r="D14" i="11"/>
  <c r="D15" i="11"/>
  <c r="D20" i="11"/>
  <c r="D23" i="11"/>
  <c r="D26" i="11"/>
  <c r="I80" i="11"/>
  <c r="I82" i="11"/>
  <c r="G11" i="8"/>
  <c r="D7" i="11"/>
  <c r="D8" i="11"/>
  <c r="D9" i="11"/>
  <c r="D10" i="11"/>
  <c r="D11" i="8"/>
  <c r="C32" i="11"/>
  <c r="E8" i="9"/>
  <c r="J80" i="11"/>
  <c r="J82" i="11"/>
  <c r="B27" i="9"/>
  <c r="F27" i="9"/>
  <c r="B42" i="11"/>
  <c r="H27" i="9"/>
  <c r="C21" i="12"/>
  <c r="D12" i="15"/>
  <c r="H26" i="16"/>
  <c r="K80" i="11"/>
  <c r="L80" i="11"/>
  <c r="L82" i="11"/>
  <c r="K82" i="11"/>
  <c r="B29" i="9"/>
  <c r="F29" i="9"/>
  <c r="H27" i="16"/>
  <c r="B32" i="14"/>
  <c r="B31" i="14"/>
  <c r="B28" i="14"/>
  <c r="B30" i="14"/>
  <c r="B35" i="14"/>
  <c r="B23" i="14"/>
  <c r="B12" i="14"/>
  <c r="C42" i="11"/>
  <c r="C37" i="11"/>
  <c r="C44" i="11"/>
  <c r="B37" i="11"/>
  <c r="B44" i="11"/>
  <c r="D21" i="12"/>
  <c r="C30" i="15"/>
  <c r="H29" i="9"/>
  <c r="B32" i="11"/>
  <c r="D32" i="11"/>
  <c r="E32" i="11"/>
  <c r="E29" i="11"/>
  <c r="D30" i="11"/>
  <c r="E30" i="11"/>
  <c r="B50" i="11"/>
  <c r="I50" i="11"/>
  <c r="I52" i="11"/>
  <c r="E50" i="11"/>
  <c r="E52" i="11"/>
  <c r="J50" i="11"/>
  <c r="J52" i="11"/>
  <c r="F50" i="11"/>
  <c r="F52" i="11"/>
  <c r="K50" i="11"/>
  <c r="K52" i="11"/>
  <c r="G50" i="11"/>
  <c r="G52" i="11"/>
  <c r="C50" i="11"/>
  <c r="C52" i="11"/>
  <c r="B52" i="11"/>
  <c r="D50" i="11"/>
  <c r="D52" i="11"/>
  <c r="H50" i="11"/>
  <c r="H52" i="11"/>
  <c r="L50" i="11"/>
  <c r="L52" i="11"/>
  <c r="B5" i="14"/>
  <c r="B24" i="14"/>
  <c r="B37" i="14"/>
  <c r="D31" i="11"/>
  <c r="E31" i="11"/>
  <c r="H28" i="16"/>
  <c r="H29" i="16"/>
  <c r="J11" i="8"/>
  <c r="G14" i="8"/>
  <c r="B31" i="9"/>
  <c r="F31" i="9"/>
  <c r="D42" i="11"/>
  <c r="D37" i="11"/>
  <c r="D44" i="11"/>
  <c r="K11" i="8"/>
  <c r="H31" i="9"/>
  <c r="E21" i="12"/>
  <c r="D32" i="14"/>
  <c r="D31" i="14"/>
  <c r="D29" i="14"/>
  <c r="D28" i="14"/>
  <c r="D30" i="14"/>
  <c r="D35" i="14"/>
  <c r="H30" i="16"/>
  <c r="D15" i="8"/>
  <c r="L11" i="8"/>
  <c r="B31" i="16"/>
  <c r="B33" i="9"/>
  <c r="F33" i="9"/>
  <c r="F34" i="9"/>
  <c r="D23" i="14"/>
  <c r="D14" i="14"/>
  <c r="D17" i="14"/>
  <c r="D12" i="14"/>
  <c r="H31" i="16"/>
  <c r="D32" i="16"/>
  <c r="E42" i="11"/>
  <c r="E37" i="11"/>
  <c r="E44" i="11"/>
  <c r="M9" i="8"/>
  <c r="G34" i="9"/>
  <c r="E23" i="14"/>
  <c r="E14" i="14"/>
  <c r="E17" i="14"/>
  <c r="E12" i="14"/>
  <c r="F21" i="12"/>
  <c r="E32" i="14"/>
  <c r="E31" i="14"/>
  <c r="E29" i="14"/>
  <c r="E28" i="14"/>
  <c r="E30" i="14"/>
  <c r="E35" i="14"/>
  <c r="F42" i="11"/>
  <c r="F44" i="11"/>
  <c r="F32" i="14"/>
  <c r="F31" i="14"/>
  <c r="F29" i="14"/>
  <c r="F28" i="14"/>
  <c r="F30" i="14"/>
  <c r="F35" i="14"/>
  <c r="G21" i="12"/>
  <c r="G23" i="14"/>
  <c r="F14" i="14"/>
  <c r="F17" i="14"/>
  <c r="G14" i="14"/>
  <c r="G17" i="14"/>
  <c r="G12" i="14"/>
  <c r="G10" i="10"/>
  <c r="F23" i="14"/>
  <c r="F12" i="14"/>
  <c r="G11" i="10"/>
  <c r="K12" i="15"/>
  <c r="F33" i="13"/>
  <c r="G33" i="14"/>
  <c r="D46" i="15"/>
  <c r="G32" i="14"/>
  <c r="G31" i="14"/>
  <c r="G29" i="14"/>
  <c r="G28" i="14"/>
  <c r="G30" i="14"/>
  <c r="G35" i="14"/>
  <c r="D47" i="15"/>
  <c r="N8" i="15"/>
  <c r="B30" i="15"/>
  <c r="B12" i="15"/>
  <c r="M9" i="15"/>
  <c r="M10" i="15"/>
  <c r="D16" i="15"/>
  <c r="D17" i="15"/>
  <c r="N9" i="15"/>
  <c r="N10" i="15"/>
  <c r="D45" i="15"/>
  <c r="C8" i="14"/>
  <c r="C5" i="14"/>
  <c r="C24" i="14"/>
  <c r="C37" i="14"/>
  <c r="D8" i="14"/>
  <c r="D5" i="14"/>
  <c r="D24" i="14"/>
  <c r="D37" i="14"/>
  <c r="D38" i="14"/>
  <c r="E8" i="14"/>
  <c r="E5" i="14"/>
  <c r="E24" i="14"/>
  <c r="E37" i="14"/>
  <c r="E38" i="14"/>
  <c r="F8" i="14"/>
  <c r="F5" i="14"/>
  <c r="F24" i="14"/>
  <c r="F37" i="14"/>
  <c r="F38" i="14"/>
  <c r="E30" i="15"/>
  <c r="F30" i="15"/>
  <c r="G8" i="14"/>
  <c r="G5" i="14"/>
  <c r="G24" i="14"/>
  <c r="G37" i="14"/>
  <c r="G38" i="14"/>
  <c r="D36" i="15"/>
  <c r="G30" i="15"/>
  <c r="D33" i="15"/>
  <c r="D34" i="15"/>
  <c r="H28" i="15"/>
  <c r="H29" i="13"/>
  <c r="D35" i="15"/>
  <c r="H39" i="15"/>
</calcChain>
</file>

<file path=xl/comments1.xml><?xml version="1.0" encoding="utf-8"?>
<comments xmlns="http://schemas.openxmlformats.org/spreadsheetml/2006/main">
  <authors>
    <author/>
    <author>Jasmin Belen</author>
  </authors>
  <commentList>
    <comment ref="A6" authorId="0" shapeId="0">
      <text>
        <r>
          <rPr>
            <sz val="10"/>
            <color rgb="FF000000"/>
            <rFont val="Arial"/>
          </rPr>
          <t>acetato 36%/lt y pvc 30$/m2
	-Luciano Delgado</t>
        </r>
      </text>
    </comment>
    <comment ref="B9" authorId="1" shapeId="0">
      <text>
        <r>
          <rPr>
            <sz val="10"/>
            <color rgb="FF000000"/>
            <rFont val="Arial"/>
          </rPr>
          <t>Jasmin Belen:</t>
        </r>
        <r>
          <rPr>
            <sz val="9"/>
            <color indexed="81"/>
            <rFont val="Arial"/>
          </rPr>
          <t xml:space="preserve">
</t>
        </r>
      </text>
    </comment>
    <comment ref="A11" authorId="0" shapeId="0">
      <text>
        <r>
          <rPr>
            <sz val="10"/>
            <color rgb="FF000000"/>
            <rFont val="Arial"/>
          </rPr>
          <t>disco de acero = 5$/disco
	-Luciano Delgado</t>
        </r>
      </text>
    </comment>
    <comment ref="A12" authorId="0" shapeId="0">
      <text>
        <r>
          <rPr>
            <sz val="10"/>
            <color rgb="FF000000"/>
            <rFont val="Arial"/>
          </rPr>
          <t>3000xmes
	-Luciano Delgado</t>
        </r>
      </text>
    </comment>
  </commentList>
</comments>
</file>

<file path=xl/sharedStrings.xml><?xml version="1.0" encoding="utf-8"?>
<sst xmlns="http://schemas.openxmlformats.org/spreadsheetml/2006/main" count="1065" uniqueCount="733">
  <si>
    <t>ESTA PLANILLA PUEDE SER UTILIZADA SOLAMENTE PARA EL TRABAJO PRACTICO:</t>
  </si>
  <si>
    <t>Dato</t>
  </si>
  <si>
    <t>Tasa porcentual de IVA</t>
  </si>
  <si>
    <t>Tasa porcentual de Impuesto a las Ganancias</t>
  </si>
  <si>
    <t>Honorarios al Directorio</t>
  </si>
  <si>
    <t>Variable sobre Utilidad económica antes de HD e IG</t>
  </si>
  <si>
    <t>UM</t>
  </si>
  <si>
    <t>Periodo de Instalación</t>
  </si>
  <si>
    <t>Año 1</t>
  </si>
  <si>
    <t>Año 2 en adelante</t>
  </si>
  <si>
    <t>Ventas</t>
  </si>
  <si>
    <t>Tiempo de Amortización Activos Fijos:</t>
  </si>
  <si>
    <t>Se considera una depreciación lineal y un valor residual nulo</t>
  </si>
  <si>
    <t>PT</t>
  </si>
  <si>
    <t xml:space="preserve">    edificios y obras complementarias</t>
  </si>
  <si>
    <t>Stock Promedio de Elaborado</t>
  </si>
  <si>
    <t>Producción</t>
  </si>
  <si>
    <t>Desperdicios NO Recuperables</t>
  </si>
  <si>
    <t>$</t>
  </si>
  <si>
    <t>En Curso y SE</t>
  </si>
  <si>
    <t>Consumo de MP</t>
  </si>
  <si>
    <t>Stock de MP</t>
  </si>
  <si>
    <t>Compra MP</t>
  </si>
  <si>
    <t>años</t>
  </si>
  <si>
    <t xml:space="preserve">    instalaciones industriales</t>
  </si>
  <si>
    <t>EJ 15</t>
  </si>
  <si>
    <t xml:space="preserve">    máquinas, equipos y accesorios</t>
  </si>
  <si>
    <t xml:space="preserve">    rodados y equipos auxiliares</t>
  </si>
  <si>
    <t xml:space="preserve">    muebles y útiles</t>
  </si>
  <si>
    <t xml:space="preserve">    repuestos iniciales</t>
  </si>
  <si>
    <t>Otros Activos y Cargos Diferidos</t>
  </si>
  <si>
    <t>Imprevistos</t>
  </si>
  <si>
    <t xml:space="preserve">Gasto anual MP consumida </t>
  </si>
  <si>
    <t>Nombre del Producto</t>
  </si>
  <si>
    <t>Producto termico</t>
  </si>
  <si>
    <t>consumo especifico precio MP</t>
  </si>
  <si>
    <t>Ventas Anuales Promedio</t>
  </si>
  <si>
    <t>año 2-5</t>
  </si>
  <si>
    <t>en Unidades</t>
  </si>
  <si>
    <t>Precio Promedio</t>
  </si>
  <si>
    <t>en $</t>
  </si>
  <si>
    <t xml:space="preserve">Cantidad de personal total </t>
  </si>
  <si>
    <t>en Producción</t>
  </si>
  <si>
    <t>personas</t>
  </si>
  <si>
    <t>en Comercialización</t>
  </si>
  <si>
    <t>en Administración</t>
  </si>
  <si>
    <t>Tamaño de la planta en metros cuadrados</t>
  </si>
  <si>
    <t>m2</t>
  </si>
  <si>
    <t>en meses</t>
  </si>
  <si>
    <t>Período de Puesta en Marcha</t>
  </si>
  <si>
    <t>Tasa de Cambio</t>
  </si>
  <si>
    <t>$ por cada</t>
  </si>
  <si>
    <t>U$S</t>
  </si>
  <si>
    <t>Tasa de Credito Bancario</t>
  </si>
  <si>
    <t>Produccion Programada</t>
  </si>
  <si>
    <t>anual</t>
  </si>
  <si>
    <t>según Bco Nacion</t>
  </si>
  <si>
    <t>Año 6</t>
  </si>
  <si>
    <t>Rubro a financiar</t>
  </si>
  <si>
    <t>Maquinarias</t>
  </si>
  <si>
    <t>Consumo Especifico</t>
  </si>
  <si>
    <t>Gasto anual</t>
  </si>
  <si>
    <t>% sobre el total del Rubro</t>
  </si>
  <si>
    <t>gasto especifico</t>
  </si>
  <si>
    <t>Dias de Financiación de Proveedores</t>
  </si>
  <si>
    <t>año 1</t>
  </si>
  <si>
    <t>% sobre Compras</t>
  </si>
  <si>
    <t>Tasa de financiación</t>
  </si>
  <si>
    <t>consumo total MP</t>
  </si>
  <si>
    <t>consumo MP por PT</t>
  </si>
  <si>
    <t>consumo Mpen MeC y SE**</t>
  </si>
  <si>
    <t>exceso consumo en Prod en Proc</t>
  </si>
  <si>
    <t>costo MP req prod realizada</t>
  </si>
  <si>
    <t>costo MeC y SE</t>
  </si>
  <si>
    <t>costo exceso de MP en PeM</t>
  </si>
  <si>
    <t>EJ 16</t>
  </si>
  <si>
    <t>Gasto anual MOD</t>
  </si>
  <si>
    <t>Cant operarios en el año 1</t>
  </si>
  <si>
    <t>Cantidad de turnos año 1</t>
  </si>
  <si>
    <t>Cantidad de turnos año 2</t>
  </si>
  <si>
    <t>Sueldos al año</t>
  </si>
  <si>
    <t>Jornal</t>
  </si>
  <si>
    <t>Básico</t>
  </si>
  <si>
    <t>mensual</t>
  </si>
  <si>
    <t>Adicionales</t>
  </si>
  <si>
    <t>sobre el básico</t>
  </si>
  <si>
    <t>Cargas Sociales</t>
  </si>
  <si>
    <t>$ 3.053.700</t>
  </si>
  <si>
    <t>gasto PT</t>
  </si>
  <si>
    <t>$ 2.710.102,640</t>
  </si>
  <si>
    <t>gasto MeC y SE</t>
  </si>
  <si>
    <t>$ 27.075</t>
  </si>
  <si>
    <t>exceso gasto MOD en MeP</t>
  </si>
  <si>
    <t>EJ 19</t>
  </si>
  <si>
    <t>Gastos de Fabricación: materiales</t>
  </si>
  <si>
    <t>mantenimiento</t>
  </si>
  <si>
    <t>del valor de las máquinas</t>
  </si>
  <si>
    <t>repuestos</t>
  </si>
  <si>
    <t>producción</t>
  </si>
  <si>
    <t>del gasto anual</t>
  </si>
  <si>
    <t>personal</t>
  </si>
  <si>
    <t>Puesta en marcha, transporte e importacion</t>
  </si>
  <si>
    <t>del valor de las máquinas c/u</t>
  </si>
  <si>
    <t>Años 2-10</t>
  </si>
  <si>
    <t>$ 14.250</t>
  </si>
  <si>
    <t>produccion</t>
  </si>
  <si>
    <t>$ 101.681,97</t>
  </si>
  <si>
    <t>$ 67.787,98</t>
  </si>
  <si>
    <t>$ 197.970</t>
  </si>
  <si>
    <t>Gasto especifico</t>
  </si>
  <si>
    <t>$ 2,08</t>
  </si>
  <si>
    <t>$/Tn</t>
  </si>
  <si>
    <t>gastos en MeP y SE</t>
  </si>
  <si>
    <t>$ 1.755</t>
  </si>
  <si>
    <t>$ 178.173</t>
  </si>
  <si>
    <t>$ 175.695</t>
  </si>
  <si>
    <t>gastos en MeP</t>
  </si>
  <si>
    <t>$ 5.056,47</t>
  </si>
  <si>
    <t>Exceso de gastos en PeM</t>
  </si>
  <si>
    <t>-$ 2.578</t>
  </si>
  <si>
    <t>ESTA PLANILLA PUEDE SER UTILIZADA SOLAMENTE PARA EL TRABAJO PRACTICO</t>
  </si>
  <si>
    <t>Inversión Inicial en Activo Fijo</t>
  </si>
  <si>
    <t>Gasto interno (en $)</t>
  </si>
  <si>
    <t>Gasto Externo (en $)</t>
  </si>
  <si>
    <t>Año 0</t>
  </si>
  <si>
    <t>a) Bienes de Uso</t>
  </si>
  <si>
    <t>Terreno y sus mejoras</t>
  </si>
  <si>
    <t>Edificio y obras complementarias</t>
  </si>
  <si>
    <t>Instalaciones industriales</t>
  </si>
  <si>
    <t>Máquinas operativas</t>
  </si>
  <si>
    <t xml:space="preserve">    importadas, valor FOB, con repuestos</t>
  </si>
  <si>
    <t xml:space="preserve">    nacionales, precio en fábrica del proveedor</t>
  </si>
  <si>
    <t>Gastos conexos a la importación de maquinaria</t>
  </si>
  <si>
    <t>Transporte y montaje de la maquinaria</t>
  </si>
  <si>
    <t>Rodados y equipos auxiliares</t>
  </si>
  <si>
    <t>Muebles y útiles</t>
  </si>
  <si>
    <t>Infraestructura en predio propio</t>
  </si>
  <si>
    <t>Total Bienes de uso</t>
  </si>
  <si>
    <t>b) Gastos asimilables o cargos diferidos</t>
  </si>
  <si>
    <t>Investigaciones y estudios</t>
  </si>
  <si>
    <t>Constitución y organización de la empresa</t>
  </si>
  <si>
    <t>Gastos de Admin. e Ing. En en período de Instalación</t>
  </si>
  <si>
    <t>Gastos de puesta en marcha (AL AÑO 1)</t>
  </si>
  <si>
    <t>Patentes y Licencias</t>
  </si>
  <si>
    <t>Infraestructura en predio ajeno</t>
  </si>
  <si>
    <t>Total gastos asimilables o cargos diferidos</t>
  </si>
  <si>
    <t>c) Total Inversiones iniciales Activo Fijo, sin IVA</t>
  </si>
  <si>
    <t xml:space="preserve">d) IVA </t>
  </si>
  <si>
    <t>e) TOTAL INVERSIONES INICIALES ACTIVO FIJO</t>
  </si>
  <si>
    <t>Rubro</t>
  </si>
  <si>
    <t>Inversión</t>
  </si>
  <si>
    <t>Coeficiente</t>
  </si>
  <si>
    <t>Alícuotas de amortización</t>
  </si>
  <si>
    <t>original</t>
  </si>
  <si>
    <t>Años 1/3</t>
  </si>
  <si>
    <t>Años 4/5</t>
  </si>
  <si>
    <t>Valor Residual</t>
  </si>
  <si>
    <t>Bienes de Uso</t>
  </si>
  <si>
    <t>LCDTMAB</t>
  </si>
  <si>
    <t>Repuestos</t>
  </si>
  <si>
    <t>Subtotal</t>
  </si>
  <si>
    <t xml:space="preserve">Cargos Diferidos </t>
  </si>
  <si>
    <t>Totales, s/IVA</t>
  </si>
  <si>
    <t>INVERSIONES EN ACTIVO DE TRABAJO</t>
  </si>
  <si>
    <t>Rubros</t>
  </si>
  <si>
    <t>Año 2</t>
  </si>
  <si>
    <t>Año 3</t>
  </si>
  <si>
    <t>Año 4</t>
  </si>
  <si>
    <t>Año 5</t>
  </si>
  <si>
    <r>
      <rPr>
        <b/>
        <sz val="10"/>
        <rFont val="Arial"/>
      </rPr>
      <t xml:space="preserve">1. Activo de Trabajo: </t>
    </r>
    <r>
      <rPr>
        <sz val="10"/>
        <rFont val="Arial"/>
      </rPr>
      <t>(valor contable)</t>
    </r>
  </si>
  <si>
    <t xml:space="preserve">   a) Disponibilidad Mínima en Caja y Bancos:</t>
  </si>
  <si>
    <t>Calendario de Inversiones</t>
  </si>
  <si>
    <t>Año 0: Preinversion</t>
  </si>
  <si>
    <t>Año 0: Instalación</t>
  </si>
  <si>
    <t>Totales</t>
  </si>
  <si>
    <t xml:space="preserve">   b) Crédito por Ventas</t>
  </si>
  <si>
    <t>Inversiones en Activo Fijo</t>
  </si>
  <si>
    <t xml:space="preserve">    Bienes de uso</t>
  </si>
  <si>
    <t xml:space="preserve">    Asimilables</t>
  </si>
  <si>
    <t xml:space="preserve">   c) Bienes de cambio:</t>
  </si>
  <si>
    <t xml:space="preserve">    Stock de materias prima:</t>
  </si>
  <si>
    <t xml:space="preserve">    Subtotal Activo Fijo</t>
  </si>
  <si>
    <t>Inversiones en A. de Trabajo</t>
  </si>
  <si>
    <t xml:space="preserve">   Stock de materiales:</t>
  </si>
  <si>
    <t xml:space="preserve">   Disp. mínimas C y B</t>
  </si>
  <si>
    <t xml:space="preserve">   Mercadería en curso y semielaborada</t>
  </si>
  <si>
    <t xml:space="preserve">   Stock de elaborados</t>
  </si>
  <si>
    <t xml:space="preserve">   Crédito por ventas</t>
  </si>
  <si>
    <t xml:space="preserve">   d) Total Activo de Trabajo, sin IVA:</t>
  </si>
  <si>
    <t>2. Menos:</t>
  </si>
  <si>
    <t xml:space="preserve">    Amortizaciones en Mercadería en proceso</t>
  </si>
  <si>
    <t xml:space="preserve">   Bienes de cambio:</t>
  </si>
  <si>
    <t xml:space="preserve">     Stock de Materia Prima</t>
  </si>
  <si>
    <t xml:space="preserve">    Amortizaciones en Stock de elaborado</t>
  </si>
  <si>
    <t xml:space="preserve">     Stock de Materiales</t>
  </si>
  <si>
    <t xml:space="preserve">    Utilidades en Crédito por ventas</t>
  </si>
  <si>
    <t xml:space="preserve">     Mercadería en proceso</t>
  </si>
  <si>
    <t xml:space="preserve">    Amortizaciones en Crédito por ventas</t>
  </si>
  <si>
    <t xml:space="preserve">     Stock de Elaborados</t>
  </si>
  <si>
    <t>3. Inversiones en Activo de Trabajo, sin IVA</t>
  </si>
  <si>
    <t>4. Incrementos de Activo de Trabajo</t>
  </si>
  <si>
    <t xml:space="preserve">    Subtotal Inv.Activo Trabajo</t>
  </si>
  <si>
    <t xml:space="preserve">    Incrementos de Inversión en Activo de Trabajo</t>
  </si>
  <si>
    <t>5. Incrementos IVA sobre Inversiones</t>
  </si>
  <si>
    <t xml:space="preserve">    Crédito por Ventas                             </t>
  </si>
  <si>
    <t xml:space="preserve">    Bienes de cambio:</t>
  </si>
  <si>
    <t xml:space="preserve">               Stock de materia prima</t>
  </si>
  <si>
    <t xml:space="preserve">               Stock de materiales</t>
  </si>
  <si>
    <t xml:space="preserve">               Mercadería en proceso</t>
  </si>
  <si>
    <t xml:space="preserve">               Stock de elaborados</t>
  </si>
  <si>
    <t xml:space="preserve">   Total incrementos IVA sobre inversiones</t>
  </si>
  <si>
    <t>IVA:</t>
  </si>
  <si>
    <t xml:space="preserve">    por inversión A. Fijo</t>
  </si>
  <si>
    <t>6. Incrementos Inversiones en Activo de Trabajo</t>
  </si>
  <si>
    <t xml:space="preserve">    por inversión A. T.</t>
  </si>
  <si>
    <t xml:space="preserve">   Subtotal IVA Inversión</t>
  </si>
  <si>
    <t>Inversiones Totales</t>
  </si>
  <si>
    <t>IVA plan de Explotación, Cancelación del Credito Fiscal y pago al Fisco por IVA</t>
  </si>
  <si>
    <t>TOTALES PARA LAS TRES AREAS</t>
  </si>
  <si>
    <t>Rubros que abonan IVA</t>
  </si>
  <si>
    <t>Materia Prima</t>
  </si>
  <si>
    <t>Materiales</t>
  </si>
  <si>
    <t>Energía eléctrica</t>
  </si>
  <si>
    <t>Combustibles</t>
  </si>
  <si>
    <t>Seguros</t>
  </si>
  <si>
    <t>Varios</t>
  </si>
  <si>
    <t>Menos: Puesta en marcha</t>
  </si>
  <si>
    <t xml:space="preserve">   (s/mano de obra directa)</t>
  </si>
  <si>
    <t>Merc. en proceso</t>
  </si>
  <si>
    <t>Stock elaborados</t>
  </si>
  <si>
    <t>Total Area Producción</t>
  </si>
  <si>
    <t>Total Area Administración</t>
  </si>
  <si>
    <t>Total Area Comercialización</t>
  </si>
  <si>
    <t>IVA total abonado por insumos</t>
  </si>
  <si>
    <t>IVA total cobrado por ventas</t>
  </si>
  <si>
    <t>a) IVA diferencia</t>
  </si>
  <si>
    <t>b) Crédito Fiscal Anterior</t>
  </si>
  <si>
    <t>c) Crédito Fiscal del Año</t>
  </si>
  <si>
    <t>d) Crédito Fiscal Final Año</t>
  </si>
  <si>
    <t>e) Recuepro de Credito Fiscal</t>
  </si>
  <si>
    <t xml:space="preserve">    Pago al Fisco por IVA</t>
  </si>
  <si>
    <t>Formulación del Proyecto a Nivel Económico</t>
  </si>
  <si>
    <t>Año</t>
  </si>
  <si>
    <t>Inversión en Activo Fijo</t>
  </si>
  <si>
    <t>Inversión en Activo de Trabajo</t>
  </si>
  <si>
    <t>Credito Fiscal</t>
  </si>
  <si>
    <t>Impuesto a las Ganancias</t>
  </si>
  <si>
    <t>Total Egresos</t>
  </si>
  <si>
    <t>Utilidad Economica Antes  HD e IG</t>
  </si>
  <si>
    <t>Amortizaciones</t>
  </si>
  <si>
    <t>Cobro Credito Fiscal</t>
  </si>
  <si>
    <t>Total Ingresos</t>
  </si>
  <si>
    <t>Saldo Anual</t>
  </si>
  <si>
    <t>Saldo Acumulado</t>
  </si>
  <si>
    <t>COSTO TOTAL DE PRODUCCION</t>
  </si>
  <si>
    <t>Gastos en el Area de Producción</t>
  </si>
  <si>
    <t>PRIMERA ESTRUCTURA FINANCIERA</t>
  </si>
  <si>
    <t>Total Inversión</t>
  </si>
  <si>
    <t>Materia prima</t>
  </si>
  <si>
    <t>CréditoS</t>
  </si>
  <si>
    <t>Capital Propio</t>
  </si>
  <si>
    <t>monto</t>
  </si>
  <si>
    <t>%</t>
  </si>
  <si>
    <t xml:space="preserve">Activo Fijo </t>
  </si>
  <si>
    <t xml:space="preserve">Activo de Trabajo </t>
  </si>
  <si>
    <t xml:space="preserve">IVA </t>
  </si>
  <si>
    <t>Mano de Obra Directa</t>
  </si>
  <si>
    <t>Gastos de fabricación:</t>
  </si>
  <si>
    <t>CUADRO RESUMEN DE CREDITOS</t>
  </si>
  <si>
    <t>día/mes/año</t>
  </si>
  <si>
    <t>deuda</t>
  </si>
  <si>
    <t>amortización</t>
  </si>
  <si>
    <t>interés</t>
  </si>
  <si>
    <t xml:space="preserve">deuda </t>
  </si>
  <si>
    <t>gasto</t>
  </si>
  <si>
    <t>semestral</t>
  </si>
  <si>
    <t>prom. anual</t>
  </si>
  <si>
    <t>kd</t>
  </si>
  <si>
    <t>bancario</t>
  </si>
  <si>
    <t>Personal indirecto</t>
  </si>
  <si>
    <t>gastos preoperativos:</t>
  </si>
  <si>
    <t>Tasas e impuestos</t>
  </si>
  <si>
    <t>Gastos Total de Producción</t>
  </si>
  <si>
    <t>Totales:</t>
  </si>
  <si>
    <t>Suma.</t>
  </si>
  <si>
    <t>Beneficio Neto</t>
  </si>
  <si>
    <t>% Gasto Constante</t>
  </si>
  <si>
    <t>Periodo de Recupero de la Inversión</t>
  </si>
  <si>
    <t>% Gasto Variable</t>
  </si>
  <si>
    <t>TIR</t>
  </si>
  <si>
    <t>Gastos a activar</t>
  </si>
  <si>
    <t>Mercadería en Curso y Semielaborada</t>
  </si>
  <si>
    <t>Puesta en marcha</t>
  </si>
  <si>
    <t>Mano de obra directa</t>
  </si>
  <si>
    <t xml:space="preserve">  Energía eléctrica</t>
  </si>
  <si>
    <t xml:space="preserve">  Combustibles</t>
  </si>
  <si>
    <t xml:space="preserve">  Tasas e impuestos</t>
  </si>
  <si>
    <t xml:space="preserve">  Imprevistos</t>
  </si>
  <si>
    <t>Total gastos a activar</t>
  </si>
  <si>
    <t>Costo en el Area de Producción</t>
  </si>
  <si>
    <t>Menos:</t>
  </si>
  <si>
    <t>Gasto de puesta en marcha</t>
  </si>
  <si>
    <t>Variación Mercadería en proceso</t>
  </si>
  <si>
    <t>Costo de producción anual</t>
  </si>
  <si>
    <t>Costo de prod. Unitario Promedio</t>
  </si>
  <si>
    <t>Gastos en el Area de Administración</t>
  </si>
  <si>
    <t>Personal</t>
  </si>
  <si>
    <t>Amortizaciones de A. Fijo</t>
  </si>
  <si>
    <t>Electricidad</t>
  </si>
  <si>
    <t>Combustible</t>
  </si>
  <si>
    <t>Costo total de Admistración</t>
  </si>
  <si>
    <t>Gastos en el Area de Comercialización</t>
  </si>
  <si>
    <t>Energía Eléctrica</t>
  </si>
  <si>
    <t>Costo total de Comercialización</t>
  </si>
  <si>
    <t>COSTO TOTAL Y RESULTADO A NIVEL ECONOMICO</t>
  </si>
  <si>
    <t>Venta anual, en Unidades Producto 1</t>
  </si>
  <si>
    <t>Precio de venta Producto 1</t>
  </si>
  <si>
    <t>VENTAS ANUALES</t>
  </si>
  <si>
    <t xml:space="preserve">Consumo de materia prima </t>
  </si>
  <si>
    <t>Gastos de fabricación</t>
  </si>
  <si>
    <t>Gastos de Producción</t>
  </si>
  <si>
    <t>COSTO DE PRODUCCION ANUAL</t>
  </si>
  <si>
    <t>Producción anual en Unidades</t>
  </si>
  <si>
    <t>Costo de producción unitario Promedio</t>
  </si>
  <si>
    <t>Variación de Stock de Elaborado</t>
  </si>
  <si>
    <t>COSTO DE PRODUCCION DE LO VENDIDO</t>
  </si>
  <si>
    <t>GASTO DE ADMINISTRACION</t>
  </si>
  <si>
    <t xml:space="preserve">GASTO DE COMERCIALIZACION </t>
  </si>
  <si>
    <t>COSTO ANUAL DE LO VENDIDO</t>
  </si>
  <si>
    <t>Costo total unitario promedio</t>
  </si>
  <si>
    <t>UTILIDAD ECONOMICA (a/H. D. e Impuesto)</t>
  </si>
  <si>
    <t xml:space="preserve">Impuesto a la ganancia </t>
  </si>
  <si>
    <t>UTILIDAD ECONOMICA (d/H.D. e Impuesto)</t>
  </si>
  <si>
    <t>% sobre VENTAS</t>
  </si>
  <si>
    <t>CUADRO DE RESULTADOS PROFORMA</t>
  </si>
  <si>
    <t>Ventas netas</t>
  </si>
  <si>
    <t>(-) Costo de producción de lo Vendido</t>
  </si>
  <si>
    <t>FONDOS AUTOGENERADOS</t>
  </si>
  <si>
    <t>Resultado operativo</t>
  </si>
  <si>
    <t>Utilidad Económica (d/H.D. e Impuesto)</t>
  </si>
  <si>
    <t>Gastos de Administración</t>
  </si>
  <si>
    <t>Gastos de Comercialización</t>
  </si>
  <si>
    <t>Gastos Financieros</t>
  </si>
  <si>
    <t>RESULTADO (a/Hon. e Imp.)</t>
  </si>
  <si>
    <t>Menos: Honorarios al Direct.</t>
  </si>
  <si>
    <t>Menos: Impuesto a la Ganancia</t>
  </si>
  <si>
    <t>RESULTADO (d/Hon. e Imp.)</t>
  </si>
  <si>
    <t>Amortización anual</t>
  </si>
  <si>
    <t>Total</t>
  </si>
  <si>
    <t>Costo Constante Sector de Producción</t>
  </si>
  <si>
    <t>Costo Variable Sector de Producción</t>
  </si>
  <si>
    <t>Costo Constante Sector de Administración</t>
  </si>
  <si>
    <t>Costo Variable Sector de Administración</t>
  </si>
  <si>
    <t>Costo Constante Sector de Comercialización</t>
  </si>
  <si>
    <t>Costo Variable Sector de Comercialización</t>
  </si>
  <si>
    <t>UTILIDAD MARGINAL</t>
  </si>
  <si>
    <t>PUNTO DE EQUILIBRIO</t>
  </si>
  <si>
    <t>HACER DIAGRAMA DE PUNTO DE EQUILIBRIO PARA EL AÑO 1 Y PARA EL AÑO 5</t>
  </si>
  <si>
    <t>Vtas</t>
  </si>
  <si>
    <t>SEGUNDA ESTRUCTURA FINANCIERA</t>
  </si>
  <si>
    <t>a) Inversión y calendario de activo fijo: incrementos</t>
  </si>
  <si>
    <t>Bienes de uso</t>
  </si>
  <si>
    <t>Cargos diferidos:</t>
  </si>
  <si>
    <t>Totales de activo fijo, sin IVA</t>
  </si>
  <si>
    <t xml:space="preserve">IVA   </t>
  </si>
  <si>
    <t>Totales de activo fijo, con IVA</t>
  </si>
  <si>
    <t>b) Inversión y calendario de activo de trabajo: incrementos</t>
  </si>
  <si>
    <t>Disponibilidad mínima</t>
  </si>
  <si>
    <t>Crédito por ventas (valor contable)</t>
  </si>
  <si>
    <t>Bienes de cambio (valor contable)</t>
  </si>
  <si>
    <t>Totales activo de trabajo, sin IVA</t>
  </si>
  <si>
    <t>Amortizaciones en inventarios</t>
  </si>
  <si>
    <t>Amortizaciones en crédito</t>
  </si>
  <si>
    <t>Utilidades en crédito</t>
  </si>
  <si>
    <t>Inversión activo de trabajo, s/IVA</t>
  </si>
  <si>
    <t>IVA</t>
  </si>
  <si>
    <t>Totales activo de trabajo (v. contable), c/IVA</t>
  </si>
  <si>
    <t>Inversión activo de trabajo, con IVA</t>
  </si>
  <si>
    <t>c) Inversión y calendario totales: incrementos</t>
  </si>
  <si>
    <t>Activo fijo, con IVA</t>
  </si>
  <si>
    <t>Inversión activo de trabajo, c/IVA</t>
  </si>
  <si>
    <t>Inversiones Totales, con IVA</t>
  </si>
  <si>
    <t>d) Financiación global (segunda y definitiva):</t>
  </si>
  <si>
    <t>Porcentaje</t>
  </si>
  <si>
    <t>Crédito renovable</t>
  </si>
  <si>
    <t>Crédito no renovable</t>
  </si>
  <si>
    <t>Capital propio</t>
  </si>
  <si>
    <t>PUNTO DE EQUILIBRIO ECONOMICO FINANCIERO</t>
  </si>
  <si>
    <t>Gasto Financiero</t>
  </si>
  <si>
    <t>HACER DIAGRAMA DE PUNTO DE EQUILIBRIO PARA EL AÑO 1 Y PARA EL AÑO 10</t>
  </si>
  <si>
    <t>a) IVA pagado en el Costo Total de lo Vendido:</t>
  </si>
  <si>
    <t xml:space="preserve">   Total pagado en el Area de Producción</t>
  </si>
  <si>
    <t xml:space="preserve">  Total pagado en el Area Administrativa</t>
  </si>
  <si>
    <t xml:space="preserve">  Total pagado en el Area Comercial </t>
  </si>
  <si>
    <t xml:space="preserve">  Total pagado por Financiación</t>
  </si>
  <si>
    <t xml:space="preserve">  IVA abonado en Costo Total de lo Vendido:</t>
  </si>
  <si>
    <t>b) IVA diferencia</t>
  </si>
  <si>
    <t>c) Crédito Fiscal Anterior (incrementado)</t>
  </si>
  <si>
    <t>d) Crédito Fiscal del Año (incrementado)</t>
  </si>
  <si>
    <t>e) Crédito Fiscal Final Año</t>
  </si>
  <si>
    <t>f) Recupero Credito Fiscal</t>
  </si>
  <si>
    <t>CUADRO DE FUENTES Y USOS</t>
  </si>
  <si>
    <t>FUENTES: Totales</t>
  </si>
  <si>
    <t>Saldo ejercicio anterior</t>
  </si>
  <si>
    <t>Aporte de capital propio</t>
  </si>
  <si>
    <t xml:space="preserve">Créditos renovables </t>
  </si>
  <si>
    <t xml:space="preserve">Créditos no renovables </t>
  </si>
  <si>
    <t xml:space="preserve">Ventas del ejercicio </t>
  </si>
  <si>
    <t>Recupero Crédito Fiscal</t>
  </si>
  <si>
    <t>USOS: Totales</t>
  </si>
  <si>
    <t>Activo Fijo</t>
  </si>
  <si>
    <t>Costo de lo Vendido</t>
  </si>
  <si>
    <t>Impuesto a la Ganancia</t>
  </si>
  <si>
    <t>Cancelación de deudas</t>
  </si>
  <si>
    <t xml:space="preserve">Honorarios del Directorio </t>
  </si>
  <si>
    <t>Dividendos en efectivo</t>
  </si>
  <si>
    <t xml:space="preserve">IVA inversión </t>
  </si>
  <si>
    <t>Otros egresos</t>
  </si>
  <si>
    <t>FUENTES - USOS</t>
  </si>
  <si>
    <t xml:space="preserve">Más: Amortizaciones del ejercicio </t>
  </si>
  <si>
    <t>Saldo al ejercicio siguiente (acumulado)</t>
  </si>
  <si>
    <t>Saldo Propio del Ejercicio</t>
  </si>
  <si>
    <t>BALANCES PROFORMAS</t>
  </si>
  <si>
    <t>ACTIVO CORRIENTE: Total</t>
  </si>
  <si>
    <t xml:space="preserve">Caja y Bancos: </t>
  </si>
  <si>
    <t xml:space="preserve">   - mínimo </t>
  </si>
  <si>
    <t xml:space="preserve">   - saldo acumulado de Fuentes y Usos </t>
  </si>
  <si>
    <t>Crédito por ventas</t>
  </si>
  <si>
    <t>Bienes de cambio</t>
  </si>
  <si>
    <t>Crédito Fiscal</t>
  </si>
  <si>
    <t>ACTIVO NO CORRIENTE: Total</t>
  </si>
  <si>
    <t>Cargos Diferidos:</t>
  </si>
  <si>
    <t xml:space="preserve">   - valor inicial </t>
  </si>
  <si>
    <t xml:space="preserve">     más inversiones del ejercicio </t>
  </si>
  <si>
    <t xml:space="preserve">     menos amortizaciones del ejerc.</t>
  </si>
  <si>
    <t xml:space="preserve">   - valor final del ejercicio</t>
  </si>
  <si>
    <t xml:space="preserve">     más inversiones del ejercicio</t>
  </si>
  <si>
    <t xml:space="preserve">     menos amortizaciones del ejerc</t>
  </si>
  <si>
    <t xml:space="preserve">Crédito Fiscal </t>
  </si>
  <si>
    <t>ACTIVO TOTAL:</t>
  </si>
  <si>
    <t>PASIVO CORRIENTE: Total</t>
  </si>
  <si>
    <t>Deudas comerciales</t>
  </si>
  <si>
    <t>Deudas bancarias</t>
  </si>
  <si>
    <t>PASIVO NO CORRIENTE: Total</t>
  </si>
  <si>
    <t>PASIVO TOTAL:</t>
  </si>
  <si>
    <t>PATRIMONIO NETO:</t>
  </si>
  <si>
    <t>Capital societario</t>
  </si>
  <si>
    <t>Utilidad del ejercicio</t>
  </si>
  <si>
    <t>Utilidad acumulada</t>
  </si>
  <si>
    <t>PASIVO + PATRIMONIO NETO</t>
  </si>
  <si>
    <t>Formulación del Proyecto a Nivel Financiero</t>
  </si>
  <si>
    <t>Activo de Trabajo</t>
  </si>
  <si>
    <t>Utilidad  Antes  HD e IG</t>
  </si>
  <si>
    <t>Intereses Pagados</t>
  </si>
  <si>
    <t>TIR modificada</t>
  </si>
  <si>
    <t>Formulación para el Inversor</t>
  </si>
  <si>
    <t>Aporte de Capital</t>
  </si>
  <si>
    <t>Saldo propio de Fuentes y Usos</t>
  </si>
  <si>
    <t>para el inversor</t>
  </si>
  <si>
    <t>en años para el inversor</t>
  </si>
  <si>
    <t>TOR</t>
  </si>
  <si>
    <t>Referencias</t>
  </si>
  <si>
    <t>Dimensionamiento Comercial</t>
  </si>
  <si>
    <t>Dimensionamiento Técnico</t>
  </si>
  <si>
    <t>Banco La Nacion</t>
  </si>
  <si>
    <t>60% sector productivo</t>
  </si>
  <si>
    <t>Maquinaria</t>
  </si>
  <si>
    <t>Troqueladora</t>
  </si>
  <si>
    <t>Soldadora</t>
  </si>
  <si>
    <t>Dosificadora</t>
  </si>
  <si>
    <t>https://articulo.mercadolibre.com.ar/MLA-659279882-llenadora-a-piston-_JM</t>
  </si>
  <si>
    <t>https://articulo.mercadolibre.com.ar/MLA-684299902-troqueladora-a-rodillo-_JM</t>
  </si>
  <si>
    <t>https://articulo.mercadolibre.com.ar/MLA-667869310-soldadora-por-alta-frecuencia-marca-fe-30-kw-_JM</t>
  </si>
  <si>
    <t>PC</t>
  </si>
  <si>
    <t>ESCRITORIO</t>
  </si>
  <si>
    <t>SILLA ERGONOMICA</t>
  </si>
  <si>
    <t>CESTO DE BASURA</t>
  </si>
  <si>
    <t>MESA COMEDOR</t>
  </si>
  <si>
    <t>EXTINTORES</t>
  </si>
  <si>
    <t>CAFETERAS</t>
  </si>
  <si>
    <t>MICROONDAS</t>
  </si>
  <si>
    <t>HELADERA</t>
  </si>
  <si>
    <t>ANAFES</t>
  </si>
  <si>
    <t>IMPRESORA</t>
  </si>
  <si>
    <t>FOTOCOPIADORA</t>
  </si>
  <si>
    <t>DISPENSER</t>
  </si>
  <si>
    <t>ARCHIVERO</t>
  </si>
  <si>
    <t>PROYECTOR</t>
  </si>
  <si>
    <t>PANTALLA DE PROYETOR</t>
  </si>
  <si>
    <t>ZORRA</t>
  </si>
  <si>
    <t>AUTOELEVADOR</t>
  </si>
  <si>
    <t>MESA DE TRABAJO</t>
  </si>
  <si>
    <t>SILLAS DE TRABAJO</t>
  </si>
  <si>
    <t>LUMINARIAS</t>
  </si>
  <si>
    <t>LAMPARAS</t>
  </si>
  <si>
    <t>ELEMENTOS DE LIBRERIA</t>
  </si>
  <si>
    <t>COMPRESOR</t>
  </si>
  <si>
    <t>PALLET</t>
  </si>
  <si>
    <t>BANCOS LARGOS</t>
  </si>
  <si>
    <t>ELEMENTOS DE LIMPIEZA</t>
  </si>
  <si>
    <t>ASPIRADORA</t>
  </si>
  <si>
    <t>DUCHAS</t>
  </si>
  <si>
    <t>LOCKERS</t>
  </si>
  <si>
    <t>MINJITORIOS</t>
  </si>
  <si>
    <t>INODOROS</t>
  </si>
  <si>
    <t>LAVATORIO</t>
  </si>
  <si>
    <t>BACHA</t>
  </si>
  <si>
    <t>UTENSILLOS</t>
  </si>
  <si>
    <t>SILLON 2 CUERPOS</t>
  </si>
  <si>
    <t>MESA AUXILIAR</t>
  </si>
  <si>
    <t>TELEFONO</t>
  </si>
  <si>
    <t>AIRE ACONDICIONADO</t>
  </si>
  <si>
    <t>ESTUFA</t>
  </si>
  <si>
    <t>VENTILADOR</t>
  </si>
  <si>
    <t>SERVIDOR</t>
  </si>
  <si>
    <t>PAVA ELECTRICA</t>
  </si>
  <si>
    <t>GUILLOTINA MANUAL</t>
  </si>
  <si>
    <t>TOTAL</t>
  </si>
  <si>
    <t xml:space="preserve">Muebles y utiles      </t>
  </si>
  <si>
    <t>Anual</t>
  </si>
  <si>
    <t xml:space="preserve">Energía eléctrica </t>
  </si>
  <si>
    <t>Rodado</t>
  </si>
  <si>
    <t>https://auto.mercadolibre.com.ar/MLA-675291700-nueva-camioneta-chery-tiggo-3-luxury-mt-_JM</t>
  </si>
  <si>
    <t>https://articulo.mercadolibre.com.ar/MLA-617858842-zorra-carro-carrito-carreta-conver-200kgs-industria-nacional-_JM</t>
  </si>
  <si>
    <t>Camioneta</t>
  </si>
  <si>
    <t>Zorra - Carro    X2</t>
  </si>
  <si>
    <t>Precio</t>
  </si>
  <si>
    <t>Cantidad</t>
  </si>
  <si>
    <t>https://articulo.mercadolibre.com.ar/MLA-675068913-ultrabook-mini-notebook-slim-intel-quad-core-116-hd-2gb-w10-_JM</t>
  </si>
  <si>
    <t>https://articulo.mercadolibre.com.ar/MLA-615643252-escritorio-platinum-mod-402-120-2-cajones-cerradura-_JM</t>
  </si>
  <si>
    <t>https://articulo.mercadolibre.com.ar/MLA-612528858-silla-de-pc-escritorio-ejecutivo-gerencial-sillon-oferta-_JM</t>
  </si>
  <si>
    <t>https://articulo.mercadolibre.com.ar/MLA-621404742-cesto-papelero-tacho-basura-negro-plastico-12lts-27-cm-_JM</t>
  </si>
  <si>
    <t>https://articulo.mercadolibre.com.ar/MLA-622428200-mesa-de-vidrio-rectangular-160-x-080-m-moderna-minimalista-_JM</t>
  </si>
  <si>
    <t>https://articulo.mercadolibre.com.ar/MLA-621771636-matafuegos-georgia-polvo-abc90-mayor-potencial-extintor-5-kg-_JM</t>
  </si>
  <si>
    <t>https://articulo.mercadolibre.com.ar/MLA-615230716-cafetera-atma-ca-8182e-timer-digital-18-litros-_JM</t>
  </si>
  <si>
    <t>https://articulo.mercadolibre.com.ar/MLA-635078443-microondas-atma-md928gn-28lt-_JM</t>
  </si>
  <si>
    <t>https://articulo.mercadolibre.com.ar/MLA-610825113-frigobar-mini-bar-heladera-ranser-32-lts-bajo-mesada-_JM</t>
  </si>
  <si>
    <t>https://articulo.mercadolibre.com.ar/MLA-615672793-impresora-hp-officejet-pro-8710-fx-wifi-scn-reemp-8610-8620-_JM</t>
  </si>
  <si>
    <t>https://articulo.mercadolibre.com.ar/MLA-619397639-dispenser-de-agua-frio-calor-super-economico-_JM</t>
  </si>
  <si>
    <t>https://articulo.mercadolibre.com.ar/MLA-616376048-archivero-metalico-carpetas-colgantes-4-cajones-nuevos-_JM</t>
  </si>
  <si>
    <t>https://articulo.mercadolibre.com.ar/MLA-621219171-telefono-con-parlante-e-identificador-de-llamadas-mem-6029-_JM</t>
  </si>
  <si>
    <t>https://articulo.mercadolibre.com.ar/MLA-648383407-aire-split-gree-2500-watts-frio-calor2150-f-_JM</t>
  </si>
  <si>
    <t>https://articulo.mercadolibre.com.ar/MLA-684533751-lockers-guardarropas-de-10-puertas-metalico-reforzado-_JM</t>
  </si>
  <si>
    <t>https://articulo.mercadolibre.com.ar/MLA-655105134-box-cabina-de-ducha-70x70-cuadrada-incluye-receptaculo-bano-_JM</t>
  </si>
  <si>
    <t>https://articulo.mercadolibre.com.ar/MLA-675002307-liston-tubo-led-interconectable-16w-luz-neutra-1140mm-sica-_JM</t>
  </si>
  <si>
    <t>https://articulo.mercadolibre.com.ar/MLA-638542780-lampara-velador-mesa-escritorio-flexible-metal-3-colores-_JM</t>
  </si>
  <si>
    <t>https://articulo.mercadolibre.com.ar/MLA-672641214-palet-de-madera-al-mejor-precio-tambien-cajones-y-embalajes-_JM</t>
  </si>
  <si>
    <t>https://articulo.mercadolibre.com.ar/MLA-637444170-juego-bano-2-p-loza-inodoro-cuadradomochila-apoyo-1ra-calid-_JM</t>
  </si>
  <si>
    <t>https://articulo.mercadolibre.com.ar/MLA-626993229-set-mingitorio-valvula-temporizada-deca-hydra-griferia-tecla-_JM</t>
  </si>
  <si>
    <t>https://articulo.mercadolibre.com.ar/MLA-626570937-bacha-apoyo-ovalada-deca-l68-apoyar-loza-ceramica-oval-envio-_JM</t>
  </si>
  <si>
    <t xml:space="preserve"> </t>
  </si>
  <si>
    <t>total</t>
  </si>
  <si>
    <t>Cuello y hombros</t>
  </si>
  <si>
    <t>unidades</t>
  </si>
  <si>
    <t>Manitos</t>
  </si>
  <si>
    <t>Año1</t>
  </si>
  <si>
    <t>Año2</t>
  </si>
  <si>
    <t>Año3</t>
  </si>
  <si>
    <t>Año4</t>
  </si>
  <si>
    <t>Año5</t>
  </si>
  <si>
    <t>Disco metálico</t>
  </si>
  <si>
    <t>Rollo de PVC</t>
  </si>
  <si>
    <t xml:space="preserve">Bolsa </t>
  </si>
  <si>
    <t>Costo unitario</t>
  </si>
  <si>
    <t>Referencia</t>
  </si>
  <si>
    <t>BN FyU=</t>
  </si>
  <si>
    <t>BN Form=</t>
  </si>
  <si>
    <t>BN Cres Total=</t>
  </si>
  <si>
    <t>VAN</t>
  </si>
  <si>
    <t xml:space="preserve">4 ANOS Y </t>
  </si>
  <si>
    <t>Kd</t>
  </si>
  <si>
    <t>Kc</t>
  </si>
  <si>
    <t>EFECTO PALANCA</t>
  </si>
  <si>
    <t>Ko</t>
  </si>
  <si>
    <t>$/u</t>
  </si>
  <si>
    <t>$/m2</t>
  </si>
  <si>
    <t>Cuello y Hombros</t>
  </si>
  <si>
    <t>u</t>
  </si>
  <si>
    <t>lt</t>
  </si>
  <si>
    <t>$/lt</t>
  </si>
  <si>
    <t>MP unitario</t>
  </si>
  <si>
    <t>TOTAL (1unidad)</t>
  </si>
  <si>
    <t>TOTAL (PAR)</t>
  </si>
  <si>
    <t>Cuadro evolucion de Ventas</t>
  </si>
  <si>
    <t>CYH</t>
  </si>
  <si>
    <t>Capacidad maxima</t>
  </si>
  <si>
    <t>Acetetato de sodio</t>
  </si>
  <si>
    <t>Venta anual, en Unidades Producto 2</t>
  </si>
  <si>
    <t>Precio de venta Producto 2</t>
  </si>
  <si>
    <t>Total Ventas Anuales</t>
  </si>
  <si>
    <t>Crédito No Renovable para financiación de Activo Fijo</t>
  </si>
  <si>
    <t>Institucuión otorgante:</t>
  </si>
  <si>
    <t>Banco Nación</t>
  </si>
  <si>
    <t>Destino:</t>
  </si>
  <si>
    <t xml:space="preserve">Financiar el </t>
  </si>
  <si>
    <t>del activo fijo</t>
  </si>
  <si>
    <t>Importe de la inversión:</t>
  </si>
  <si>
    <t>Monto del Crédito:</t>
  </si>
  <si>
    <t>Amortización:</t>
  </si>
  <si>
    <t>6 cuotas semestrales, iguales y consecutivas; primer pago a los 24 meses de iniciadas las actividades industriales</t>
  </si>
  <si>
    <t>Intereses:</t>
  </si>
  <si>
    <t xml:space="preserve">sobre los saldos deudores se aplicara una tasa del </t>
  </si>
  <si>
    <t>semestral y se pagarán los intereses por semestre vencido (sistema alemán)</t>
  </si>
  <si>
    <t>Garantía:</t>
  </si>
  <si>
    <t xml:space="preserve">se constituirá hipoteca en primer grado a favor del Banco sobre el inmueble </t>
  </si>
  <si>
    <t>Comisiones y gastos bancarios:</t>
  </si>
  <si>
    <t>seran el</t>
  </si>
  <si>
    <t>del crédito para este destino</t>
  </si>
  <si>
    <t>Fecha</t>
  </si>
  <si>
    <t>amortización semestral</t>
  </si>
  <si>
    <t>interés semestral</t>
  </si>
  <si>
    <t>amortización anual</t>
  </si>
  <si>
    <t>interés anual</t>
  </si>
  <si>
    <t>gasto bancario</t>
  </si>
  <si>
    <t>CUOTA</t>
  </si>
  <si>
    <t>1/5/-1</t>
  </si>
  <si>
    <t>1/8/-1</t>
  </si>
  <si>
    <t>1/11/-1</t>
  </si>
  <si>
    <t>31/12/-1</t>
  </si>
  <si>
    <t>Los intereses durante el período de instalación se calculan en períodos no semestrales</t>
  </si>
  <si>
    <t>Los intereses durante el período de instalacióny los gastos bancarios serán activados como CARGOS DIFERIDOS amortizándolos en 3 años</t>
  </si>
  <si>
    <t>Este nuevo "cargo diferido" como el resto de los cargos diferidos será financiado con capital propio</t>
  </si>
  <si>
    <t>Los "intereses anuales" son los devengados en ambos semestres. Estos intereses son un nuevo gasto que modificará, junto a las amortizaciones de los intereses preoperativos, el reesultado económico</t>
  </si>
  <si>
    <t>Se preven 3 liquidaciones del crédito</t>
  </si>
  <si>
    <t>Gasto Total</t>
  </si>
  <si>
    <t>Años</t>
  </si>
  <si>
    <t>amortización y gastos pre operativos</t>
  </si>
  <si>
    <t>Intereses créditos renovables y no renovables</t>
  </si>
  <si>
    <t>Gasto total financiero</t>
  </si>
  <si>
    <t>IVA s/ Int. créditos rev. y no renov.</t>
  </si>
  <si>
    <t>IVA s/ amortización y gastos pre operativos</t>
  </si>
  <si>
    <t>porcentaje del plan de ventas</t>
  </si>
  <si>
    <t>gasto constante</t>
  </si>
  <si>
    <t>gasto variable</t>
  </si>
  <si>
    <t>costo total</t>
  </si>
  <si>
    <t>venta anual</t>
  </si>
  <si>
    <t>CONTROLES</t>
  </si>
  <si>
    <t>Ac ult año CR proforma</t>
  </si>
  <si>
    <t>Saldo anual f - int pagados (form financiero)</t>
  </si>
  <si>
    <t>Util ej + acum balance ult año</t>
  </si>
  <si>
    <t>Ut. - HD - IIGG (form financiero)</t>
  </si>
  <si>
    <t>BN = Saldo Acumulado (CFyU) + Vr AF + AT - Creditos renovables - Aporte de Capital.</t>
  </si>
  <si>
    <t>dif</t>
  </si>
  <si>
    <t>El periodo de preinversión demandó 8 meses, e importó una inversión de</t>
  </si>
  <si>
    <t>sin iva</t>
  </si>
  <si>
    <t>Periodo de instalación:</t>
  </si>
  <si>
    <t>meses y un importe de</t>
  </si>
  <si>
    <t>Gastos de puesta en marcha:</t>
  </si>
  <si>
    <t>Imprevistos año 1:</t>
  </si>
  <si>
    <t xml:space="preserve">Terreno </t>
  </si>
  <si>
    <t xml:space="preserve"> Máquinas importadas</t>
  </si>
  <si>
    <t>Máquinas nacionales</t>
  </si>
  <si>
    <t>Gastos conexos a la imp.</t>
  </si>
  <si>
    <t xml:space="preserve">Transporte y montaje </t>
  </si>
  <si>
    <t xml:space="preserve">Imprevistos </t>
  </si>
  <si>
    <t>SUbTotal Bienes de uso</t>
  </si>
  <si>
    <t xml:space="preserve">Constitución y organización </t>
  </si>
  <si>
    <t xml:space="preserve">Gastos de Admin. e Ing. </t>
  </si>
  <si>
    <t>Patentes y licencias</t>
  </si>
  <si>
    <t xml:space="preserve">Imprevistos  </t>
  </si>
  <si>
    <t>Subtotal asimilibales</t>
  </si>
  <si>
    <t>TOTAL ACTIVO FIJO</t>
  </si>
  <si>
    <t>IVA sobre inversión</t>
  </si>
  <si>
    <t>Inversión total, con IVA: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</si>
  <si>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</si>
  <si>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</si>
  <si>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</si>
  <si>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</si>
  <si>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</si>
  <si>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</si>
  <si>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</si>
  <si>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</si>
  <si>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</si>
  <si>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Rubros/Meses</t>
  </si>
  <si>
    <t>Evolucion de Stock de MP</t>
  </si>
  <si>
    <t>Eleborados</t>
  </si>
  <si>
    <t>Stock de materia prima</t>
  </si>
  <si>
    <t>Stock de materiales</t>
  </si>
  <si>
    <t>REVISAR</t>
  </si>
  <si>
    <t>Monto</t>
  </si>
  <si>
    <t>credito no renovable</t>
  </si>
  <si>
    <t>credito renovable</t>
  </si>
  <si>
    <t>capital propio</t>
  </si>
  <si>
    <t>Características del Credito:</t>
  </si>
  <si>
    <t>El préstamo se pide a los 4 meses de comenzada la producción</t>
  </si>
  <si>
    <t>Tasa anual de pago semestral vencido:</t>
  </si>
  <si>
    <t>Monto del crédito</t>
  </si>
  <si>
    <t>Intereses anuales:</t>
  </si>
  <si>
    <t>Primer semestre:</t>
  </si>
  <si>
    <t>Segundo semestre</t>
  </si>
  <si>
    <t>Día</t>
  </si>
  <si>
    <t>Mes</t>
  </si>
  <si>
    <t>Deuda</t>
  </si>
  <si>
    <t>Interés Semestral</t>
  </si>
  <si>
    <t>Interés Anual</t>
  </si>
  <si>
    <t>Stock de elaborados</t>
  </si>
  <si>
    <t>Tomamos credito a 30 dias</t>
  </si>
  <si>
    <t>Mano de Obra</t>
  </si>
  <si>
    <t>Director general</t>
  </si>
  <si>
    <t>Responsable administrativo contable</t>
  </si>
  <si>
    <t>Jefe de planta</t>
  </si>
  <si>
    <t>Operario1</t>
  </si>
  <si>
    <t>Operario2</t>
  </si>
  <si>
    <t>Operario3</t>
  </si>
  <si>
    <t>Operario4</t>
  </si>
  <si>
    <t>Operario5</t>
  </si>
  <si>
    <t>Operario6</t>
  </si>
  <si>
    <t>Responsable de compras y ventas</t>
  </si>
  <si>
    <t>Promotor</t>
  </si>
  <si>
    <t>Area de Administracion</t>
  </si>
  <si>
    <t>Area de Comercializacion</t>
  </si>
  <si>
    <t>Area de Produccion</t>
  </si>
  <si>
    <t>Responsable de logistica</t>
  </si>
  <si>
    <t>Salario anual</t>
  </si>
  <si>
    <t>Costo de MP</t>
  </si>
  <si>
    <t>Total Amortizaciones</t>
  </si>
  <si>
    <t>Sector Produccion</t>
  </si>
  <si>
    <t>Sector Administracion</t>
  </si>
  <si>
    <t>Sector Comercializacion</t>
  </si>
  <si>
    <t>Años 1 a 3</t>
  </si>
  <si>
    <t>Años 4 a 5</t>
  </si>
  <si>
    <t>Suma</t>
  </si>
  <si>
    <t>Total MOD</t>
  </si>
  <si>
    <t>Total Personal</t>
  </si>
  <si>
    <t>COMPLETAR</t>
  </si>
  <si>
    <t>respetar cantidades del plan de ventas</t>
  </si>
  <si>
    <t>20% sector administrativo</t>
  </si>
  <si>
    <t>20% sector comercial</t>
  </si>
  <si>
    <t>Total sin IVA</t>
  </si>
  <si>
    <t>Total con IVA</t>
  </si>
  <si>
    <t>Aca tienen stock un año de MP o Materiales, en el cuadro de evaluacion de mercaderias el stock promedio es un 6% de la compra anual en regimen. Elaborados lo mismo, tienen un stock promedio de 1% de las ventas anuales según el dimensionamiento tecnico</t>
  </si>
  <si>
    <t>Les hice algunos comentarios en clase sobre esto</t>
  </si>
  <si>
    <t>Sueldo Bruto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</si>
</sst>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 &quot;$&quot;\ * #,##0.00_ ;_ &quot;$&quot;\ * \-#,##0.00_ ;_ &quot;$&quot;\ * &quot;-&quot;??_ ;_ @_ "/>
    <numFmt numFmtId="165" formatCode="_-&quot;$&quot;* #,##0.00_-;\-&quot;$&quot;* #,##0.00_-;_-&quot;$&quot;* &quot;-&quot;??_-;_-@_-"/>
    <numFmt numFmtId="166" formatCode="_-* #,##0.00_-;\-* #,##0.00_-;_-* &quot;-&quot;??_-;_-@_-"/>
    <numFmt numFmtId="167" formatCode="0.00\ %"/>
    <numFmt numFmtId="168" formatCode="_(\$* #,##0.00_);_(\$* \(#,##0.00\);_(\$* \-??_);_(@_)"/>
    <numFmt numFmtId="169" formatCode="0.0"/>
    <numFmt numFmtId="170" formatCode="_(* #,##0.00_);_(* \(#,##0.00\);_(* &quot;-&quot;??_);_(@_)"/>
    <numFmt numFmtId="171" formatCode="d&quot; de &quot;mmm&quot; de &quot;yy"/>
    <numFmt numFmtId="172" formatCode="0.0000"/>
    <numFmt numFmtId="173" formatCode="_(&quot;$&quot;* #,##0.00_);_(&quot;$&quot;* \(#,##0.00\);_(&quot;$&quot;* &quot;-&quot;??_);_(@_)"/>
    <numFmt numFmtId="174" formatCode="0.000"/>
    <numFmt numFmtId="175" formatCode="_(* #,##0.00_);_(* \(#,##0.00\);_(* \-??_);_(@_)"/>
    <numFmt numFmtId="176" formatCode="&quot;$&quot;#,##0.00"/>
    <numFmt numFmtId="177" formatCode="&quot;$&quot;#,##0"/>
    <numFmt numFmtId="178" formatCode="[$$-2C0A]\ #,##0.000"/>
    <numFmt numFmtId="179" formatCode="_ &quot;$&quot;\ * #,##0_ ;_ &quot;$&quot;\ * \-#,##0_ ;_ &quot;$&quot;\ * &quot;-&quot;??_ ;_ @_ "/>
    <numFmt numFmtId="180" formatCode="0.0%"/>
    <numFmt numFmtId="181" formatCode="_ &quot;$&quot;\ * #,##0.0_ ;_ &quot;$&quot;\ * \-#,##0.0_ ;_ &quot;$&quot;\ * &quot;-&quot;??.0_ ;_ @_ "/>
    <numFmt numFmtId="182" formatCode="_(&quot;$&quot;* #,##0_);_(&quot;$&quot;* \(#,##0\);_(&quot;$&quot;* &quot;-&quot;??_);_(@_)"/>
    <numFmt numFmtId="183" formatCode="_-[$$-2C0A]* #,##0.00_-;\-[$$-2C0A]* #,##0.00_-;_-[$$-2C0A]* &quot;-&quot;??_-;_-@_-"/>
    <numFmt numFmtId="184" formatCode="[$$]#,##0"/>
    <numFmt numFmtId="185" formatCode="[$$-2C0A]\ #,##0.00"/>
    <numFmt numFmtId="186" formatCode="&quot;$&quot;#,##0.00;[Red]&quot;$&quot;#,##0.00"/>
  </numFmts>
  <fonts count="36">
    <font>
      <sz val="10"/>
      <color rgb="FF000000"/>
      <name val="Arial"/>
    </font>
    <font>
      <sz val="11"/>
      <color theme="1"/>
      <name val="Calibri"/>
      <family val="2"/>
      <scheme val="minor"/>
    </font>
    <font>
      <b/>
      <i/>
      <sz val="10"/>
      <name val="Arial"/>
    </font>
    <font>
      <sz val="10"/>
      <name val="Arial"/>
    </font>
    <font>
      <b/>
      <sz val="10"/>
      <name val="Arial"/>
    </font>
    <font>
      <sz val="11"/>
      <color rgb="FF000000"/>
      <name val="Calibri"/>
    </font>
    <font>
      <sz val="10"/>
      <color rgb="FFFFFFFF"/>
      <name val="Arial"/>
    </font>
    <font>
      <sz val="10"/>
      <name val="Arial"/>
    </font>
    <font>
      <sz val="10"/>
      <name val="Arial"/>
    </font>
    <font>
      <b/>
      <sz val="12"/>
      <name val="Arial"/>
    </font>
    <font>
      <sz val="10"/>
      <color rgb="FFFF0000"/>
      <name val="Arial"/>
    </font>
    <font>
      <b/>
      <sz val="10"/>
      <color rgb="FFFF0000"/>
      <name val="Arial"/>
    </font>
    <font>
      <sz val="12"/>
      <name val="Noto Sans Symbols"/>
    </font>
    <font>
      <sz val="10"/>
      <color rgb="FF000000"/>
      <name val="Arial"/>
    </font>
    <font>
      <sz val="9"/>
      <color indexed="81"/>
      <name val="Arial"/>
    </font>
    <font>
      <u/>
      <sz val="10"/>
      <color theme="10"/>
      <name val="Arial"/>
    </font>
    <font>
      <u/>
      <sz val="10"/>
      <color theme="11"/>
      <name val="Arial"/>
    </font>
    <font>
      <b/>
      <sz val="10"/>
      <color rgb="FF000000"/>
      <name val="Arial"/>
    </font>
    <font>
      <sz val="10"/>
      <color theme="0"/>
      <name val="Arial"/>
      <family val="2"/>
    </font>
    <font>
      <sz val="11"/>
      <color rgb="FF3F3F76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sz val="11"/>
      <name val="Calibri"/>
      <family val="2"/>
    </font>
    <font>
      <b/>
      <sz val="10"/>
      <name val="Arial"/>
      <family val="2"/>
    </font>
    <font>
      <b/>
      <sz val="11"/>
      <color rgb="FF000000"/>
      <name val="Arial"/>
      <family val="2"/>
    </font>
    <font>
      <sz val="10"/>
      <name val="Arial"/>
      <family val="2"/>
    </font>
    <font>
      <b/>
      <sz val="11"/>
      <color rgb="FF3F3F76"/>
      <name val="Calibri"/>
      <family val="2"/>
      <scheme val="minor"/>
    </font>
    <font>
      <sz val="10"/>
      <color rgb="FF000000"/>
      <name val="Arial"/>
      <family val="2"/>
    </font>
    <font>
      <b/>
      <sz val="10"/>
      <color theme="0"/>
      <name val="Arial"/>
      <family val="2"/>
    </font>
    <font>
      <b/>
      <sz val="10"/>
      <color rgb="FF000000"/>
      <name val="Arial"/>
      <family val="2"/>
    </font>
    <font>
      <b/>
      <sz val="11"/>
      <color theme="0"/>
      <name val="Calibri"/>
      <family val="2"/>
    </font>
    <font>
      <b/>
      <u/>
      <sz val="11"/>
      <color rgb="FF000000"/>
      <name val="Calibri"/>
      <family val="2"/>
    </font>
    <font>
      <sz val="10"/>
      <color theme="1"/>
      <name val="Arial"/>
      <family val="2"/>
    </font>
    <font>
      <i/>
      <sz val="10"/>
      <color rgb="FF000000"/>
      <name val="Arial"/>
    </font>
    <font>
      <b/>
      <i/>
      <sz val="10"/>
      <color rgb="FF00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rgb="FFCCFFCC"/>
        <bgColor rgb="FFCCFFCC"/>
      </patternFill>
    </fill>
    <fill>
      <patternFill patternType="solid">
        <fgColor rgb="FF93CDDD"/>
        <bgColor rgb="FF93CDDD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99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00FFFF"/>
      </patternFill>
    </fill>
    <fill>
      <patternFill patternType="solid">
        <fgColor theme="0" tint="-0.14999847407452621"/>
        <bgColor rgb="FFF6B26B"/>
      </patternFill>
    </fill>
  </fills>
  <borders count="121">
    <border>
      <left/>
      <right/>
      <top/>
      <bottom/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3C3C3C"/>
      </left>
      <right/>
      <top style="thin">
        <color rgb="FF3C3C3C"/>
      </top>
      <bottom style="thin">
        <color rgb="FF3C3C3C"/>
      </bottom>
      <diagonal/>
    </border>
    <border>
      <left/>
      <right/>
      <top style="thin">
        <color rgb="FF3C3C3C"/>
      </top>
      <bottom style="thin">
        <color rgb="FF3C3C3C"/>
      </bottom>
      <diagonal/>
    </border>
    <border>
      <left/>
      <right style="thin">
        <color rgb="FF3C3C3C"/>
      </right>
      <top style="thin">
        <color rgb="FF3C3C3C"/>
      </top>
      <bottom style="thin">
        <color rgb="FF3C3C3C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3C3C3C"/>
      </left>
      <right style="thin">
        <color rgb="FF3C3C3C"/>
      </right>
      <top style="thin">
        <color rgb="FF3C3C3C"/>
      </top>
      <bottom/>
      <diagonal/>
    </border>
    <border>
      <left style="thin">
        <color rgb="FF3C3C3C"/>
      </left>
      <right style="thin">
        <color rgb="FF3C3C3C"/>
      </right>
      <top/>
      <bottom style="thin">
        <color rgb="FF3C3C3C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double">
        <color rgb="FF3C3C3C"/>
      </left>
      <right style="thin">
        <color rgb="FF3C3C3C"/>
      </right>
      <top style="double">
        <color rgb="FF3C3C3C"/>
      </top>
      <bottom style="hair">
        <color rgb="FF3C3C3C"/>
      </bottom>
      <diagonal/>
    </border>
    <border>
      <left style="thin">
        <color rgb="FF3C3C3C"/>
      </left>
      <right/>
      <top style="double">
        <color rgb="FF3C3C3C"/>
      </top>
      <bottom style="hair">
        <color rgb="FF3C3C3C"/>
      </bottom>
      <diagonal/>
    </border>
    <border>
      <left/>
      <right style="thin">
        <color rgb="FF3C3C3C"/>
      </right>
      <top style="double">
        <color rgb="FF3C3C3C"/>
      </top>
      <bottom style="hair">
        <color rgb="FF3C3C3C"/>
      </bottom>
      <diagonal/>
    </border>
    <border>
      <left/>
      <right style="double">
        <color rgb="FF3C3C3C"/>
      </right>
      <top style="double">
        <color rgb="FF3C3C3C"/>
      </top>
      <bottom style="hair">
        <color rgb="FF3C3C3C"/>
      </bottom>
      <diagonal/>
    </border>
    <border>
      <left style="double">
        <color rgb="FF3C3C3C"/>
      </left>
      <right style="thin">
        <color rgb="FF3C3C3C"/>
      </right>
      <top style="hair">
        <color rgb="FF3C3C3C"/>
      </top>
      <bottom style="double">
        <color rgb="FF3C3C3C"/>
      </bottom>
      <diagonal/>
    </border>
    <border>
      <left style="thin">
        <color rgb="FF3C3C3C"/>
      </left>
      <right style="thin">
        <color rgb="FF3C3C3C"/>
      </right>
      <top style="hair">
        <color rgb="FF3C3C3C"/>
      </top>
      <bottom style="double">
        <color rgb="FF3C3C3C"/>
      </bottom>
      <diagonal/>
    </border>
    <border>
      <left style="thin">
        <color rgb="FF3C3C3C"/>
      </left>
      <right style="double">
        <color rgb="FF3C3C3C"/>
      </right>
      <top style="hair">
        <color rgb="FF3C3C3C"/>
      </top>
      <bottom style="double">
        <color rgb="FF3C3C3C"/>
      </bottom>
      <diagonal/>
    </border>
    <border>
      <left style="double">
        <color rgb="FF3C3C3C"/>
      </left>
      <right style="thin">
        <color rgb="FF3C3C3C"/>
      </right>
      <top/>
      <bottom style="hair">
        <color rgb="FF3C3C3C"/>
      </bottom>
      <diagonal/>
    </border>
    <border>
      <left style="thin">
        <color rgb="FF3C3C3C"/>
      </left>
      <right style="thin">
        <color rgb="FF3C3C3C"/>
      </right>
      <top/>
      <bottom style="hair">
        <color rgb="FF3C3C3C"/>
      </bottom>
      <diagonal/>
    </border>
    <border>
      <left style="double">
        <color rgb="FF3C3C3C"/>
      </left>
      <right style="thin">
        <color rgb="FF3C3C3C"/>
      </right>
      <top style="hair">
        <color rgb="FF3C3C3C"/>
      </top>
      <bottom style="hair">
        <color rgb="FF3C3C3C"/>
      </bottom>
      <diagonal/>
    </border>
    <border>
      <left style="thin">
        <color rgb="FF3C3C3C"/>
      </left>
      <right style="thin">
        <color rgb="FF3C3C3C"/>
      </right>
      <top style="hair">
        <color rgb="FF3C3C3C"/>
      </top>
      <bottom style="hair">
        <color rgb="FF3C3C3C"/>
      </bottom>
      <diagonal/>
    </border>
    <border>
      <left style="thin">
        <color rgb="FF3C3C3C"/>
      </left>
      <right style="thin">
        <color rgb="FF3C3C3C"/>
      </right>
      <top style="double">
        <color rgb="FF3C3C3C"/>
      </top>
      <bottom style="hair">
        <color rgb="FF3C3C3C"/>
      </bottom>
      <diagonal/>
    </border>
    <border>
      <left/>
      <right/>
      <top style="double">
        <color rgb="FF3C3C3C"/>
      </top>
      <bottom style="hair">
        <color rgb="FF3C3C3C"/>
      </bottom>
      <diagonal/>
    </border>
    <border>
      <left style="double">
        <color rgb="FF3C3C3C"/>
      </left>
      <right/>
      <top style="double">
        <color rgb="FF3C3C3C"/>
      </top>
      <bottom style="hair">
        <color rgb="FF3C3C3C"/>
      </bottom>
      <diagonal/>
    </border>
    <border>
      <left/>
      <right/>
      <top style="hair">
        <color rgb="FF3C3C3C"/>
      </top>
      <bottom style="hair">
        <color rgb="FF3C3C3C"/>
      </bottom>
      <diagonal/>
    </border>
    <border>
      <left style="thin">
        <color rgb="FF3C3C3C"/>
      </left>
      <right style="double">
        <color rgb="FF3C3C3C"/>
      </right>
      <top/>
      <bottom style="hair">
        <color rgb="FF3C3C3C"/>
      </bottom>
      <diagonal/>
    </border>
    <border>
      <left style="thin">
        <color rgb="FF3C3C3C"/>
      </left>
      <right/>
      <top style="hair">
        <color rgb="FF3C3C3C"/>
      </top>
      <bottom style="double">
        <color rgb="FF3C3C3C"/>
      </bottom>
      <diagonal/>
    </border>
    <border>
      <left style="thin">
        <color rgb="FF3C3C3C"/>
      </left>
      <right/>
      <top/>
      <bottom style="hair">
        <color rgb="FF3C3C3C"/>
      </bottom>
      <diagonal/>
    </border>
    <border>
      <left style="thin">
        <color rgb="FF3C3C3C"/>
      </left>
      <right/>
      <top style="hair">
        <color rgb="FF3C3C3C"/>
      </top>
      <bottom style="hair">
        <color rgb="FF3C3C3C"/>
      </bottom>
      <diagonal/>
    </border>
    <border>
      <left style="thin">
        <color rgb="FF3C3C3C"/>
      </left>
      <right style="double">
        <color rgb="FF3C3C3C"/>
      </right>
      <top style="hair">
        <color rgb="FF3C3C3C"/>
      </top>
      <bottom style="hair">
        <color rgb="FF3C3C3C"/>
      </bottom>
      <diagonal/>
    </border>
    <border>
      <left style="thin">
        <color rgb="FF3C3C3C"/>
      </left>
      <right style="thin">
        <color rgb="FF3C3C3C"/>
      </right>
      <top style="hair">
        <color rgb="FF3C3C3C"/>
      </top>
      <bottom/>
      <diagonal/>
    </border>
    <border>
      <left style="thin">
        <color rgb="FF3C3C3C"/>
      </left>
      <right style="double">
        <color rgb="FF3C3C3C"/>
      </right>
      <top style="hair">
        <color rgb="FF3C3C3C"/>
      </top>
      <bottom/>
      <diagonal/>
    </border>
    <border>
      <left/>
      <right/>
      <top style="hair">
        <color rgb="FF3C3C3C"/>
      </top>
      <bottom style="double">
        <color rgb="FF3C3C3C"/>
      </bottom>
      <diagonal/>
    </border>
    <border>
      <left style="double">
        <color rgb="FF3C3C3C"/>
      </left>
      <right/>
      <top/>
      <bottom style="hair">
        <color rgb="FF3C3C3C"/>
      </bottom>
      <diagonal/>
    </border>
    <border>
      <left/>
      <right style="double">
        <color rgb="FF3C3C3C"/>
      </right>
      <top style="hair">
        <color rgb="FF3C3C3C"/>
      </top>
      <bottom style="hair">
        <color rgb="FF3C3C3C"/>
      </bottom>
      <diagonal/>
    </border>
    <border>
      <left style="double">
        <color rgb="FF3C3C3C"/>
      </left>
      <right style="thin">
        <color rgb="FF3C3C3C"/>
      </right>
      <top style="hair">
        <color rgb="FF3C3C3C"/>
      </top>
      <bottom/>
      <diagonal/>
    </border>
    <border>
      <left style="double">
        <color rgb="FF3C3C3C"/>
      </left>
      <right style="double">
        <color rgb="FF3C3C3C"/>
      </right>
      <top style="double">
        <color rgb="FF3C3C3C"/>
      </top>
      <bottom style="hair">
        <color rgb="FF3C3C3C"/>
      </bottom>
      <diagonal/>
    </border>
    <border>
      <left/>
      <right style="thin">
        <color rgb="FF3C3C3C"/>
      </right>
      <top/>
      <bottom style="hair">
        <color rgb="FF3C3C3C"/>
      </bottom>
      <diagonal/>
    </border>
    <border>
      <left style="double">
        <color rgb="FF3C3C3C"/>
      </left>
      <right style="double">
        <color rgb="FF3C3C3C"/>
      </right>
      <top style="hair">
        <color rgb="FF3C3C3C"/>
      </top>
      <bottom style="hair">
        <color rgb="FF3C3C3C"/>
      </bottom>
      <diagonal/>
    </border>
    <border>
      <left/>
      <right style="thin">
        <color rgb="FF3C3C3C"/>
      </right>
      <top style="hair">
        <color rgb="FF3C3C3C"/>
      </top>
      <bottom style="hair">
        <color rgb="FF3C3C3C"/>
      </bottom>
      <diagonal/>
    </border>
    <border>
      <left style="thin">
        <color rgb="FF000000"/>
      </left>
      <right style="thin">
        <color rgb="FF3C3C3C"/>
      </right>
      <top style="hair">
        <color rgb="FF3C3C3C"/>
      </top>
      <bottom style="hair">
        <color rgb="FF3C3C3C"/>
      </bottom>
      <diagonal/>
    </border>
    <border>
      <left style="double">
        <color rgb="FF3C3C3C"/>
      </left>
      <right style="double">
        <color rgb="FF3C3C3C"/>
      </right>
      <top style="hair">
        <color rgb="FF3C3C3C"/>
      </top>
      <bottom style="double">
        <color rgb="FF3C3C3C"/>
      </bottom>
      <diagonal/>
    </border>
    <border>
      <left/>
      <right style="thin">
        <color rgb="FF3C3C3C"/>
      </right>
      <top style="hair">
        <color rgb="FF3C3C3C"/>
      </top>
      <bottom style="double">
        <color rgb="FF3C3C3C"/>
      </bottom>
      <diagonal/>
    </border>
    <border>
      <left style="thin">
        <color rgb="FF3C3C3C"/>
      </left>
      <right style="double">
        <color rgb="FF3C3C3C"/>
      </right>
      <top style="double">
        <color rgb="FF3C3C3C"/>
      </top>
      <bottom style="hair">
        <color rgb="FF3C3C3C"/>
      </bottom>
      <diagonal/>
    </border>
    <border>
      <left style="double">
        <color rgb="FF3C3C3C"/>
      </left>
      <right style="thin">
        <color rgb="FF3C3C3C"/>
      </right>
      <top style="double">
        <color rgb="FF3C3C3C"/>
      </top>
      <bottom style="thin">
        <color rgb="FF3C3C3C"/>
      </bottom>
      <diagonal/>
    </border>
    <border>
      <left style="thin">
        <color rgb="FF3C3C3C"/>
      </left>
      <right style="thin">
        <color rgb="FF3C3C3C"/>
      </right>
      <top style="double">
        <color rgb="FF3C3C3C"/>
      </top>
      <bottom style="thin">
        <color rgb="FF3C3C3C"/>
      </bottom>
      <diagonal/>
    </border>
    <border>
      <left style="thin">
        <color rgb="FF3C3C3C"/>
      </left>
      <right style="double">
        <color rgb="FF3C3C3C"/>
      </right>
      <top style="double">
        <color rgb="FF3C3C3C"/>
      </top>
      <bottom style="thin">
        <color rgb="FF3C3C3C"/>
      </bottom>
      <diagonal/>
    </border>
    <border>
      <left style="double">
        <color rgb="FF3C3C3C"/>
      </left>
      <right style="thin">
        <color rgb="FF3C3C3C"/>
      </right>
      <top/>
      <bottom/>
      <diagonal/>
    </border>
    <border>
      <left style="thin">
        <color rgb="FF3C3C3C"/>
      </left>
      <right style="thin">
        <color rgb="FF3C3C3C"/>
      </right>
      <top/>
      <bottom/>
      <diagonal/>
    </border>
    <border>
      <left style="thin">
        <color rgb="FF3C3C3C"/>
      </left>
      <right style="double">
        <color rgb="FF3C3C3C"/>
      </right>
      <top/>
      <bottom/>
      <diagonal/>
    </border>
    <border>
      <left style="double">
        <color rgb="FF3C3C3C"/>
      </left>
      <right style="thin">
        <color rgb="FF3C3C3C"/>
      </right>
      <top/>
      <bottom style="double">
        <color rgb="FF3C3C3C"/>
      </bottom>
      <diagonal/>
    </border>
    <border>
      <left style="thin">
        <color rgb="FF3C3C3C"/>
      </left>
      <right style="thin">
        <color rgb="FF3C3C3C"/>
      </right>
      <top/>
      <bottom style="double">
        <color rgb="FF3C3C3C"/>
      </bottom>
      <diagonal/>
    </border>
    <border>
      <left style="thin">
        <color rgb="FF3C3C3C"/>
      </left>
      <right style="double">
        <color rgb="FF3C3C3C"/>
      </right>
      <top/>
      <bottom style="double">
        <color rgb="FF3C3C3C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double">
        <color rgb="FF3C3C3C"/>
      </left>
      <right/>
      <top/>
      <bottom style="double">
        <color rgb="FF3C3C3C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double">
        <color rgb="FF3C3C3C"/>
      </left>
      <right style="thin">
        <color rgb="FF3C3C3C"/>
      </right>
      <top style="double">
        <color rgb="FF3C3C3C"/>
      </top>
      <bottom/>
      <diagonal/>
    </border>
    <border>
      <left style="double">
        <color rgb="FF000000"/>
      </left>
      <right style="thin">
        <color rgb="FF000000"/>
      </right>
      <top/>
      <bottom style="dotted">
        <color rgb="FF000000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auto="1"/>
      </left>
      <right style="double">
        <color auto="1"/>
      </right>
      <top style="hair">
        <color auto="1"/>
      </top>
      <bottom style="hair">
        <color auto="1"/>
      </bottom>
      <diagonal/>
    </border>
    <border>
      <left/>
      <right style="double">
        <color rgb="FF3C3C3C"/>
      </right>
      <top style="hair">
        <color rgb="FF3C3C3C"/>
      </top>
      <bottom style="double">
        <color rgb="FF3C3C3C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C3C3C"/>
      </left>
      <right style="thin">
        <color rgb="FF3C3C3C"/>
      </right>
      <top style="thin">
        <color auto="1"/>
      </top>
      <bottom style="thin">
        <color auto="1"/>
      </bottom>
      <diagonal/>
    </border>
    <border>
      <left style="thin">
        <color rgb="FF3C3C3C"/>
      </left>
      <right style="double">
        <color rgb="FF3C3C3C"/>
      </right>
      <top style="thin">
        <color auto="1"/>
      </top>
      <bottom style="thin">
        <color auto="1"/>
      </bottom>
      <diagonal/>
    </border>
    <border>
      <left style="thin">
        <color rgb="FF3C3C3C"/>
      </left>
      <right style="thin">
        <color auto="1"/>
      </right>
      <top style="hair">
        <color rgb="FF3C3C3C"/>
      </top>
      <bottom style="hair">
        <color rgb="FF3C3C3C"/>
      </bottom>
      <diagonal/>
    </border>
    <border>
      <left style="double">
        <color rgb="FF3C3C3C"/>
      </left>
      <right/>
      <top style="hair">
        <color rgb="FF3C3C3C"/>
      </top>
      <bottom style="hair">
        <color rgb="FF3C3C3C"/>
      </bottom>
      <diagonal/>
    </border>
    <border>
      <left style="double">
        <color rgb="FF3C3C3C"/>
      </left>
      <right/>
      <top style="hair">
        <color rgb="FF3C3C3C"/>
      </top>
      <bottom style="double">
        <color rgb="FF3C3C3C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rgb="FF3C3C3C"/>
      </bottom>
      <diagonal/>
    </border>
    <border>
      <left style="thin">
        <color auto="1"/>
      </left>
      <right style="thin">
        <color auto="1"/>
      </right>
      <top style="hair">
        <color rgb="FF3C3C3C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double">
        <color rgb="FF3C3C3C"/>
      </top>
      <bottom/>
      <diagonal/>
    </border>
    <border>
      <left style="thin">
        <color rgb="FF3C3C3C"/>
      </left>
      <right style="thin">
        <color auto="1"/>
      </right>
      <top style="hair">
        <color rgb="FF3C3C3C"/>
      </top>
      <bottom/>
      <diagonal/>
    </border>
    <border>
      <left style="thin">
        <color rgb="FF3C3C3C"/>
      </left>
      <right style="thin">
        <color auto="1"/>
      </right>
      <top style="hair">
        <color rgb="FF3C3C3C"/>
      </top>
      <bottom style="double">
        <color rgb="FF3C3C3C"/>
      </bottom>
      <diagonal/>
    </border>
    <border>
      <left style="thin">
        <color auto="1"/>
      </left>
      <right style="thin">
        <color auto="1"/>
      </right>
      <top style="hair">
        <color rgb="FF3C3C3C"/>
      </top>
      <bottom style="hair">
        <color rgb="FF3C3C3C"/>
      </bottom>
      <diagonal/>
    </border>
    <border>
      <left style="thin">
        <color auto="1"/>
      </left>
      <right style="thin">
        <color auto="1"/>
      </right>
      <top style="hair">
        <color rgb="FF3C3C3C"/>
      </top>
      <bottom style="thin">
        <color auto="1"/>
      </bottom>
      <diagonal/>
    </border>
    <border>
      <left style="thin">
        <color rgb="FF000000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2">
    <xf numFmtId="0" fontId="0" fillId="0" borderId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4" fontId="13" fillId="0" borderId="0" applyFont="0" applyFill="0" applyBorder="0" applyAlignment="0" applyProtection="0"/>
    <xf numFmtId="0" fontId="19" fillId="8" borderId="63" applyNumberFormat="0" applyAlignment="0" applyProtection="0"/>
    <xf numFmtId="0" fontId="20" fillId="0" borderId="0"/>
    <xf numFmtId="0" fontId="26" fillId="0" borderId="0"/>
    <xf numFmtId="166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9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</cellStyleXfs>
  <cellXfs count="681">
    <xf numFmtId="0" fontId="0" fillId="0" borderId="0" xfId="0" applyFont="1" applyAlignment="1"/>
    <xf numFmtId="0" fontId="2" fillId="0" borderId="0" xfId="0" applyFont="1"/>
    <xf numFmtId="0" fontId="3" fillId="0" borderId="0" xfId="0" applyFont="1"/>
    <xf numFmtId="0" fontId="4" fillId="0" borderId="1" xfId="0" applyFont="1" applyBorder="1"/>
    <xf numFmtId="0" fontId="0" fillId="0" borderId="0" xfId="0" applyFont="1"/>
    <xf numFmtId="0" fontId="4" fillId="0" borderId="0" xfId="0" applyFont="1" applyAlignment="1">
      <alignment horizontal="right"/>
    </xf>
    <xf numFmtId="9" fontId="4" fillId="2" borderId="1" xfId="0" applyNumberFormat="1" applyFont="1" applyFill="1" applyBorder="1"/>
    <xf numFmtId="0" fontId="5" fillId="3" borderId="0" xfId="0" applyFont="1" applyFill="1" applyAlignment="1"/>
    <xf numFmtId="0" fontId="6" fillId="0" borderId="0" xfId="0" applyFont="1"/>
    <xf numFmtId="0" fontId="5" fillId="0" borderId="0" xfId="0" applyFont="1" applyAlignment="1"/>
    <xf numFmtId="0" fontId="5" fillId="0" borderId="0" xfId="0" applyFont="1" applyAlignment="1"/>
    <xf numFmtId="0" fontId="3" fillId="0" borderId="0" xfId="0" applyFont="1" applyAlignment="1">
      <alignment horizontal="right"/>
    </xf>
    <xf numFmtId="3" fontId="5" fillId="0" borderId="0" xfId="0" applyNumberFormat="1" applyFont="1" applyAlignment="1"/>
    <xf numFmtId="0" fontId="4" fillId="2" borderId="1" xfId="0" applyFont="1" applyFill="1" applyBorder="1" applyAlignment="1">
      <alignment horizontal="center"/>
    </xf>
    <xf numFmtId="0" fontId="7" fillId="0" borderId="0" xfId="0" applyFont="1" applyAlignment="1"/>
    <xf numFmtId="0" fontId="5" fillId="0" borderId="2" xfId="0" applyFont="1" applyBorder="1" applyAlignment="1"/>
    <xf numFmtId="0" fontId="5" fillId="0" borderId="3" xfId="0" applyFont="1" applyBorder="1" applyAlignment="1"/>
    <xf numFmtId="167" fontId="4" fillId="2" borderId="1" xfId="0" applyNumberFormat="1" applyFont="1" applyFill="1" applyBorder="1" applyAlignment="1">
      <alignment horizontal="center"/>
    </xf>
    <xf numFmtId="0" fontId="5" fillId="0" borderId="4" xfId="0" applyFont="1" applyBorder="1" applyAlignment="1"/>
    <xf numFmtId="0" fontId="5" fillId="0" borderId="5" xfId="0" applyFont="1" applyBorder="1" applyAlignment="1"/>
    <xf numFmtId="0" fontId="3" fillId="4" borderId="6" xfId="0" applyFont="1" applyFill="1" applyBorder="1"/>
    <xf numFmtId="0" fontId="3" fillId="4" borderId="7" xfId="0" applyFont="1" applyFill="1" applyBorder="1"/>
    <xf numFmtId="0" fontId="5" fillId="0" borderId="4" xfId="0" applyFont="1" applyBorder="1" applyAlignment="1"/>
    <xf numFmtId="0" fontId="3" fillId="4" borderId="8" xfId="0" applyFont="1" applyFill="1" applyBorder="1"/>
    <xf numFmtId="0" fontId="5" fillId="0" borderId="9" xfId="0" applyFont="1" applyBorder="1" applyAlignment="1"/>
    <xf numFmtId="0" fontId="5" fillId="0" borderId="10" xfId="0" applyFont="1" applyBorder="1" applyAlignment="1"/>
    <xf numFmtId="0" fontId="3" fillId="4" borderId="1" xfId="0" applyFont="1" applyFill="1" applyBorder="1"/>
    <xf numFmtId="0" fontId="5" fillId="0" borderId="11" xfId="0" applyFont="1" applyBorder="1" applyAlignment="1"/>
    <xf numFmtId="0" fontId="4" fillId="0" borderId="0" xfId="0" applyFont="1"/>
    <xf numFmtId="4" fontId="5" fillId="0" borderId="12" xfId="0" applyNumberFormat="1" applyFont="1" applyBorder="1" applyAlignment="1"/>
    <xf numFmtId="3" fontId="5" fillId="0" borderId="12" xfId="0" applyNumberFormat="1" applyFont="1" applyBorder="1" applyAlignment="1"/>
    <xf numFmtId="0" fontId="5" fillId="0" borderId="12" xfId="0" applyFont="1" applyBorder="1" applyAlignment="1"/>
    <xf numFmtId="0" fontId="3" fillId="4" borderId="14" xfId="0" applyFont="1" applyFill="1" applyBorder="1"/>
    <xf numFmtId="3" fontId="5" fillId="0" borderId="0" xfId="0" applyNumberFormat="1" applyFont="1" applyAlignment="1">
      <alignment horizontal="right"/>
    </xf>
    <xf numFmtId="3" fontId="5" fillId="0" borderId="10" xfId="0" applyNumberFormat="1" applyFont="1" applyBorder="1" applyAlignment="1">
      <alignment horizontal="right"/>
    </xf>
    <xf numFmtId="0" fontId="7" fillId="0" borderId="15" xfId="0" applyFont="1" applyBorder="1" applyAlignment="1"/>
    <xf numFmtId="3" fontId="5" fillId="0" borderId="12" xfId="0" applyNumberFormat="1" applyFont="1" applyBorder="1" applyAlignment="1">
      <alignment horizontal="right"/>
    </xf>
    <xf numFmtId="0" fontId="5" fillId="0" borderId="2" xfId="0" applyFont="1" applyBorder="1" applyAlignment="1"/>
    <xf numFmtId="0" fontId="7" fillId="0" borderId="16" xfId="0" applyFont="1" applyBorder="1" applyAlignment="1"/>
    <xf numFmtId="0" fontId="7" fillId="0" borderId="3" xfId="0" applyFont="1" applyBorder="1" applyAlignment="1"/>
    <xf numFmtId="0" fontId="5" fillId="0" borderId="4" xfId="0" applyFont="1" applyBorder="1" applyAlignment="1"/>
    <xf numFmtId="0" fontId="7" fillId="0" borderId="5" xfId="0" applyFont="1" applyBorder="1" applyAlignment="1"/>
    <xf numFmtId="0" fontId="7" fillId="0" borderId="17" xfId="0" applyFont="1" applyBorder="1" applyAlignment="1"/>
    <xf numFmtId="0" fontId="5" fillId="0" borderId="11" xfId="0" applyFont="1" applyBorder="1" applyAlignment="1"/>
    <xf numFmtId="0" fontId="5" fillId="0" borderId="0" xfId="0" applyFont="1" applyAlignment="1">
      <alignment horizontal="right"/>
    </xf>
    <xf numFmtId="0" fontId="5" fillId="0" borderId="17" xfId="0" applyFont="1" applyBorder="1" applyAlignment="1"/>
    <xf numFmtId="0" fontId="7" fillId="0" borderId="12" xfId="0" applyFont="1" applyBorder="1" applyAlignment="1"/>
    <xf numFmtId="0" fontId="5" fillId="0" borderId="15" xfId="0" applyFont="1" applyBorder="1" applyAlignment="1">
      <alignment horizontal="right"/>
    </xf>
    <xf numFmtId="0" fontId="5" fillId="0" borderId="12" xfId="0" applyFont="1" applyBorder="1" applyAlignment="1"/>
    <xf numFmtId="9" fontId="5" fillId="0" borderId="15" xfId="0" applyNumberFormat="1" applyFont="1" applyBorder="1" applyAlignment="1">
      <alignment horizontal="right"/>
    </xf>
    <xf numFmtId="0" fontId="5" fillId="0" borderId="12" xfId="0" applyFont="1" applyBorder="1" applyAlignment="1"/>
    <xf numFmtId="3" fontId="5" fillId="0" borderId="15" xfId="0" applyNumberFormat="1" applyFont="1" applyBorder="1" applyAlignment="1">
      <alignment horizontal="right"/>
    </xf>
    <xf numFmtId="0" fontId="5" fillId="0" borderId="15" xfId="0" applyFont="1" applyBorder="1" applyAlignment="1"/>
    <xf numFmtId="0" fontId="5" fillId="0" borderId="15" xfId="0" applyFont="1" applyBorder="1" applyAlignment="1"/>
    <xf numFmtId="10" fontId="5" fillId="0" borderId="15" xfId="0" applyNumberFormat="1" applyFont="1" applyBorder="1" applyAlignment="1">
      <alignment horizontal="right"/>
    </xf>
    <xf numFmtId="0" fontId="3" fillId="0" borderId="25" xfId="0" applyFont="1" applyBorder="1"/>
    <xf numFmtId="0" fontId="3" fillId="0" borderId="26" xfId="0" applyFont="1" applyBorder="1"/>
    <xf numFmtId="0" fontId="4" fillId="5" borderId="27" xfId="0" applyFont="1" applyFill="1" applyBorder="1"/>
    <xf numFmtId="0" fontId="3" fillId="0" borderId="28" xfId="0" applyFont="1" applyBorder="1"/>
    <xf numFmtId="0" fontId="3" fillId="0" borderId="27" xfId="0" applyFont="1" applyBorder="1"/>
    <xf numFmtId="168" fontId="3" fillId="0" borderId="28" xfId="0" applyNumberFormat="1" applyFont="1" applyBorder="1"/>
    <xf numFmtId="0" fontId="3" fillId="0" borderId="27" xfId="0" applyFont="1" applyBorder="1" applyAlignment="1">
      <alignment horizontal="left"/>
    </xf>
    <xf numFmtId="0" fontId="4" fillId="0" borderId="27" xfId="0" applyFont="1" applyBorder="1"/>
    <xf numFmtId="0" fontId="4" fillId="0" borderId="22" xfId="0" applyFont="1" applyBorder="1" applyAlignment="1">
      <alignment horizontal="left"/>
    </xf>
    <xf numFmtId="168" fontId="3" fillId="0" borderId="23" xfId="0" applyNumberFormat="1" applyFont="1" applyBorder="1"/>
    <xf numFmtId="0" fontId="4" fillId="0" borderId="18" xfId="0" applyFont="1" applyBorder="1"/>
    <xf numFmtId="168" fontId="3" fillId="0" borderId="29" xfId="0" applyNumberFormat="1" applyFont="1" applyBorder="1"/>
    <xf numFmtId="0" fontId="3" fillId="0" borderId="29" xfId="0" applyFont="1" applyBorder="1" applyAlignment="1">
      <alignment horizontal="center"/>
    </xf>
    <xf numFmtId="0" fontId="4" fillId="0" borderId="25" xfId="0" applyFont="1" applyBorder="1"/>
    <xf numFmtId="168" fontId="3" fillId="0" borderId="26" xfId="0" applyNumberFormat="1" applyFont="1" applyBorder="1"/>
    <xf numFmtId="0" fontId="3" fillId="0" borderId="26" xfId="0" applyFont="1" applyBorder="1" applyAlignment="1">
      <alignment horizontal="center"/>
    </xf>
    <xf numFmtId="4" fontId="3" fillId="0" borderId="28" xfId="0" applyNumberFormat="1" applyFont="1" applyBorder="1"/>
    <xf numFmtId="0" fontId="4" fillId="0" borderId="27" xfId="0" applyFont="1" applyBorder="1" applyAlignment="1">
      <alignment horizontal="left"/>
    </xf>
    <xf numFmtId="169" fontId="3" fillId="0" borderId="28" xfId="0" applyNumberFormat="1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169" fontId="3" fillId="0" borderId="28" xfId="0" applyNumberFormat="1" applyFont="1" applyBorder="1"/>
    <xf numFmtId="169" fontId="4" fillId="0" borderId="28" xfId="0" applyNumberFormat="1" applyFont="1" applyBorder="1" applyAlignment="1">
      <alignment horizontal="center"/>
    </xf>
    <xf numFmtId="2" fontId="3" fillId="0" borderId="28" xfId="0" applyNumberFormat="1" applyFont="1" applyBorder="1" applyAlignment="1">
      <alignment horizontal="center"/>
    </xf>
    <xf numFmtId="169" fontId="3" fillId="0" borderId="0" xfId="0" applyNumberFormat="1" applyFont="1"/>
    <xf numFmtId="169" fontId="4" fillId="0" borderId="0" xfId="0" applyNumberFormat="1" applyFont="1" applyAlignment="1">
      <alignment horizontal="center"/>
    </xf>
    <xf numFmtId="0" fontId="4" fillId="0" borderId="32" xfId="0" applyFont="1" applyBorder="1"/>
    <xf numFmtId="168" fontId="3" fillId="0" borderId="26" xfId="0" applyNumberFormat="1" applyFont="1" applyBorder="1" applyAlignment="1">
      <alignment horizontal="center"/>
    </xf>
    <xf numFmtId="168" fontId="3" fillId="0" borderId="33" xfId="0" applyNumberFormat="1" applyFont="1" applyBorder="1" applyAlignment="1">
      <alignment horizontal="center"/>
    </xf>
    <xf numFmtId="168" fontId="3" fillId="0" borderId="28" xfId="0" applyNumberFormat="1" applyFont="1" applyBorder="1" applyAlignment="1">
      <alignment horizontal="center"/>
    </xf>
    <xf numFmtId="0" fontId="3" fillId="0" borderId="32" xfId="0" applyFont="1" applyBorder="1"/>
    <xf numFmtId="168" fontId="3" fillId="0" borderId="37" xfId="0" applyNumberFormat="1" applyFont="1" applyBorder="1" applyAlignment="1">
      <alignment horizontal="center"/>
    </xf>
    <xf numFmtId="0" fontId="3" fillId="5" borderId="32" xfId="0" applyFont="1" applyFill="1" applyBorder="1"/>
    <xf numFmtId="0" fontId="4" fillId="5" borderId="32" xfId="0" applyFont="1" applyFill="1" applyBorder="1"/>
    <xf numFmtId="168" fontId="3" fillId="0" borderId="28" xfId="0" applyNumberFormat="1" applyFont="1" applyBorder="1" applyAlignment="1">
      <alignment horizontal="center"/>
    </xf>
    <xf numFmtId="0" fontId="4" fillId="0" borderId="44" xfId="0" applyFont="1" applyBorder="1"/>
    <xf numFmtId="168" fontId="3" fillId="0" borderId="45" xfId="0" applyNumberFormat="1" applyFont="1" applyBorder="1" applyAlignment="1">
      <alignment horizontal="center"/>
    </xf>
    <xf numFmtId="0" fontId="3" fillId="0" borderId="46" xfId="0" applyFont="1" applyBorder="1"/>
    <xf numFmtId="168" fontId="3" fillId="0" borderId="47" xfId="0" applyNumberFormat="1" applyFont="1" applyBorder="1" applyAlignment="1">
      <alignment horizontal="center"/>
    </xf>
    <xf numFmtId="0" fontId="4" fillId="0" borderId="46" xfId="0" applyFont="1" applyBorder="1"/>
    <xf numFmtId="0" fontId="4" fillId="0" borderId="46" xfId="0" applyFont="1" applyBorder="1" applyAlignment="1">
      <alignment horizontal="left"/>
    </xf>
    <xf numFmtId="168" fontId="3" fillId="0" borderId="0" xfId="0" applyNumberFormat="1" applyFont="1"/>
    <xf numFmtId="0" fontId="4" fillId="0" borderId="49" xfId="0" applyFont="1" applyBorder="1"/>
    <xf numFmtId="168" fontId="3" fillId="0" borderId="50" xfId="0" applyNumberFormat="1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3" fillId="0" borderId="1" xfId="0" applyFont="1" applyBorder="1"/>
    <xf numFmtId="0" fontId="4" fillId="0" borderId="46" xfId="0" applyFont="1" applyBorder="1" applyAlignment="1">
      <alignment horizontal="center"/>
    </xf>
    <xf numFmtId="9" fontId="3" fillId="0" borderId="28" xfId="0" applyNumberFormat="1" applyFont="1" applyBorder="1" applyAlignment="1">
      <alignment horizontal="center"/>
    </xf>
    <xf numFmtId="171" fontId="3" fillId="0" borderId="18" xfId="0" applyNumberFormat="1" applyFont="1" applyBorder="1"/>
    <xf numFmtId="0" fontId="4" fillId="0" borderId="49" xfId="0" applyFont="1" applyBorder="1" applyAlignment="1">
      <alignment horizontal="center"/>
    </xf>
    <xf numFmtId="10" fontId="3" fillId="0" borderId="38" xfId="0" applyNumberFormat="1" applyFont="1" applyBorder="1" applyAlignment="1">
      <alignment horizontal="center"/>
    </xf>
    <xf numFmtId="10" fontId="3" fillId="0" borderId="23" xfId="0" applyNumberFormat="1" applyFont="1" applyBorder="1" applyAlignment="1">
      <alignment horizontal="center"/>
    </xf>
    <xf numFmtId="174" fontId="3" fillId="0" borderId="0" xfId="0" applyNumberFormat="1" applyFont="1" applyAlignment="1">
      <alignment horizontal="center"/>
    </xf>
    <xf numFmtId="9" fontId="3" fillId="0" borderId="23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169" fontId="3" fillId="0" borderId="0" xfId="0" applyNumberFormat="1" applyFont="1" applyAlignment="1">
      <alignment horizontal="center"/>
    </xf>
    <xf numFmtId="0" fontId="12" fillId="0" borderId="0" xfId="0" applyFont="1"/>
    <xf numFmtId="1" fontId="3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9" fontId="3" fillId="4" borderId="13" xfId="0" applyNumberFormat="1" applyFont="1" applyFill="1" applyBorder="1"/>
    <xf numFmtId="0" fontId="3" fillId="0" borderId="0" xfId="0" applyFont="1" applyBorder="1"/>
    <xf numFmtId="168" fontId="3" fillId="0" borderId="0" xfId="0" applyNumberFormat="1" applyFont="1" applyBorder="1" applyAlignment="1">
      <alignment horizontal="center"/>
    </xf>
    <xf numFmtId="9" fontId="3" fillId="4" borderId="1" xfId="0" applyNumberFormat="1" applyFont="1" applyFill="1" applyBorder="1"/>
    <xf numFmtId="0" fontId="0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3" fillId="5" borderId="25" xfId="0" applyFont="1" applyFill="1" applyBorder="1" applyAlignment="1">
      <alignment horizontal="left"/>
    </xf>
    <xf numFmtId="168" fontId="3" fillId="0" borderId="28" xfId="0" applyNumberFormat="1" applyFont="1" applyBorder="1" applyAlignment="1">
      <alignment horizontal="left"/>
    </xf>
    <xf numFmtId="168" fontId="3" fillId="0" borderId="26" xfId="0" applyNumberFormat="1" applyFont="1" applyBorder="1" applyAlignment="1">
      <alignment horizontal="left"/>
    </xf>
    <xf numFmtId="168" fontId="3" fillId="0" borderId="0" xfId="0" applyNumberFormat="1" applyFont="1" applyAlignment="1">
      <alignment horizontal="left"/>
    </xf>
    <xf numFmtId="0" fontId="3" fillId="5" borderId="27" xfId="0" applyFont="1" applyFill="1" applyBorder="1" applyAlignment="1">
      <alignment horizontal="left"/>
    </xf>
    <xf numFmtId="168" fontId="3" fillId="0" borderId="37" xfId="0" applyNumberFormat="1" applyFont="1" applyBorder="1" applyAlignment="1">
      <alignment horizontal="left"/>
    </xf>
    <xf numFmtId="10" fontId="3" fillId="0" borderId="0" xfId="0" applyNumberFormat="1" applyFont="1" applyAlignment="1">
      <alignment horizontal="left"/>
    </xf>
    <xf numFmtId="0" fontId="4" fillId="0" borderId="43" xfId="0" applyFont="1" applyBorder="1" applyAlignment="1">
      <alignment horizontal="left"/>
    </xf>
    <xf numFmtId="10" fontId="3" fillId="0" borderId="23" xfId="0" applyNumberFormat="1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25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8" fontId="0" fillId="0" borderId="0" xfId="0" applyNumberFormat="1" applyFont="1" applyAlignment="1">
      <alignment horizontal="left"/>
    </xf>
    <xf numFmtId="174" fontId="3" fillId="0" borderId="0" xfId="0" applyNumberFormat="1" applyFont="1" applyAlignment="1">
      <alignment horizontal="left"/>
    </xf>
    <xf numFmtId="0" fontId="4" fillId="0" borderId="25" xfId="0" applyFont="1" applyBorder="1" applyAlignment="1">
      <alignment horizontal="left"/>
    </xf>
    <xf numFmtId="168" fontId="3" fillId="0" borderId="38" xfId="0" applyNumberFormat="1" applyFont="1" applyBorder="1" applyAlignment="1">
      <alignment horizontal="left"/>
    </xf>
    <xf numFmtId="168" fontId="3" fillId="0" borderId="39" xfId="0" applyNumberFormat="1" applyFont="1" applyBorder="1" applyAlignment="1">
      <alignment horizontal="left"/>
    </xf>
    <xf numFmtId="168" fontId="3" fillId="0" borderId="29" xfId="0" applyNumberFormat="1" applyFont="1" applyBorder="1" applyAlignment="1">
      <alignment horizontal="left"/>
    </xf>
    <xf numFmtId="169" fontId="3" fillId="0" borderId="28" xfId="0" applyNumberFormat="1" applyFont="1" applyBorder="1" applyAlignment="1">
      <alignment horizontal="left"/>
    </xf>
    <xf numFmtId="169" fontId="3" fillId="0" borderId="37" xfId="0" applyNumberFormat="1" applyFont="1" applyBorder="1" applyAlignment="1">
      <alignment horizontal="left"/>
    </xf>
    <xf numFmtId="9" fontId="3" fillId="0" borderId="28" xfId="0" applyNumberFormat="1" applyFont="1" applyBorder="1" applyAlignment="1">
      <alignment horizontal="left"/>
    </xf>
    <xf numFmtId="168" fontId="4" fillId="0" borderId="28" xfId="0" applyNumberFormat="1" applyFont="1" applyBorder="1" applyAlignment="1">
      <alignment horizontal="left"/>
    </xf>
    <xf numFmtId="168" fontId="4" fillId="0" borderId="37" xfId="0" applyNumberFormat="1" applyFont="1" applyBorder="1" applyAlignment="1">
      <alignment horizontal="left"/>
    </xf>
    <xf numFmtId="9" fontId="3" fillId="0" borderId="37" xfId="0" applyNumberFormat="1" applyFont="1" applyBorder="1" applyAlignment="1">
      <alignment horizontal="left"/>
    </xf>
    <xf numFmtId="0" fontId="4" fillId="5" borderId="27" xfId="0" applyFont="1" applyFill="1" applyBorder="1" applyAlignment="1">
      <alignment horizontal="left"/>
    </xf>
    <xf numFmtId="0" fontId="10" fillId="0" borderId="0" xfId="0" applyFont="1" applyAlignment="1">
      <alignment horizontal="left"/>
    </xf>
    <xf numFmtId="168" fontId="0" fillId="5" borderId="0" xfId="0" applyNumberFormat="1" applyFont="1" applyFill="1" applyBorder="1" applyAlignment="1">
      <alignment horizontal="left"/>
    </xf>
    <xf numFmtId="9" fontId="3" fillId="0" borderId="0" xfId="0" applyNumberFormat="1" applyFont="1" applyAlignment="1">
      <alignment horizontal="left"/>
    </xf>
    <xf numFmtId="170" fontId="0" fillId="0" borderId="0" xfId="0" applyNumberFormat="1" applyFont="1" applyAlignment="1">
      <alignment horizontal="left"/>
    </xf>
    <xf numFmtId="0" fontId="0" fillId="0" borderId="0" xfId="0" applyFont="1" applyBorder="1"/>
    <xf numFmtId="172" fontId="3" fillId="0" borderId="0" xfId="0" applyNumberFormat="1" applyFont="1" applyBorder="1"/>
    <xf numFmtId="165" fontId="3" fillId="0" borderId="0" xfId="0" applyNumberFormat="1" applyFont="1" applyAlignment="1">
      <alignment horizontal="left"/>
    </xf>
    <xf numFmtId="168" fontId="17" fillId="0" borderId="0" xfId="0" applyNumberFormat="1" applyFont="1" applyAlignment="1">
      <alignment horizontal="left"/>
    </xf>
    <xf numFmtId="166" fontId="3" fillId="0" borderId="0" xfId="0" applyNumberFormat="1" applyFont="1" applyAlignment="1">
      <alignment horizontal="left"/>
    </xf>
    <xf numFmtId="174" fontId="3" fillId="0" borderId="0" xfId="0" applyNumberFormat="1" applyFont="1" applyFill="1" applyBorder="1" applyAlignment="1" applyProtection="1">
      <alignment horizontal="center"/>
    </xf>
    <xf numFmtId="0" fontId="4" fillId="6" borderId="23" xfId="0" applyFont="1" applyFill="1" applyBorder="1" applyAlignment="1">
      <alignment horizontal="center"/>
    </xf>
    <xf numFmtId="0" fontId="4" fillId="7" borderId="18" xfId="0" applyFont="1" applyFill="1" applyBorder="1" applyAlignment="1">
      <alignment horizontal="center"/>
    </xf>
    <xf numFmtId="0" fontId="4" fillId="7" borderId="22" xfId="0" applyFont="1" applyFill="1" applyBorder="1"/>
    <xf numFmtId="0" fontId="4" fillId="7" borderId="31" xfId="0" applyFont="1" applyFill="1" applyBorder="1" applyAlignment="1">
      <alignment horizontal="left"/>
    </xf>
    <xf numFmtId="0" fontId="4" fillId="7" borderId="30" xfId="0" applyFont="1" applyFill="1" applyBorder="1" applyAlignment="1">
      <alignment horizontal="left"/>
    </xf>
    <xf numFmtId="0" fontId="4" fillId="7" borderId="21" xfId="0" applyFont="1" applyFill="1" applyBorder="1" applyAlignment="1">
      <alignment horizontal="left"/>
    </xf>
    <xf numFmtId="0" fontId="4" fillId="7" borderId="27" xfId="0" applyFont="1" applyFill="1" applyBorder="1" applyAlignment="1">
      <alignment horizontal="left"/>
    </xf>
    <xf numFmtId="0" fontId="4" fillId="7" borderId="28" xfId="0" applyFont="1" applyFill="1" applyBorder="1" applyAlignment="1">
      <alignment horizontal="left"/>
    </xf>
    <xf numFmtId="0" fontId="4" fillId="7" borderId="37" xfId="0" applyFont="1" applyFill="1" applyBorder="1" applyAlignment="1">
      <alignment horizontal="left"/>
    </xf>
    <xf numFmtId="0" fontId="4" fillId="7" borderId="23" xfId="0" applyFont="1" applyFill="1" applyBorder="1" applyAlignment="1">
      <alignment horizontal="left"/>
    </xf>
    <xf numFmtId="0" fontId="4" fillId="7" borderId="24" xfId="0" applyFont="1" applyFill="1" applyBorder="1" applyAlignment="1">
      <alignment horizontal="left"/>
    </xf>
    <xf numFmtId="0" fontId="4" fillId="7" borderId="29" xfId="0" applyFont="1" applyFill="1" applyBorder="1" applyAlignment="1">
      <alignment horizontal="left"/>
    </xf>
    <xf numFmtId="0" fontId="4" fillId="7" borderId="51" xfId="0" applyFont="1" applyFill="1" applyBorder="1" applyAlignment="1">
      <alignment horizontal="left"/>
    </xf>
    <xf numFmtId="0" fontId="3" fillId="7" borderId="23" xfId="0" applyFont="1" applyFill="1" applyBorder="1" applyAlignment="1">
      <alignment horizontal="left"/>
    </xf>
    <xf numFmtId="0" fontId="4" fillId="7" borderId="18" xfId="0" applyFont="1" applyFill="1" applyBorder="1" applyAlignment="1">
      <alignment horizontal="left"/>
    </xf>
    <xf numFmtId="174" fontId="4" fillId="7" borderId="29" xfId="0" applyNumberFormat="1" applyFont="1" applyFill="1" applyBorder="1" applyAlignment="1">
      <alignment horizontal="left"/>
    </xf>
    <xf numFmtId="174" fontId="4" fillId="7" borderId="51" xfId="0" applyNumberFormat="1" applyFont="1" applyFill="1" applyBorder="1" applyAlignment="1">
      <alignment horizontal="left"/>
    </xf>
    <xf numFmtId="0" fontId="4" fillId="7" borderId="22" xfId="0" applyFont="1" applyFill="1" applyBorder="1" applyAlignment="1">
      <alignment horizontal="left"/>
    </xf>
    <xf numFmtId="0" fontId="3" fillId="7" borderId="27" xfId="0" applyFont="1" applyFill="1" applyBorder="1" applyAlignment="1">
      <alignment horizontal="left"/>
    </xf>
    <xf numFmtId="0" fontId="9" fillId="6" borderId="31" xfId="0" applyFont="1" applyFill="1" applyBorder="1" applyAlignment="1">
      <alignment horizontal="center"/>
    </xf>
    <xf numFmtId="0" fontId="9" fillId="6" borderId="30" xfId="0" applyFont="1" applyFill="1" applyBorder="1" applyAlignment="1">
      <alignment horizontal="center"/>
    </xf>
    <xf numFmtId="0" fontId="4" fillId="6" borderId="27" xfId="0" applyFont="1" applyFill="1" applyBorder="1" applyAlignment="1">
      <alignment horizontal="center"/>
    </xf>
    <xf numFmtId="165" fontId="0" fillId="0" borderId="0" xfId="0" applyNumberFormat="1" applyFont="1" applyAlignment="1">
      <alignment horizontal="left"/>
    </xf>
    <xf numFmtId="175" fontId="3" fillId="0" borderId="0" xfId="0" applyNumberFormat="1" applyFont="1" applyBorder="1" applyAlignment="1">
      <alignment horizontal="left"/>
    </xf>
    <xf numFmtId="165" fontId="0" fillId="0" borderId="0" xfId="0" applyNumberFormat="1" applyFont="1" applyAlignment="1"/>
    <xf numFmtId="165" fontId="3" fillId="0" borderId="28" xfId="0" applyNumberFormat="1" applyFont="1" applyBorder="1"/>
    <xf numFmtId="0" fontId="20" fillId="0" borderId="0" xfId="65" applyFont="1" applyFill="1" applyBorder="1"/>
    <xf numFmtId="0" fontId="22" fillId="0" borderId="0" xfId="65" applyFont="1" applyFill="1" applyBorder="1"/>
    <xf numFmtId="0" fontId="22" fillId="0" borderId="64" xfId="65" applyFont="1" applyFill="1" applyBorder="1"/>
    <xf numFmtId="0" fontId="20" fillId="0" borderId="65" xfId="65" applyFont="1" applyFill="1" applyBorder="1" applyAlignment="1">
      <alignment horizontal="right"/>
    </xf>
    <xf numFmtId="0" fontId="20" fillId="0" borderId="65" xfId="65" applyFont="1" applyFill="1" applyBorder="1"/>
    <xf numFmtId="0" fontId="20" fillId="0" borderId="66" xfId="65" applyFont="1" applyFill="1" applyBorder="1"/>
    <xf numFmtId="0" fontId="22" fillId="0" borderId="67" xfId="65" applyFont="1" applyFill="1" applyBorder="1"/>
    <xf numFmtId="0" fontId="20" fillId="0" borderId="0" xfId="65" applyFont="1" applyFill="1" applyBorder="1" applyAlignment="1"/>
    <xf numFmtId="9" fontId="20" fillId="0" borderId="0" xfId="65" applyNumberFormat="1" applyFont="1" applyFill="1" applyBorder="1" applyAlignment="1"/>
    <xf numFmtId="0" fontId="23" fillId="5" borderId="0" xfId="65" applyFont="1" applyFill="1" applyBorder="1" applyAlignment="1">
      <alignment horizontal="left"/>
    </xf>
    <xf numFmtId="0" fontId="20" fillId="0" borderId="68" xfId="65" applyFont="1" applyFill="1" applyBorder="1"/>
    <xf numFmtId="179" fontId="20" fillId="0" borderId="0" xfId="65" applyNumberFormat="1" applyFont="1" applyFill="1" applyBorder="1"/>
    <xf numFmtId="164" fontId="20" fillId="0" borderId="0" xfId="65" applyNumberFormat="1" applyFont="1" applyFill="1" applyBorder="1"/>
    <xf numFmtId="180" fontId="22" fillId="0" borderId="0" xfId="65" applyNumberFormat="1" applyFont="1" applyFill="1" applyBorder="1" applyAlignment="1">
      <alignment horizontal="left"/>
    </xf>
    <xf numFmtId="0" fontId="22" fillId="0" borderId="69" xfId="65" applyFont="1" applyFill="1" applyBorder="1"/>
    <xf numFmtId="0" fontId="20" fillId="0" borderId="70" xfId="65" applyFont="1" applyFill="1" applyBorder="1"/>
    <xf numFmtId="9" fontId="22" fillId="0" borderId="70" xfId="65" applyNumberFormat="1" applyFont="1" applyFill="1" applyBorder="1"/>
    <xf numFmtId="0" fontId="20" fillId="0" borderId="71" xfId="65" applyFont="1" applyFill="1" applyBorder="1"/>
    <xf numFmtId="179" fontId="20" fillId="0" borderId="9" xfId="65" applyNumberFormat="1" applyFont="1" applyFill="1" applyBorder="1" applyAlignment="1">
      <alignment horizontal="center"/>
    </xf>
    <xf numFmtId="179" fontId="20" fillId="5" borderId="9" xfId="65" applyNumberFormat="1" applyFont="1" applyFill="1" applyBorder="1"/>
    <xf numFmtId="179" fontId="20" fillId="0" borderId="9" xfId="65" applyNumberFormat="1" applyFont="1" applyFill="1" applyBorder="1"/>
    <xf numFmtId="179" fontId="20" fillId="5" borderId="72" xfId="65" applyNumberFormat="1" applyFont="1" applyFill="1" applyBorder="1"/>
    <xf numFmtId="179" fontId="20" fillId="0" borderId="72" xfId="65" applyNumberFormat="1" applyFont="1" applyFill="1" applyBorder="1"/>
    <xf numFmtId="179" fontId="20" fillId="0" borderId="9" xfId="65" applyNumberFormat="1" applyFont="1" applyFill="1" applyBorder="1" applyAlignment="1">
      <alignment horizontal="center" vertical="center"/>
    </xf>
    <xf numFmtId="179" fontId="20" fillId="5" borderId="11" xfId="65" applyNumberFormat="1" applyFont="1" applyFill="1" applyBorder="1"/>
    <xf numFmtId="179" fontId="20" fillId="0" borderId="11" xfId="65" applyNumberFormat="1" applyFont="1" applyFill="1" applyBorder="1"/>
    <xf numFmtId="179" fontId="20" fillId="0" borderId="10" xfId="65" applyNumberFormat="1" applyFont="1" applyFill="1" applyBorder="1"/>
    <xf numFmtId="179" fontId="20" fillId="0" borderId="77" xfId="65" applyNumberFormat="1" applyFont="1" applyFill="1" applyBorder="1"/>
    <xf numFmtId="179" fontId="22" fillId="0" borderId="78" xfId="65" applyNumberFormat="1" applyFont="1" applyFill="1" applyBorder="1"/>
    <xf numFmtId="179" fontId="20" fillId="0" borderId="71" xfId="65" applyNumberFormat="1" applyFont="1" applyFill="1" applyBorder="1"/>
    <xf numFmtId="179" fontId="20" fillId="0" borderId="0" xfId="65" applyNumberFormat="1" applyFont="1" applyFill="1" applyBorder="1" applyAlignment="1">
      <alignment horizontal="center"/>
    </xf>
    <xf numFmtId="181" fontId="20" fillId="0" borderId="0" xfId="65" applyNumberFormat="1" applyFont="1" applyFill="1" applyBorder="1"/>
    <xf numFmtId="0" fontId="23" fillId="0" borderId="0" xfId="65" applyFont="1" applyFill="1" applyBorder="1"/>
    <xf numFmtId="0" fontId="26" fillId="0" borderId="0" xfId="0" applyFont="1"/>
    <xf numFmtId="171" fontId="3" fillId="0" borderId="85" xfId="0" applyNumberFormat="1" applyFont="1" applyBorder="1"/>
    <xf numFmtId="179" fontId="22" fillId="5" borderId="88" xfId="65" applyNumberFormat="1" applyFont="1" applyFill="1" applyBorder="1"/>
    <xf numFmtId="0" fontId="24" fillId="0" borderId="87" xfId="0" applyFont="1" applyBorder="1" applyAlignment="1">
      <alignment horizontal="center"/>
    </xf>
    <xf numFmtId="179" fontId="22" fillId="5" borderId="0" xfId="65" applyNumberFormat="1" applyFont="1" applyFill="1" applyBorder="1"/>
    <xf numFmtId="179" fontId="20" fillId="5" borderId="83" xfId="65" applyNumberFormat="1" applyFont="1" applyFill="1" applyBorder="1"/>
    <xf numFmtId="0" fontId="26" fillId="0" borderId="89" xfId="0" applyFont="1" applyBorder="1"/>
    <xf numFmtId="0" fontId="26" fillId="0" borderId="75" xfId="0" applyFont="1" applyBorder="1"/>
    <xf numFmtId="0" fontId="26" fillId="0" borderId="90" xfId="0" applyFont="1" applyBorder="1"/>
    <xf numFmtId="0" fontId="26" fillId="0" borderId="91" xfId="0" applyFont="1" applyBorder="1"/>
    <xf numFmtId="164" fontId="26" fillId="0" borderId="12" xfId="0" applyNumberFormat="1" applyFont="1" applyBorder="1"/>
    <xf numFmtId="164" fontId="26" fillId="0" borderId="10" xfId="0" applyNumberFormat="1" applyFont="1" applyBorder="1"/>
    <xf numFmtId="0" fontId="26" fillId="0" borderId="92" xfId="0" applyFont="1" applyBorder="1"/>
    <xf numFmtId="164" fontId="26" fillId="0" borderId="80" xfId="0" applyNumberFormat="1" applyFont="1" applyBorder="1"/>
    <xf numFmtId="164" fontId="26" fillId="0" borderId="0" xfId="0" applyNumberFormat="1" applyFont="1"/>
    <xf numFmtId="164" fontId="26" fillId="0" borderId="90" xfId="0" applyNumberFormat="1" applyFont="1" applyBorder="1"/>
    <xf numFmtId="0" fontId="28" fillId="0" borderId="0" xfId="0" applyFont="1"/>
    <xf numFmtId="169" fontId="0" fillId="0" borderId="0" xfId="0" applyNumberFormat="1" applyFill="1" applyBorder="1" applyAlignment="1" applyProtection="1">
      <alignment horizontal="center"/>
    </xf>
    <xf numFmtId="0" fontId="26" fillId="0" borderId="0" xfId="66" applyFont="1" applyFill="1" applyProtection="1"/>
    <xf numFmtId="0" fontId="26" fillId="0" borderId="0" xfId="66" applyFont="1" applyFill="1" applyBorder="1" applyProtection="1"/>
    <xf numFmtId="0" fontId="26" fillId="0" borderId="0" xfId="0" applyFont="1" applyFill="1" applyBorder="1" applyProtection="1"/>
    <xf numFmtId="0" fontId="0" fillId="0" borderId="0" xfId="0" applyFill="1" applyProtection="1"/>
    <xf numFmtId="166" fontId="0" fillId="0" borderId="0" xfId="0" applyNumberFormat="1" applyFill="1" applyProtection="1"/>
    <xf numFmtId="165" fontId="0" fillId="0" borderId="0" xfId="0" applyNumberFormat="1" applyFont="1"/>
    <xf numFmtId="169" fontId="0" fillId="0" borderId="0" xfId="0" applyNumberFormat="1" applyFill="1" applyBorder="1" applyAlignment="1">
      <alignment horizontal="center"/>
    </xf>
    <xf numFmtId="169" fontId="3" fillId="0" borderId="36" xfId="0" applyNumberFormat="1" applyFont="1" applyBorder="1" applyAlignment="1">
      <alignment horizontal="left"/>
    </xf>
    <xf numFmtId="0" fontId="3" fillId="0" borderId="83" xfId="0" applyFont="1" applyFill="1" applyBorder="1"/>
    <xf numFmtId="165" fontId="3" fillId="0" borderId="0" xfId="0" applyNumberFormat="1" applyFont="1"/>
    <xf numFmtId="0" fontId="22" fillId="0" borderId="79" xfId="65" applyFont="1" applyFill="1" applyBorder="1" applyAlignment="1">
      <alignment horizontal="center"/>
    </xf>
    <xf numFmtId="0" fontId="22" fillId="0" borderId="80" xfId="65" applyFont="1" applyFill="1" applyBorder="1" applyAlignment="1">
      <alignment horizontal="center"/>
    </xf>
    <xf numFmtId="0" fontId="20" fillId="0" borderId="0" xfId="65" applyFont="1" applyFill="1" applyBorder="1" applyAlignment="1">
      <alignment horizontal="left"/>
    </xf>
    <xf numFmtId="0" fontId="20" fillId="0" borderId="0" xfId="65" applyFont="1" applyFill="1" applyBorder="1" applyAlignment="1"/>
    <xf numFmtId="0" fontId="20" fillId="0" borderId="70" xfId="65" applyFont="1" applyFill="1" applyBorder="1" applyAlignment="1">
      <alignment horizontal="center"/>
    </xf>
    <xf numFmtId="0" fontId="23" fillId="0" borderId="70" xfId="65" applyFont="1" applyFill="1" applyBorder="1"/>
    <xf numFmtId="0" fontId="22" fillId="0" borderId="0" xfId="65" applyFont="1" applyFill="1" applyBorder="1" applyAlignment="1">
      <alignment horizontal="left"/>
    </xf>
    <xf numFmtId="0" fontId="23" fillId="0" borderId="68" xfId="65" applyFont="1" applyFill="1" applyBorder="1" applyAlignment="1">
      <alignment horizontal="left"/>
    </xf>
    <xf numFmtId="0" fontId="26" fillId="0" borderId="0" xfId="0" applyFont="1" applyFill="1"/>
    <xf numFmtId="9" fontId="0" fillId="0" borderId="83" xfId="0" applyNumberFormat="1" applyFill="1" applyBorder="1" applyAlignment="1" applyProtection="1">
      <alignment horizontal="center"/>
    </xf>
    <xf numFmtId="183" fontId="1" fillId="0" borderId="83" xfId="63" applyNumberFormat="1" applyFont="1" applyFill="1" applyBorder="1" applyAlignment="1">
      <alignment horizontal="left"/>
    </xf>
    <xf numFmtId="10" fontId="1" fillId="0" borderId="83" xfId="79" applyNumberFormat="1" applyFill="1" applyBorder="1" applyAlignment="1">
      <alignment horizontal="left"/>
    </xf>
    <xf numFmtId="0" fontId="28" fillId="0" borderId="0" xfId="0" applyFont="1" applyFill="1"/>
    <xf numFmtId="0" fontId="3" fillId="0" borderId="0" xfId="0" applyFont="1" applyFill="1"/>
    <xf numFmtId="0" fontId="13" fillId="0" borderId="83" xfId="0" applyFont="1" applyFill="1" applyBorder="1"/>
    <xf numFmtId="0" fontId="24" fillId="0" borderId="0" xfId="0" applyFont="1" applyFill="1" applyBorder="1" applyProtection="1"/>
    <xf numFmtId="0" fontId="28" fillId="0" borderId="0" xfId="0" applyFont="1" applyFill="1" applyAlignment="1">
      <alignment horizontal="center"/>
    </xf>
    <xf numFmtId="168" fontId="4" fillId="0" borderId="37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168" fontId="3" fillId="0" borderId="28" xfId="0" applyNumberFormat="1" applyFont="1" applyFill="1" applyBorder="1" applyAlignment="1">
      <alignment horizontal="center"/>
    </xf>
    <xf numFmtId="43" fontId="0" fillId="0" borderId="0" xfId="0" applyNumberFormat="1" applyFont="1"/>
    <xf numFmtId="0" fontId="0" fillId="0" borderId="0" xfId="0"/>
    <xf numFmtId="9" fontId="4" fillId="0" borderId="0" xfId="0" applyNumberFormat="1" applyFont="1" applyFill="1" applyBorder="1" applyAlignment="1">
      <alignment horizontal="center"/>
    </xf>
    <xf numFmtId="184" fontId="0" fillId="0" borderId="0" xfId="0" applyNumberFormat="1" applyFont="1"/>
    <xf numFmtId="0" fontId="3" fillId="0" borderId="0" xfId="0" applyFont="1" applyAlignment="1"/>
    <xf numFmtId="0" fontId="22" fillId="0" borderId="0" xfId="0" applyFont="1"/>
    <xf numFmtId="175" fontId="3" fillId="0" borderId="28" xfId="0" applyNumberFormat="1" applyFont="1" applyFill="1" applyBorder="1"/>
    <xf numFmtId="0" fontId="0" fillId="0" borderId="95" xfId="0" applyFill="1" applyBorder="1"/>
    <xf numFmtId="0" fontId="0" fillId="0" borderId="96" xfId="0" applyFill="1" applyBorder="1"/>
    <xf numFmtId="165" fontId="0" fillId="0" borderId="96" xfId="0" applyNumberFormat="1" applyFont="1" applyBorder="1"/>
    <xf numFmtId="0" fontId="0" fillId="0" borderId="96" xfId="0" applyFont="1" applyBorder="1"/>
    <xf numFmtId="0" fontId="0" fillId="0" borderId="97" xfId="0" applyFont="1" applyBorder="1"/>
    <xf numFmtId="0" fontId="0" fillId="0" borderId="98" xfId="0" applyFill="1" applyBorder="1"/>
    <xf numFmtId="165" fontId="0" fillId="0" borderId="0" xfId="0" applyNumberFormat="1" applyFont="1" applyBorder="1"/>
    <xf numFmtId="165" fontId="0" fillId="0" borderId="99" xfId="0" applyNumberFormat="1" applyFont="1" applyBorder="1"/>
    <xf numFmtId="165" fontId="0" fillId="0" borderId="99" xfId="0" applyNumberFormat="1" applyFont="1" applyBorder="1" applyAlignment="1"/>
    <xf numFmtId="0" fontId="0" fillId="0" borderId="0" xfId="0" applyFont="1" applyBorder="1" applyAlignment="1"/>
    <xf numFmtId="165" fontId="0" fillId="0" borderId="100" xfId="0" applyNumberFormat="1" applyFont="1" applyBorder="1"/>
    <xf numFmtId="165" fontId="0" fillId="0" borderId="101" xfId="0" applyNumberFormat="1" applyFont="1" applyBorder="1" applyAlignment="1"/>
    <xf numFmtId="0" fontId="3" fillId="0" borderId="98" xfId="0" applyFont="1" applyFill="1" applyBorder="1"/>
    <xf numFmtId="0" fontId="3" fillId="0" borderId="98" xfId="0" quotePrefix="1" applyFont="1" applyFill="1" applyBorder="1" applyAlignment="1">
      <alignment horizontal="left"/>
    </xf>
    <xf numFmtId="0" fontId="4" fillId="0" borderId="98" xfId="0" applyFont="1" applyFill="1" applyBorder="1"/>
    <xf numFmtId="0" fontId="4" fillId="0" borderId="103" xfId="0" applyFont="1" applyFill="1" applyBorder="1"/>
    <xf numFmtId="0" fontId="17" fillId="0" borderId="95" xfId="0" applyFont="1" applyBorder="1" applyAlignment="1"/>
    <xf numFmtId="0" fontId="3" fillId="0" borderId="96" xfId="0" applyFont="1" applyBorder="1"/>
    <xf numFmtId="0" fontId="0" fillId="0" borderId="98" xfId="0" applyFont="1" applyBorder="1" applyAlignment="1"/>
    <xf numFmtId="0" fontId="0" fillId="0" borderId="99" xfId="0" applyFont="1" applyBorder="1"/>
    <xf numFmtId="0" fontId="0" fillId="0" borderId="103" xfId="0" applyFont="1" applyBorder="1" applyAlignment="1"/>
    <xf numFmtId="0" fontId="0" fillId="0" borderId="100" xfId="0" applyFont="1" applyBorder="1" applyAlignment="1"/>
    <xf numFmtId="0" fontId="3" fillId="0" borderId="100" xfId="0" applyFont="1" applyBorder="1"/>
    <xf numFmtId="0" fontId="0" fillId="0" borderId="100" xfId="0" applyFont="1" applyBorder="1"/>
    <xf numFmtId="0" fontId="0" fillId="0" borderId="101" xfId="0" applyFont="1" applyBorder="1"/>
    <xf numFmtId="0" fontId="4" fillId="0" borderId="95" xfId="0" applyFont="1" applyBorder="1"/>
    <xf numFmtId="0" fontId="3" fillId="0" borderId="98" xfId="0" applyFont="1" applyBorder="1"/>
    <xf numFmtId="176" fontId="3" fillId="0" borderId="0" xfId="0" applyNumberFormat="1" applyFont="1" applyBorder="1"/>
    <xf numFmtId="176" fontId="0" fillId="0" borderId="0" xfId="0" applyNumberFormat="1" applyFont="1" applyBorder="1" applyAlignment="1"/>
    <xf numFmtId="0" fontId="3" fillId="0" borderId="103" xfId="0" applyFont="1" applyBorder="1"/>
    <xf numFmtId="176" fontId="3" fillId="0" borderId="100" xfId="0" applyNumberFormat="1" applyFont="1" applyBorder="1"/>
    <xf numFmtId="169" fontId="3" fillId="0" borderId="98" xfId="0" applyNumberFormat="1" applyFont="1" applyBorder="1"/>
    <xf numFmtId="169" fontId="3" fillId="0" borderId="98" xfId="0" applyNumberFormat="1" applyFont="1" applyBorder="1" applyAlignment="1">
      <alignment horizontal="left" vertical="top"/>
    </xf>
    <xf numFmtId="0" fontId="0" fillId="0" borderId="98" xfId="0" applyFont="1" applyBorder="1"/>
    <xf numFmtId="0" fontId="0" fillId="0" borderId="103" xfId="0" applyFont="1" applyBorder="1"/>
    <xf numFmtId="168" fontId="33" fillId="0" borderId="28" xfId="0" applyNumberFormat="1" applyFont="1" applyBorder="1"/>
    <xf numFmtId="165" fontId="0" fillId="7" borderId="0" xfId="0" applyNumberFormat="1" applyFont="1" applyFill="1" applyBorder="1"/>
    <xf numFmtId="0" fontId="0" fillId="0" borderId="98" xfId="0" applyFont="1" applyFill="1" applyBorder="1"/>
    <xf numFmtId="0" fontId="30" fillId="0" borderId="98" xfId="0" applyFont="1" applyBorder="1"/>
    <xf numFmtId="0" fontId="30" fillId="0" borderId="98" xfId="0" applyFont="1" applyFill="1" applyBorder="1"/>
    <xf numFmtId="0" fontId="30" fillId="0" borderId="103" xfId="0" applyFont="1" applyFill="1" applyBorder="1"/>
    <xf numFmtId="0" fontId="30" fillId="0" borderId="104" xfId="0" applyFont="1" applyBorder="1"/>
    <xf numFmtId="0" fontId="3" fillId="0" borderId="105" xfId="0" applyFont="1" applyFill="1" applyBorder="1" applyAlignment="1">
      <alignment horizontal="center"/>
    </xf>
    <xf numFmtId="0" fontId="3" fillId="0" borderId="96" xfId="0" applyFont="1" applyBorder="1" applyAlignment="1">
      <alignment horizontal="left"/>
    </xf>
    <xf numFmtId="0" fontId="3" fillId="0" borderId="97" xfId="0" applyFont="1" applyBorder="1" applyAlignment="1">
      <alignment horizontal="left"/>
    </xf>
    <xf numFmtId="0" fontId="3" fillId="0" borderId="98" xfId="0" applyFont="1" applyBorder="1" applyAlignment="1">
      <alignment horizontal="left"/>
    </xf>
    <xf numFmtId="0" fontId="3" fillId="0" borderId="99" xfId="0" applyFont="1" applyBorder="1" applyAlignment="1">
      <alignment horizontal="left"/>
    </xf>
    <xf numFmtId="0" fontId="3" fillId="0" borderId="103" xfId="0" applyFont="1" applyBorder="1" applyAlignment="1">
      <alignment horizontal="left"/>
    </xf>
    <xf numFmtId="0" fontId="3" fillId="0" borderId="100" xfId="0" applyFont="1" applyBorder="1" applyAlignment="1">
      <alignment horizontal="left"/>
    </xf>
    <xf numFmtId="0" fontId="3" fillId="0" borderId="101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65" fontId="3" fillId="0" borderId="99" xfId="0" applyNumberFormat="1" applyFont="1" applyBorder="1" applyAlignment="1">
      <alignment horizontal="left"/>
    </xf>
    <xf numFmtId="0" fontId="0" fillId="0" borderId="100" xfId="0" applyFont="1" applyBorder="1" applyAlignment="1">
      <alignment horizontal="left"/>
    </xf>
    <xf numFmtId="0" fontId="24" fillId="0" borderId="95" xfId="0" applyFont="1" applyBorder="1" applyAlignment="1">
      <alignment horizontal="left"/>
    </xf>
    <xf numFmtId="168" fontId="4" fillId="0" borderId="0" xfId="0" applyNumberFormat="1" applyFont="1" applyBorder="1" applyAlignment="1">
      <alignment horizontal="left"/>
    </xf>
    <xf numFmtId="176" fontId="3" fillId="0" borderId="99" xfId="0" applyNumberFormat="1" applyFont="1" applyBorder="1" applyAlignment="1">
      <alignment horizontal="left"/>
    </xf>
    <xf numFmtId="0" fontId="0" fillId="0" borderId="98" xfId="0" applyFont="1" applyBorder="1" applyAlignment="1">
      <alignment horizontal="left"/>
    </xf>
    <xf numFmtId="176" fontId="3" fillId="0" borderId="101" xfId="0" applyNumberFormat="1" applyFont="1" applyBorder="1" applyAlignment="1">
      <alignment horizontal="left"/>
    </xf>
    <xf numFmtId="0" fontId="24" fillId="0" borderId="96" xfId="0" applyFont="1" applyBorder="1" applyAlignment="1">
      <alignment horizontal="left"/>
    </xf>
    <xf numFmtId="0" fontId="24" fillId="0" borderId="0" xfId="0" applyFont="1" applyBorder="1" applyAlignment="1">
      <alignment horizontal="left"/>
    </xf>
    <xf numFmtId="0" fontId="26" fillId="0" borderId="0" xfId="0" applyFont="1" applyBorder="1" applyAlignment="1">
      <alignment horizontal="left"/>
    </xf>
    <xf numFmtId="0" fontId="26" fillId="0" borderId="99" xfId="0" applyFont="1" applyBorder="1" applyAlignment="1">
      <alignment horizontal="left"/>
    </xf>
    <xf numFmtId="177" fontId="3" fillId="0" borderId="99" xfId="0" applyNumberFormat="1" applyFont="1" applyBorder="1" applyAlignment="1">
      <alignment horizontal="left"/>
    </xf>
    <xf numFmtId="177" fontId="0" fillId="0" borderId="98" xfId="0" applyNumberFormat="1" applyFont="1" applyBorder="1" applyAlignment="1">
      <alignment horizontal="left"/>
    </xf>
    <xf numFmtId="0" fontId="0" fillId="0" borderId="103" xfId="0" applyFont="1" applyBorder="1" applyAlignment="1">
      <alignment horizontal="left"/>
    </xf>
    <xf numFmtId="0" fontId="0" fillId="0" borderId="101" xfId="0" applyFont="1" applyBorder="1" applyAlignment="1">
      <alignment horizontal="left"/>
    </xf>
    <xf numFmtId="0" fontId="24" fillId="0" borderId="0" xfId="0" applyFont="1"/>
    <xf numFmtId="168" fontId="3" fillId="0" borderId="0" xfId="0" applyNumberFormat="1" applyFont="1" applyBorder="1" applyAlignment="1">
      <alignment horizontal="left"/>
    </xf>
    <xf numFmtId="0" fontId="0" fillId="0" borderId="99" xfId="0" applyFont="1" applyBorder="1" applyAlignment="1">
      <alignment horizontal="left"/>
    </xf>
    <xf numFmtId="0" fontId="4" fillId="0" borderId="95" xfId="0" applyFont="1" applyBorder="1" applyAlignment="1">
      <alignment horizontal="left"/>
    </xf>
    <xf numFmtId="165" fontId="13" fillId="0" borderId="0" xfId="0" applyNumberFormat="1" applyFont="1" applyAlignment="1">
      <alignment horizontal="left"/>
    </xf>
    <xf numFmtId="165" fontId="3" fillId="0" borderId="0" xfId="0" applyNumberFormat="1" applyFont="1" applyBorder="1" applyAlignment="1">
      <alignment horizontal="left"/>
    </xf>
    <xf numFmtId="9" fontId="3" fillId="0" borderId="0" xfId="0" applyNumberFormat="1" applyFont="1" applyBorder="1" applyAlignment="1">
      <alignment horizontal="left"/>
    </xf>
    <xf numFmtId="165" fontId="3" fillId="0" borderId="100" xfId="0" applyNumberFormat="1" applyFont="1" applyBorder="1" applyAlignment="1">
      <alignment horizontal="left"/>
    </xf>
    <xf numFmtId="165" fontId="3" fillId="0" borderId="101" xfId="0" applyNumberFormat="1" applyFont="1" applyBorder="1" applyAlignment="1">
      <alignment horizontal="left"/>
    </xf>
    <xf numFmtId="0" fontId="4" fillId="0" borderId="96" xfId="0" applyFont="1" applyBorder="1" applyAlignment="1">
      <alignment horizontal="left"/>
    </xf>
    <xf numFmtId="0" fontId="4" fillId="0" borderId="97" xfId="0" applyFont="1" applyBorder="1" applyAlignment="1">
      <alignment horizontal="left"/>
    </xf>
    <xf numFmtId="165" fontId="0" fillId="0" borderId="113" xfId="0" applyNumberFormat="1" applyFont="1" applyFill="1" applyBorder="1" applyAlignment="1">
      <alignment horizontal="left"/>
    </xf>
    <xf numFmtId="165" fontId="0" fillId="0" borderId="115" xfId="0" applyNumberFormat="1" applyFont="1" applyBorder="1" applyAlignment="1">
      <alignment horizontal="left"/>
    </xf>
    <xf numFmtId="168" fontId="3" fillId="0" borderId="99" xfId="0" applyNumberFormat="1" applyFont="1" applyBorder="1" applyAlignment="1">
      <alignment horizontal="left"/>
    </xf>
    <xf numFmtId="168" fontId="3" fillId="0" borderId="107" xfId="0" applyNumberFormat="1" applyFont="1" applyBorder="1" applyAlignment="1">
      <alignment horizontal="left"/>
    </xf>
    <xf numFmtId="10" fontId="3" fillId="0" borderId="116" xfId="0" applyNumberFormat="1" applyFont="1" applyBorder="1" applyAlignment="1">
      <alignment horizontal="center"/>
    </xf>
    <xf numFmtId="10" fontId="3" fillId="0" borderId="117" xfId="0" applyNumberFormat="1" applyFont="1" applyBorder="1" applyAlignment="1">
      <alignment horizontal="center"/>
    </xf>
    <xf numFmtId="0" fontId="2" fillId="0" borderId="0" xfId="0" applyFont="1" applyAlignment="1"/>
    <xf numFmtId="168" fontId="3" fillId="0" borderId="110" xfId="0" applyNumberFormat="1" applyFont="1" applyBorder="1" applyAlignment="1">
      <alignment horizontal="center"/>
    </xf>
    <xf numFmtId="168" fontId="3" fillId="0" borderId="118" xfId="0" applyNumberFormat="1" applyFont="1" applyBorder="1" applyAlignment="1">
      <alignment horizontal="center"/>
    </xf>
    <xf numFmtId="168" fontId="3" fillId="0" borderId="119" xfId="0" applyNumberFormat="1" applyFont="1" applyBorder="1" applyAlignment="1">
      <alignment horizontal="center"/>
    </xf>
    <xf numFmtId="0" fontId="4" fillId="0" borderId="95" xfId="0" applyFont="1" applyFill="1" applyBorder="1" applyAlignment="1">
      <alignment horizontal="left"/>
    </xf>
    <xf numFmtId="0" fontId="4" fillId="0" borderId="27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35" fillId="0" borderId="0" xfId="0" applyFont="1" applyFill="1" applyAlignment="1"/>
    <xf numFmtId="0" fontId="3" fillId="0" borderId="27" xfId="0" applyFont="1" applyFill="1" applyBorder="1" applyAlignment="1">
      <alignment horizontal="left"/>
    </xf>
    <xf numFmtId="0" fontId="3" fillId="0" borderId="35" xfId="0" applyFont="1" applyBorder="1"/>
    <xf numFmtId="0" fontId="3" fillId="0" borderId="36" xfId="0" applyFont="1" applyBorder="1"/>
    <xf numFmtId="168" fontId="3" fillId="0" borderId="36" xfId="0" applyNumberFormat="1" applyFont="1" applyBorder="1"/>
    <xf numFmtId="168" fontId="3" fillId="0" borderId="34" xfId="0" applyNumberFormat="1" applyFont="1" applyBorder="1"/>
    <xf numFmtId="0" fontId="3" fillId="0" borderId="112" xfId="0" applyFont="1" applyBorder="1"/>
    <xf numFmtId="0" fontId="3" fillId="0" borderId="113" xfId="0" applyFont="1" applyBorder="1"/>
    <xf numFmtId="43" fontId="3" fillId="0" borderId="113" xfId="0" applyNumberFormat="1" applyFont="1" applyBorder="1"/>
    <xf numFmtId="43" fontId="3" fillId="0" borderId="114" xfId="0" applyNumberFormat="1" applyFont="1" applyBorder="1"/>
    <xf numFmtId="168" fontId="0" fillId="5" borderId="0" xfId="0" applyNumberFormat="1" applyFont="1" applyFill="1" applyBorder="1"/>
    <xf numFmtId="0" fontId="3" fillId="0" borderId="0" xfId="0" applyFont="1" applyFill="1" applyBorder="1"/>
    <xf numFmtId="0" fontId="2" fillId="0" borderId="0" xfId="0" applyFont="1" applyFill="1"/>
    <xf numFmtId="165" fontId="0" fillId="0" borderId="0" xfId="0" applyNumberFormat="1" applyFont="1" applyFill="1" applyBorder="1"/>
    <xf numFmtId="165" fontId="0" fillId="0" borderId="99" xfId="0" applyNumberFormat="1" applyFont="1" applyFill="1" applyBorder="1" applyAlignment="1"/>
    <xf numFmtId="165" fontId="0" fillId="0" borderId="0" xfId="0" applyNumberFormat="1" applyFont="1" applyFill="1"/>
    <xf numFmtId="0" fontId="35" fillId="10" borderId="0" xfId="0" applyFont="1" applyFill="1"/>
    <xf numFmtId="0" fontId="2" fillId="0" borderId="0" xfId="0" applyFont="1" applyFill="1" applyAlignment="1"/>
    <xf numFmtId="168" fontId="2" fillId="0" borderId="0" xfId="0" applyNumberFormat="1" applyFont="1" applyFill="1" applyBorder="1" applyAlignment="1">
      <alignment horizontal="left"/>
    </xf>
    <xf numFmtId="166" fontId="3" fillId="0" borderId="0" xfId="0" applyNumberFormat="1" applyFont="1"/>
    <xf numFmtId="166" fontId="26" fillId="0" borderId="0" xfId="0" applyNumberFormat="1" applyFont="1" applyFill="1"/>
    <xf numFmtId="0" fontId="18" fillId="0" borderId="0" xfId="0" applyFont="1"/>
    <xf numFmtId="165" fontId="0" fillId="0" borderId="0" xfId="0" applyNumberFormat="1" applyFont="1" applyFill="1" applyAlignment="1"/>
    <xf numFmtId="168" fontId="3" fillId="0" borderId="37" xfId="0" applyNumberFormat="1" applyFont="1" applyFill="1" applyBorder="1" applyAlignment="1">
      <alignment horizontal="center"/>
    </xf>
    <xf numFmtId="0" fontId="11" fillId="0" borderId="0" xfId="0" applyFont="1" applyFill="1"/>
    <xf numFmtId="168" fontId="3" fillId="0" borderId="36" xfId="0" applyNumberFormat="1" applyFont="1" applyFill="1" applyBorder="1" applyAlignment="1">
      <alignment horizontal="center"/>
    </xf>
    <xf numFmtId="168" fontId="3" fillId="0" borderId="38" xfId="0" applyNumberFormat="1" applyFont="1" applyFill="1" applyBorder="1" applyAlignment="1">
      <alignment horizontal="center"/>
    </xf>
    <xf numFmtId="168" fontId="3" fillId="0" borderId="26" xfId="0" applyNumberFormat="1" applyFont="1" applyFill="1" applyBorder="1" applyAlignment="1">
      <alignment horizontal="center"/>
    </xf>
    <xf numFmtId="168" fontId="3" fillId="0" borderId="0" xfId="0" applyNumberFormat="1" applyFont="1" applyFill="1" applyBorder="1" applyAlignment="1">
      <alignment horizontal="center"/>
    </xf>
    <xf numFmtId="168" fontId="5" fillId="0" borderId="0" xfId="0" applyNumberFormat="1" applyFont="1" applyFill="1" applyBorder="1"/>
    <xf numFmtId="168" fontId="3" fillId="0" borderId="28" xfId="0" applyNumberFormat="1" applyFont="1" applyFill="1" applyBorder="1" applyAlignment="1">
      <alignment horizontal="left"/>
    </xf>
    <xf numFmtId="168" fontId="4" fillId="0" borderId="28" xfId="0" applyNumberFormat="1" applyFont="1" applyFill="1" applyBorder="1" applyAlignment="1">
      <alignment horizontal="left"/>
    </xf>
    <xf numFmtId="168" fontId="3" fillId="0" borderId="118" xfId="0" applyNumberFormat="1" applyFont="1" applyFill="1" applyBorder="1" applyAlignment="1">
      <alignment horizontal="center"/>
    </xf>
    <xf numFmtId="168" fontId="3" fillId="0" borderId="48" xfId="0" applyNumberFormat="1" applyFont="1" applyFill="1" applyBorder="1" applyAlignment="1">
      <alignment horizontal="center"/>
    </xf>
    <xf numFmtId="179" fontId="22" fillId="0" borderId="74" xfId="65" applyNumberFormat="1" applyFont="1" applyFill="1" applyBorder="1" applyAlignment="1">
      <alignment horizontal="center"/>
    </xf>
    <xf numFmtId="179" fontId="22" fillId="0" borderId="81" xfId="65" applyNumberFormat="1" applyFont="1" applyFill="1" applyBorder="1" applyAlignment="1">
      <alignment horizontal="center"/>
    </xf>
    <xf numFmtId="179" fontId="22" fillId="0" borderId="82" xfId="65" applyNumberFormat="1" applyFont="1" applyFill="1" applyBorder="1" applyAlignment="1">
      <alignment horizontal="center"/>
    </xf>
    <xf numFmtId="179" fontId="20" fillId="0" borderId="61" xfId="65" applyNumberFormat="1" applyFont="1" applyFill="1" applyBorder="1"/>
    <xf numFmtId="179" fontId="20" fillId="0" borderId="73" xfId="65" applyNumberFormat="1" applyFont="1" applyFill="1" applyBorder="1"/>
    <xf numFmtId="179" fontId="22" fillId="0" borderId="61" xfId="65" applyNumberFormat="1" applyFont="1" applyFill="1" applyBorder="1"/>
    <xf numFmtId="179" fontId="20" fillId="0" borderId="74" xfId="65" applyNumberFormat="1" applyFont="1" applyFill="1" applyBorder="1"/>
    <xf numFmtId="179" fontId="20" fillId="0" borderId="75" xfId="65" applyNumberFormat="1" applyFont="1" applyFill="1" applyBorder="1"/>
    <xf numFmtId="179" fontId="20" fillId="0" borderId="76" xfId="65" applyNumberFormat="1" applyFont="1" applyFill="1" applyBorder="1"/>
    <xf numFmtId="179" fontId="31" fillId="0" borderId="78" xfId="65" applyNumberFormat="1" applyFont="1" applyFill="1" applyBorder="1"/>
    <xf numFmtId="0" fontId="0" fillId="0" borderId="0" xfId="0" applyFont="1" applyFill="1" applyAlignment="1">
      <alignment horizontal="left"/>
    </xf>
    <xf numFmtId="0" fontId="3" fillId="0" borderId="0" xfId="0" applyFont="1" applyFill="1" applyAlignment="1">
      <alignment horizontal="center"/>
    </xf>
    <xf numFmtId="0" fontId="3" fillId="0" borderId="41" xfId="0" applyFont="1" applyFill="1" applyBorder="1" applyAlignment="1">
      <alignment horizontal="left"/>
    </xf>
    <xf numFmtId="165" fontId="0" fillId="0" borderId="95" xfId="0" applyNumberFormat="1" applyFont="1" applyFill="1" applyBorder="1" applyAlignment="1">
      <alignment horizontal="left"/>
    </xf>
    <xf numFmtId="165" fontId="0" fillId="0" borderId="112" xfId="0" applyNumberFormat="1" applyFont="1" applyFill="1" applyBorder="1" applyAlignment="1">
      <alignment horizontal="left"/>
    </xf>
    <xf numFmtId="0" fontId="3" fillId="0" borderId="108" xfId="0" applyFont="1" applyFill="1" applyBorder="1" applyAlignment="1">
      <alignment horizontal="left"/>
    </xf>
    <xf numFmtId="165" fontId="0" fillId="0" borderId="98" xfId="0" applyNumberFormat="1" applyFont="1" applyFill="1" applyBorder="1" applyAlignment="1">
      <alignment horizontal="left"/>
    </xf>
    <xf numFmtId="165" fontId="3" fillId="0" borderId="98" xfId="0" applyNumberFormat="1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left"/>
    </xf>
    <xf numFmtId="165" fontId="3" fillId="0" borderId="113" xfId="0" applyNumberFormat="1" applyFont="1" applyFill="1" applyBorder="1" applyAlignment="1">
      <alignment horizontal="left"/>
    </xf>
    <xf numFmtId="0" fontId="4" fillId="0" borderId="109" xfId="0" applyFont="1" applyFill="1" applyBorder="1" applyAlignment="1">
      <alignment horizontal="left"/>
    </xf>
    <xf numFmtId="165" fontId="0" fillId="0" borderId="103" xfId="0" applyNumberFormat="1" applyFont="1" applyFill="1" applyBorder="1" applyAlignment="1">
      <alignment horizontal="left"/>
    </xf>
    <xf numFmtId="0" fontId="4" fillId="11" borderId="28" xfId="0" applyFont="1" applyFill="1" applyBorder="1" applyAlignment="1">
      <alignment horizontal="left"/>
    </xf>
    <xf numFmtId="0" fontId="3" fillId="11" borderId="18" xfId="0" applyFont="1" applyFill="1" applyBorder="1" applyAlignment="1">
      <alignment horizontal="left"/>
    </xf>
    <xf numFmtId="0" fontId="4" fillId="11" borderId="29" xfId="0" applyFont="1" applyFill="1" applyBorder="1" applyAlignment="1">
      <alignment horizontal="left"/>
    </xf>
    <xf numFmtId="0" fontId="4" fillId="11" borderId="51" xfId="0" applyFont="1" applyFill="1" applyBorder="1" applyAlignment="1">
      <alignment horizontal="left"/>
    </xf>
    <xf numFmtId="0" fontId="4" fillId="11" borderId="27" xfId="0" applyFont="1" applyFill="1" applyBorder="1" applyAlignment="1">
      <alignment horizontal="left"/>
    </xf>
    <xf numFmtId="0" fontId="4" fillId="11" borderId="110" xfId="0" applyFont="1" applyFill="1" applyBorder="1" applyAlignment="1">
      <alignment horizontal="left"/>
    </xf>
    <xf numFmtId="0" fontId="3" fillId="11" borderId="38" xfId="0" applyFont="1" applyFill="1" applyBorder="1" applyAlignment="1">
      <alignment horizontal="left"/>
    </xf>
    <xf numFmtId="0" fontId="3" fillId="11" borderId="111" xfId="0" applyFont="1" applyFill="1" applyBorder="1" applyAlignment="1">
      <alignment horizontal="left"/>
    </xf>
    <xf numFmtId="0" fontId="9" fillId="11" borderId="31" xfId="0" applyFont="1" applyFill="1" applyBorder="1" applyAlignment="1">
      <alignment horizontal="left"/>
    </xf>
    <xf numFmtId="0" fontId="9" fillId="11" borderId="30" xfId="0" applyFont="1" applyFill="1" applyBorder="1" applyAlignment="1">
      <alignment horizontal="center"/>
    </xf>
    <xf numFmtId="0" fontId="9" fillId="11" borderId="21" xfId="0" applyFont="1" applyFill="1" applyBorder="1" applyAlignment="1">
      <alignment horizontal="center"/>
    </xf>
    <xf numFmtId="0" fontId="9" fillId="11" borderId="41" xfId="0" applyFont="1" applyFill="1" applyBorder="1" applyAlignment="1">
      <alignment horizontal="left"/>
    </xf>
    <xf numFmtId="0" fontId="9" fillId="11" borderId="32" xfId="0" applyFont="1" applyFill="1" applyBorder="1" applyAlignment="1">
      <alignment horizontal="center"/>
    </xf>
    <xf numFmtId="0" fontId="9" fillId="11" borderId="42" xfId="0" applyFont="1" applyFill="1" applyBorder="1" applyAlignment="1">
      <alignment horizontal="center"/>
    </xf>
    <xf numFmtId="0" fontId="4" fillId="11" borderId="43" xfId="0" applyFont="1" applyFill="1" applyBorder="1" applyAlignment="1">
      <alignment horizontal="center"/>
    </xf>
    <xf numFmtId="0" fontId="4" fillId="11" borderId="23" xfId="0" applyFont="1" applyFill="1" applyBorder="1" applyAlignment="1">
      <alignment horizontal="center" wrapText="1"/>
    </xf>
    <xf numFmtId="0" fontId="4" fillId="11" borderId="23" xfId="0" applyFont="1" applyFill="1" applyBorder="1" applyAlignment="1">
      <alignment horizontal="center"/>
    </xf>
    <xf numFmtId="0" fontId="4" fillId="11" borderId="24" xfId="0" applyFont="1" applyFill="1" applyBorder="1" applyAlignment="1">
      <alignment horizontal="center"/>
    </xf>
    <xf numFmtId="0" fontId="9" fillId="11" borderId="18" xfId="0" applyFont="1" applyFill="1" applyBorder="1"/>
    <xf numFmtId="0" fontId="9" fillId="11" borderId="22" xfId="0" applyFont="1" applyFill="1" applyBorder="1"/>
    <xf numFmtId="0" fontId="4" fillId="11" borderId="29" xfId="0" applyFont="1" applyFill="1" applyBorder="1" applyAlignment="1">
      <alignment horizontal="center"/>
    </xf>
    <xf numFmtId="0" fontId="9" fillId="11" borderId="31" xfId="0" applyFont="1" applyFill="1" applyBorder="1" applyAlignment="1">
      <alignment horizontal="center"/>
    </xf>
    <xf numFmtId="0" fontId="4" fillId="11" borderId="27" xfId="0" applyFont="1" applyFill="1" applyBorder="1" applyAlignment="1">
      <alignment horizontal="center"/>
    </xf>
    <xf numFmtId="0" fontId="4" fillId="11" borderId="34" xfId="0" applyFont="1" applyFill="1" applyBorder="1" applyAlignment="1">
      <alignment horizontal="center"/>
    </xf>
    <xf numFmtId="0" fontId="0" fillId="11" borderId="104" xfId="0" applyFill="1" applyBorder="1"/>
    <xf numFmtId="0" fontId="3" fillId="11" borderId="102" xfId="0" applyFont="1" applyFill="1" applyBorder="1"/>
    <xf numFmtId="0" fontId="3" fillId="11" borderId="83" xfId="0" applyFont="1" applyFill="1" applyBorder="1"/>
    <xf numFmtId="165" fontId="0" fillId="11" borderId="102" xfId="0" applyNumberFormat="1" applyFont="1" applyFill="1" applyBorder="1"/>
    <xf numFmtId="0" fontId="3" fillId="11" borderId="105" xfId="0" applyFont="1" applyFill="1" applyBorder="1" applyAlignment="1">
      <alignment horizontal="center"/>
    </xf>
    <xf numFmtId="0" fontId="3" fillId="11" borderId="106" xfId="0" applyFont="1" applyFill="1" applyBorder="1" applyAlignment="1">
      <alignment horizontal="center"/>
    </xf>
    <xf numFmtId="0" fontId="28" fillId="11" borderId="102" xfId="0" applyFont="1" applyFill="1" applyBorder="1"/>
    <xf numFmtId="0" fontId="4" fillId="12" borderId="23" xfId="0" applyFont="1" applyFill="1" applyBorder="1" applyAlignment="1">
      <alignment horizontal="center" wrapText="1"/>
    </xf>
    <xf numFmtId="0" fontId="4" fillId="13" borderId="23" xfId="0" applyFont="1" applyFill="1" applyBorder="1" applyAlignment="1">
      <alignment horizontal="center" wrapText="1"/>
    </xf>
    <xf numFmtId="0" fontId="4" fillId="11" borderId="34" xfId="0" applyFont="1" applyFill="1" applyBorder="1" applyAlignment="1">
      <alignment horizontal="center" wrapText="1"/>
    </xf>
    <xf numFmtId="0" fontId="4" fillId="11" borderId="24" xfId="0" applyFont="1" applyFill="1" applyBorder="1" applyAlignment="1">
      <alignment horizontal="center" wrapText="1"/>
    </xf>
    <xf numFmtId="0" fontId="22" fillId="11" borderId="9" xfId="0" applyFont="1" applyFill="1" applyBorder="1" applyAlignment="1">
      <alignment horizontal="center" vertical="center" wrapText="1"/>
    </xf>
    <xf numFmtId="0" fontId="9" fillId="11" borderId="53" xfId="0" applyFont="1" applyFill="1" applyBorder="1" applyAlignment="1">
      <alignment horizontal="left"/>
    </xf>
    <xf numFmtId="0" fontId="9" fillId="11" borderId="54" xfId="0" applyFont="1" applyFill="1" applyBorder="1" applyAlignment="1">
      <alignment horizontal="left"/>
    </xf>
    <xf numFmtId="0" fontId="4" fillId="11" borderId="55" xfId="0" applyFont="1" applyFill="1" applyBorder="1" applyAlignment="1">
      <alignment horizontal="center"/>
    </xf>
    <xf numFmtId="0" fontId="4" fillId="11" borderId="56" xfId="0" applyFont="1" applyFill="1" applyBorder="1" applyAlignment="1">
      <alignment horizontal="center"/>
    </xf>
    <xf numFmtId="0" fontId="4" fillId="11" borderId="57" xfId="0" applyFont="1" applyFill="1" applyBorder="1" applyAlignment="1">
      <alignment horizontal="center"/>
    </xf>
    <xf numFmtId="0" fontId="4" fillId="11" borderId="58" xfId="0" applyFont="1" applyFill="1" applyBorder="1" applyAlignment="1">
      <alignment horizontal="center"/>
    </xf>
    <xf numFmtId="0" fontId="4" fillId="11" borderId="59" xfId="0" applyFont="1" applyFill="1" applyBorder="1" applyAlignment="1">
      <alignment horizontal="center"/>
    </xf>
    <xf numFmtId="0" fontId="4" fillId="11" borderId="60" xfId="0" applyFont="1" applyFill="1" applyBorder="1" applyAlignment="1">
      <alignment horizontal="center"/>
    </xf>
    <xf numFmtId="0" fontId="9" fillId="11" borderId="18" xfId="0" applyFont="1" applyFill="1" applyBorder="1" applyAlignment="1">
      <alignment horizontal="left"/>
    </xf>
    <xf numFmtId="0" fontId="9" fillId="11" borderId="29" xfId="0" applyFont="1" applyFill="1" applyBorder="1" applyAlignment="1">
      <alignment horizontal="center"/>
    </xf>
    <xf numFmtId="0" fontId="9" fillId="11" borderId="51" xfId="0" applyFont="1" applyFill="1" applyBorder="1" applyAlignment="1">
      <alignment horizontal="center"/>
    </xf>
    <xf numFmtId="0" fontId="4" fillId="11" borderId="28" xfId="0" applyFont="1" applyFill="1" applyBorder="1" applyAlignment="1">
      <alignment horizontal="center"/>
    </xf>
    <xf numFmtId="0" fontId="4" fillId="11" borderId="37" xfId="0" applyFont="1" applyFill="1" applyBorder="1" applyAlignment="1">
      <alignment horizontal="center"/>
    </xf>
    <xf numFmtId="0" fontId="4" fillId="11" borderId="0" xfId="0" applyFont="1" applyFill="1" applyAlignment="1">
      <alignment horizontal="center"/>
    </xf>
    <xf numFmtId="0" fontId="9" fillId="11" borderId="19" xfId="0" applyFont="1" applyFill="1" applyBorder="1" applyAlignment="1">
      <alignment horizontal="center"/>
    </xf>
    <xf numFmtId="0" fontId="3" fillId="11" borderId="27" xfId="0" applyFont="1" applyFill="1" applyBorder="1"/>
    <xf numFmtId="0" fontId="4" fillId="11" borderId="36" xfId="0" applyFont="1" applyFill="1" applyBorder="1" applyAlignment="1">
      <alignment horizontal="center"/>
    </xf>
    <xf numFmtId="0" fontId="3" fillId="11" borderId="43" xfId="0" applyFont="1" applyFill="1" applyBorder="1"/>
    <xf numFmtId="0" fontId="4" fillId="11" borderId="38" xfId="0" applyFont="1" applyFill="1" applyBorder="1" applyAlignment="1">
      <alignment horizontal="center"/>
    </xf>
    <xf numFmtId="0" fontId="4" fillId="11" borderId="39" xfId="0" applyFont="1" applyFill="1" applyBorder="1" applyAlignment="1">
      <alignment horizontal="center"/>
    </xf>
    <xf numFmtId="168" fontId="3" fillId="0" borderId="45" xfId="0" applyNumberFormat="1" applyFont="1" applyFill="1" applyBorder="1" applyAlignment="1">
      <alignment horizontal="center"/>
    </xf>
    <xf numFmtId="0" fontId="0" fillId="0" borderId="0" xfId="0" applyFont="1" applyFill="1" applyAlignment="1"/>
    <xf numFmtId="168" fontId="3" fillId="0" borderId="35" xfId="0" applyNumberFormat="1" applyFont="1" applyFill="1" applyBorder="1" applyAlignment="1">
      <alignment horizontal="center"/>
    </xf>
    <xf numFmtId="168" fontId="3" fillId="0" borderId="33" xfId="0" applyNumberFormat="1" applyFont="1" applyFill="1" applyBorder="1" applyAlignment="1">
      <alignment horizontal="center"/>
    </xf>
    <xf numFmtId="168" fontId="3" fillId="0" borderId="47" xfId="0" applyNumberFormat="1" applyFont="1" applyFill="1" applyBorder="1" applyAlignment="1">
      <alignment horizontal="center"/>
    </xf>
    <xf numFmtId="168" fontId="3" fillId="0" borderId="50" xfId="0" applyNumberFormat="1" applyFont="1" applyFill="1" applyBorder="1" applyAlignment="1">
      <alignment horizontal="center"/>
    </xf>
    <xf numFmtId="168" fontId="3" fillId="0" borderId="2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168" fontId="24" fillId="0" borderId="1" xfId="0" applyNumberFormat="1" applyFont="1" applyFill="1" applyBorder="1"/>
    <xf numFmtId="0" fontId="3" fillId="0" borderId="1" xfId="0" applyFont="1" applyFill="1" applyBorder="1" applyAlignment="1">
      <alignment horizontal="center"/>
    </xf>
    <xf numFmtId="9" fontId="29" fillId="0" borderId="1" xfId="0" applyNumberFormat="1" applyFont="1" applyFill="1" applyBorder="1"/>
    <xf numFmtId="178" fontId="3" fillId="0" borderId="0" xfId="0" applyNumberFormat="1" applyFont="1" applyFill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168" fontId="24" fillId="0" borderId="37" xfId="0" applyNumberFormat="1" applyFont="1" applyFill="1" applyBorder="1" applyAlignment="1">
      <alignment horizontal="center"/>
    </xf>
    <xf numFmtId="0" fontId="24" fillId="0" borderId="49" xfId="0" applyFont="1" applyFill="1" applyBorder="1" applyAlignment="1">
      <alignment horizontal="center"/>
    </xf>
    <xf numFmtId="168" fontId="24" fillId="0" borderId="50" xfId="0" applyNumberFormat="1" applyFont="1" applyFill="1" applyBorder="1" applyAlignment="1">
      <alignment horizontal="center"/>
    </xf>
    <xf numFmtId="168" fontId="3" fillId="0" borderId="24" xfId="0" applyNumberFormat="1" applyFont="1" applyFill="1" applyBorder="1" applyAlignment="1">
      <alignment horizontal="center"/>
    </xf>
    <xf numFmtId="168" fontId="3" fillId="0" borderId="0" xfId="0" applyNumberFormat="1" applyFont="1" applyFill="1"/>
    <xf numFmtId="168" fontId="3" fillId="0" borderId="1" xfId="0" applyNumberFormat="1" applyFont="1" applyFill="1" applyBorder="1"/>
    <xf numFmtId="0" fontId="3" fillId="0" borderId="1" xfId="0" applyFont="1" applyFill="1" applyBorder="1"/>
    <xf numFmtId="0" fontId="24" fillId="0" borderId="83" xfId="0" applyFont="1" applyFill="1" applyBorder="1"/>
    <xf numFmtId="9" fontId="18" fillId="0" borderId="1" xfId="0" applyNumberFormat="1" applyFont="1" applyFill="1" applyBorder="1"/>
    <xf numFmtId="43" fontId="18" fillId="0" borderId="0" xfId="0" applyNumberFormat="1" applyFont="1" applyFill="1"/>
    <xf numFmtId="0" fontId="0" fillId="0" borderId="0" xfId="0" applyFont="1" applyFill="1"/>
    <xf numFmtId="0" fontId="0" fillId="0" borderId="83" xfId="0" applyFill="1" applyBorder="1" applyAlignment="1" applyProtection="1">
      <alignment horizontal="center"/>
    </xf>
    <xf numFmtId="9" fontId="30" fillId="0" borderId="83" xfId="0" applyNumberFormat="1" applyFont="1" applyFill="1" applyBorder="1"/>
    <xf numFmtId="0" fontId="24" fillId="0" borderId="0" xfId="0" applyFont="1" applyFill="1" applyAlignment="1" applyProtection="1">
      <alignment horizontal="center"/>
    </xf>
    <xf numFmtId="173" fontId="24" fillId="0" borderId="93" xfId="63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 horizontal="right"/>
    </xf>
    <xf numFmtId="166" fontId="0" fillId="0" borderId="0" xfId="0" applyNumberFormat="1" applyFont="1" applyFill="1"/>
    <xf numFmtId="0" fontId="4" fillId="0" borderId="18" xfId="0" applyFont="1" applyFill="1" applyBorder="1"/>
    <xf numFmtId="175" fontId="3" fillId="0" borderId="29" xfId="0" applyNumberFormat="1" applyFont="1" applyFill="1" applyBorder="1" applyAlignment="1">
      <alignment horizontal="center"/>
    </xf>
    <xf numFmtId="0" fontId="4" fillId="0" borderId="27" xfId="0" applyFont="1" applyFill="1" applyBorder="1"/>
    <xf numFmtId="0" fontId="3" fillId="0" borderId="27" xfId="0" applyFont="1" applyFill="1" applyBorder="1"/>
    <xf numFmtId="165" fontId="3" fillId="0" borderId="28" xfId="0" applyNumberFormat="1" applyFont="1" applyFill="1" applyBorder="1" applyAlignment="1">
      <alignment horizontal="center"/>
    </xf>
    <xf numFmtId="175" fontId="3" fillId="0" borderId="28" xfId="0" applyNumberFormat="1" applyFont="1" applyFill="1" applyBorder="1" applyAlignment="1">
      <alignment horizontal="center"/>
    </xf>
    <xf numFmtId="175" fontId="3" fillId="0" borderId="37" xfId="0" applyNumberFormat="1" applyFont="1" applyFill="1" applyBorder="1" applyAlignment="1">
      <alignment horizontal="center"/>
    </xf>
    <xf numFmtId="175" fontId="3" fillId="0" borderId="37" xfId="0" applyNumberFormat="1" applyFont="1" applyFill="1" applyBorder="1"/>
    <xf numFmtId="0" fontId="4" fillId="0" borderId="22" xfId="0" applyFont="1" applyFill="1" applyBorder="1"/>
    <xf numFmtId="168" fontId="3" fillId="0" borderId="23" xfId="0" applyNumberFormat="1" applyFont="1" applyFill="1" applyBorder="1"/>
    <xf numFmtId="0" fontId="4" fillId="0" borderId="0" xfId="0" applyFont="1" applyFill="1"/>
    <xf numFmtId="175" fontId="26" fillId="0" borderId="28" xfId="0" applyNumberFormat="1" applyFont="1" applyFill="1" applyBorder="1" applyAlignment="1">
      <alignment horizontal="center"/>
    </xf>
    <xf numFmtId="168" fontId="26" fillId="0" borderId="28" xfId="0" applyNumberFormat="1" applyFont="1" applyFill="1" applyBorder="1" applyAlignment="1">
      <alignment horizontal="center"/>
    </xf>
    <xf numFmtId="175" fontId="26" fillId="0" borderId="28" xfId="0" applyNumberFormat="1" applyFont="1" applyFill="1" applyBorder="1"/>
    <xf numFmtId="165" fontId="26" fillId="0" borderId="28" xfId="0" applyNumberFormat="1" applyFont="1" applyFill="1" applyBorder="1"/>
    <xf numFmtId="175" fontId="26" fillId="0" borderId="36" xfId="0" applyNumberFormat="1" applyFont="1" applyFill="1" applyBorder="1"/>
    <xf numFmtId="168" fontId="26" fillId="0" borderId="36" xfId="0" applyNumberFormat="1" applyFont="1" applyFill="1" applyBorder="1" applyAlignment="1">
      <alignment horizontal="center"/>
    </xf>
    <xf numFmtId="0" fontId="26" fillId="0" borderId="0" xfId="0" applyFont="1" applyFill="1" applyAlignment="1"/>
    <xf numFmtId="168" fontId="18" fillId="0" borderId="37" xfId="0" applyNumberFormat="1" applyFont="1" applyFill="1" applyBorder="1" applyAlignment="1">
      <alignment horizontal="center"/>
    </xf>
    <xf numFmtId="175" fontId="26" fillId="0" borderId="36" xfId="0" applyNumberFormat="1" applyFont="1" applyFill="1" applyBorder="1" applyAlignment="1">
      <alignment horizontal="center"/>
    </xf>
    <xf numFmtId="168" fontId="26" fillId="0" borderId="37" xfId="0" applyNumberFormat="1" applyFont="1" applyFill="1" applyBorder="1" applyAlignment="1">
      <alignment horizontal="center"/>
    </xf>
    <xf numFmtId="168" fontId="4" fillId="0" borderId="28" xfId="0" applyNumberFormat="1" applyFont="1" applyFill="1" applyBorder="1" applyAlignment="1">
      <alignment horizontal="center"/>
    </xf>
    <xf numFmtId="168" fontId="0" fillId="0" borderId="0" xfId="0" applyNumberFormat="1" applyFill="1" applyProtection="1"/>
    <xf numFmtId="0" fontId="4" fillId="0" borderId="0" xfId="0" applyFont="1" applyFill="1" applyAlignment="1"/>
    <xf numFmtId="166" fontId="0" fillId="0" borderId="0" xfId="0" applyNumberFormat="1" applyFont="1" applyFill="1" applyAlignment="1"/>
    <xf numFmtId="4" fontId="0" fillId="0" borderId="0" xfId="0" applyNumberFormat="1" applyFont="1" applyFill="1" applyAlignment="1"/>
    <xf numFmtId="0" fontId="4" fillId="0" borderId="44" xfId="0" applyFont="1" applyFill="1" applyBorder="1"/>
    <xf numFmtId="0" fontId="3" fillId="0" borderId="46" xfId="0" applyFont="1" applyFill="1" applyBorder="1"/>
    <xf numFmtId="0" fontId="3" fillId="0" borderId="46" xfId="0" applyFont="1" applyFill="1" applyBorder="1" applyAlignment="1">
      <alignment horizontal="left"/>
    </xf>
    <xf numFmtId="0" fontId="4" fillId="0" borderId="46" xfId="0" applyFont="1" applyFill="1" applyBorder="1"/>
    <xf numFmtId="0" fontId="4" fillId="0" borderId="46" xfId="0" applyFont="1" applyFill="1" applyBorder="1" applyAlignment="1">
      <alignment horizontal="left"/>
    </xf>
    <xf numFmtId="0" fontId="4" fillId="0" borderId="49" xfId="0" applyFont="1" applyFill="1" applyBorder="1"/>
    <xf numFmtId="0" fontId="24" fillId="0" borderId="0" xfId="0" applyFont="1" applyFill="1"/>
    <xf numFmtId="0" fontId="3" fillId="0" borderId="62" xfId="0" applyFont="1" applyFill="1" applyBorder="1"/>
    <xf numFmtId="168" fontId="4" fillId="0" borderId="33" xfId="0" applyNumberFormat="1" applyFont="1" applyFill="1" applyBorder="1" applyAlignment="1">
      <alignment horizontal="center"/>
    </xf>
    <xf numFmtId="9" fontId="3" fillId="0" borderId="37" xfId="0" applyNumberFormat="1" applyFont="1" applyFill="1" applyBorder="1" applyAlignment="1">
      <alignment horizontal="center"/>
    </xf>
    <xf numFmtId="0" fontId="4" fillId="0" borderId="40" xfId="0" applyFont="1" applyFill="1" applyBorder="1"/>
    <xf numFmtId="0" fontId="9" fillId="0" borderId="31" xfId="0" applyFont="1" applyFill="1" applyBorder="1" applyAlignment="1">
      <alignment horizontal="left"/>
    </xf>
    <xf numFmtId="0" fontId="9" fillId="0" borderId="30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168" fontId="3" fillId="0" borderId="28" xfId="0" applyNumberFormat="1" applyFont="1" applyFill="1" applyBorder="1"/>
    <xf numFmtId="10" fontId="3" fillId="0" borderId="23" xfId="0" applyNumberFormat="1" applyFont="1" applyFill="1" applyBorder="1"/>
    <xf numFmtId="0" fontId="9" fillId="0" borderId="0" xfId="0" applyFont="1" applyFill="1"/>
    <xf numFmtId="0" fontId="27" fillId="0" borderId="63" xfId="64" applyFont="1" applyFill="1" applyAlignment="1">
      <alignment horizontal="center"/>
    </xf>
    <xf numFmtId="0" fontId="19" fillId="0" borderId="63" xfId="64" applyFill="1"/>
    <xf numFmtId="9" fontId="19" fillId="0" borderId="63" xfId="64" applyNumberFormat="1" applyFill="1"/>
    <xf numFmtId="182" fontId="19" fillId="0" borderId="63" xfId="64" applyNumberFormat="1" applyFill="1"/>
    <xf numFmtId="168" fontId="3" fillId="0" borderId="34" xfId="0" applyNumberFormat="1" applyFont="1" applyFill="1" applyBorder="1" applyAlignment="1">
      <alignment horizontal="center"/>
    </xf>
    <xf numFmtId="168" fontId="24" fillId="0" borderId="94" xfId="0" applyNumberFormat="1" applyFont="1" applyFill="1" applyBorder="1" applyAlignment="1">
      <alignment horizontal="center"/>
    </xf>
    <xf numFmtId="9" fontId="3" fillId="0" borderId="28" xfId="0" applyNumberFormat="1" applyFont="1" applyFill="1" applyBorder="1" applyAlignment="1">
      <alignment horizontal="center"/>
    </xf>
    <xf numFmtId="9" fontId="3" fillId="0" borderId="28" xfId="0" applyNumberFormat="1" applyFont="1" applyFill="1" applyBorder="1"/>
    <xf numFmtId="168" fontId="4" fillId="0" borderId="23" xfId="0" applyNumberFormat="1" applyFont="1" applyFill="1" applyBorder="1" applyAlignment="1">
      <alignment horizontal="center"/>
    </xf>
    <xf numFmtId="9" fontId="4" fillId="0" borderId="23" xfId="0" applyNumberFormat="1" applyFont="1" applyFill="1" applyBorder="1" applyAlignment="1">
      <alignment horizontal="center"/>
    </xf>
    <xf numFmtId="9" fontId="4" fillId="0" borderId="24" xfId="0" applyNumberFormat="1" applyFont="1" applyFill="1" applyBorder="1" applyAlignment="1">
      <alignment horizontal="center"/>
    </xf>
    <xf numFmtId="169" fontId="4" fillId="0" borderId="0" xfId="0" applyNumberFormat="1" applyFont="1" applyFill="1" applyAlignment="1">
      <alignment horizontal="center"/>
    </xf>
    <xf numFmtId="1" fontId="4" fillId="0" borderId="0" xfId="0" applyNumberFormat="1" applyFont="1" applyFill="1" applyAlignment="1">
      <alignment horizontal="center"/>
    </xf>
    <xf numFmtId="0" fontId="9" fillId="0" borderId="52" xfId="0" applyFont="1" applyFill="1" applyBorder="1" applyAlignment="1">
      <alignment horizontal="left"/>
    </xf>
    <xf numFmtId="0" fontId="9" fillId="0" borderId="53" xfId="0" applyFont="1" applyFill="1" applyBorder="1" applyAlignment="1">
      <alignment horizontal="left"/>
    </xf>
    <xf numFmtId="0" fontId="24" fillId="11" borderId="27" xfId="0" applyFont="1" applyFill="1" applyBorder="1" applyAlignment="1">
      <alignment horizontal="center"/>
    </xf>
    <xf numFmtId="0" fontId="24" fillId="11" borderId="28" xfId="0" applyFont="1" applyFill="1" applyBorder="1" applyAlignment="1">
      <alignment horizontal="center"/>
    </xf>
    <xf numFmtId="0" fontId="24" fillId="11" borderId="37" xfId="0" applyFont="1" applyFill="1" applyBorder="1" applyAlignment="1">
      <alignment horizontal="center"/>
    </xf>
    <xf numFmtId="0" fontId="1" fillId="0" borderId="83" xfId="79" applyFill="1" applyBorder="1" applyAlignment="1">
      <alignment horizontal="center"/>
    </xf>
    <xf numFmtId="0" fontId="1" fillId="0" borderId="83" xfId="79" applyFill="1" applyBorder="1" applyAlignment="1">
      <alignment horizontal="left"/>
    </xf>
    <xf numFmtId="0" fontId="24" fillId="0" borderId="0" xfId="0" applyFont="1" applyFill="1" applyBorder="1" applyAlignment="1">
      <alignment horizontal="center"/>
    </xf>
    <xf numFmtId="179" fontId="22" fillId="0" borderId="0" xfId="65" applyNumberFormat="1" applyFont="1" applyFill="1" applyBorder="1"/>
    <xf numFmtId="15" fontId="26" fillId="0" borderId="83" xfId="0" applyNumberFormat="1" applyFont="1" applyFill="1" applyBorder="1" applyAlignment="1">
      <alignment horizontal="center"/>
    </xf>
    <xf numFmtId="179" fontId="20" fillId="0" borderId="83" xfId="65" applyNumberFormat="1" applyFont="1" applyFill="1" applyBorder="1"/>
    <xf numFmtId="15" fontId="26" fillId="0" borderId="86" xfId="0" applyNumberFormat="1" applyFont="1" applyFill="1" applyBorder="1" applyAlignment="1">
      <alignment horizontal="center"/>
    </xf>
    <xf numFmtId="15" fontId="26" fillId="0" borderId="84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0" xfId="0" applyFill="1"/>
    <xf numFmtId="0" fontId="0" fillId="0" borderId="9" xfId="0" applyFont="1" applyFill="1" applyBorder="1" applyAlignment="1">
      <alignment horizontal="center"/>
    </xf>
    <xf numFmtId="3" fontId="0" fillId="0" borderId="9" xfId="0" applyNumberFormat="1" applyFont="1" applyFill="1" applyBorder="1" applyAlignment="1">
      <alignment horizontal="center"/>
    </xf>
    <xf numFmtId="3" fontId="22" fillId="0" borderId="9" xfId="0" applyNumberFormat="1" applyFont="1" applyFill="1" applyBorder="1" applyAlignment="1">
      <alignment horizontal="center"/>
    </xf>
    <xf numFmtId="0" fontId="32" fillId="0" borderId="0" xfId="0" applyFont="1" applyFill="1"/>
    <xf numFmtId="184" fontId="0" fillId="0" borderId="0" xfId="0" applyNumberFormat="1" applyFont="1" applyFill="1"/>
    <xf numFmtId="0" fontId="22" fillId="0" borderId="0" xfId="0" applyFont="1" applyFill="1"/>
    <xf numFmtId="168" fontId="3" fillId="0" borderId="13" xfId="0" applyNumberFormat="1" applyFont="1" applyFill="1" applyBorder="1"/>
    <xf numFmtId="0" fontId="0" fillId="0" borderId="104" xfId="0" applyFont="1" applyFill="1" applyBorder="1" applyAlignment="1">
      <alignment horizontal="center"/>
    </xf>
    <xf numFmtId="0" fontId="3" fillId="0" borderId="120" xfId="0" applyFont="1" applyFill="1" applyBorder="1" applyAlignment="1">
      <alignment horizontal="center"/>
    </xf>
    <xf numFmtId="166" fontId="18" fillId="0" borderId="0" xfId="0" applyNumberFormat="1" applyFont="1" applyFill="1" applyBorder="1"/>
    <xf numFmtId="165" fontId="3" fillId="0" borderId="38" xfId="0" applyNumberFormat="1" applyFont="1" applyFill="1" applyBorder="1" applyAlignment="1">
      <alignment horizontal="center"/>
    </xf>
    <xf numFmtId="169" fontId="3" fillId="0" borderId="38" xfId="0" applyNumberFormat="1" applyFont="1" applyFill="1" applyBorder="1" applyAlignment="1">
      <alignment horizontal="center"/>
    </xf>
    <xf numFmtId="169" fontId="3" fillId="0" borderId="39" xfId="0" applyNumberFormat="1" applyFont="1" applyFill="1" applyBorder="1"/>
    <xf numFmtId="0" fontId="3" fillId="0" borderId="0" xfId="0" applyFont="1" applyFill="1" applyAlignment="1"/>
    <xf numFmtId="0" fontId="4" fillId="0" borderId="32" xfId="0" applyFont="1" applyFill="1" applyBorder="1"/>
    <xf numFmtId="0" fontId="3" fillId="0" borderId="32" xfId="0" applyFont="1" applyFill="1" applyBorder="1"/>
    <xf numFmtId="168" fontId="6" fillId="0" borderId="28" xfId="0" applyNumberFormat="1" applyFont="1" applyFill="1" applyBorder="1" applyAlignment="1">
      <alignment horizontal="center"/>
    </xf>
    <xf numFmtId="170" fontId="3" fillId="0" borderId="37" xfId="0" applyNumberFormat="1" applyFont="1" applyFill="1" applyBorder="1" applyAlignment="1">
      <alignment horizontal="center"/>
    </xf>
    <xf numFmtId="182" fontId="3" fillId="0" borderId="0" xfId="0" applyNumberFormat="1" applyFont="1" applyFill="1" applyAlignment="1"/>
    <xf numFmtId="0" fontId="30" fillId="0" borderId="95" xfId="0" applyFont="1" applyFill="1" applyBorder="1" applyAlignment="1">
      <alignment horizontal="left"/>
    </xf>
    <xf numFmtId="0" fontId="28" fillId="0" borderId="96" xfId="0" applyFont="1" applyFill="1" applyBorder="1" applyAlignment="1">
      <alignment horizontal="left"/>
    </xf>
    <xf numFmtId="0" fontId="28" fillId="0" borderId="97" xfId="0" applyFont="1" applyFill="1" applyBorder="1" applyAlignment="1">
      <alignment horizontal="left"/>
    </xf>
    <xf numFmtId="0" fontId="30" fillId="0" borderId="98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99" xfId="0" applyFont="1" applyFill="1" applyBorder="1" applyAlignment="1">
      <alignment horizontal="left"/>
    </xf>
    <xf numFmtId="168" fontId="3" fillId="0" borderId="98" xfId="0" applyNumberFormat="1" applyFont="1" applyFill="1" applyBorder="1" applyAlignment="1">
      <alignment horizontal="left"/>
    </xf>
    <xf numFmtId="185" fontId="0" fillId="0" borderId="0" xfId="0" applyNumberFormat="1" applyFont="1" applyFill="1" applyBorder="1" applyAlignment="1">
      <alignment horizontal="left"/>
    </xf>
    <xf numFmtId="185" fontId="0" fillId="0" borderId="99" xfId="0" applyNumberFormat="1" applyFont="1" applyFill="1" applyBorder="1" applyAlignment="1">
      <alignment horizontal="left"/>
    </xf>
    <xf numFmtId="0" fontId="3" fillId="0" borderId="98" xfId="0" applyFont="1" applyFill="1" applyBorder="1" applyAlignment="1">
      <alignment horizontal="left"/>
    </xf>
    <xf numFmtId="0" fontId="0" fillId="0" borderId="98" xfId="0" applyFont="1" applyFill="1" applyBorder="1" applyAlignment="1">
      <alignment horizontal="left"/>
    </xf>
    <xf numFmtId="185" fontId="3" fillId="0" borderId="0" xfId="0" applyNumberFormat="1" applyFont="1" applyFill="1" applyBorder="1" applyAlignment="1">
      <alignment horizontal="left"/>
    </xf>
    <xf numFmtId="0" fontId="34" fillId="0" borderId="98" xfId="0" applyFont="1" applyFill="1" applyBorder="1" applyAlignment="1">
      <alignment horizontal="left"/>
    </xf>
    <xf numFmtId="186" fontId="0" fillId="0" borderId="99" xfId="0" applyNumberFormat="1" applyFont="1" applyFill="1" applyBorder="1" applyAlignment="1">
      <alignment horizontal="left"/>
    </xf>
    <xf numFmtId="0" fontId="28" fillId="0" borderId="98" xfId="0" applyFont="1" applyFill="1" applyBorder="1" applyAlignment="1">
      <alignment horizontal="left"/>
    </xf>
    <xf numFmtId="0" fontId="28" fillId="0" borderId="103" xfId="0" applyFont="1" applyFill="1" applyBorder="1" applyAlignment="1">
      <alignment horizontal="left"/>
    </xf>
    <xf numFmtId="0" fontId="0" fillId="0" borderId="100" xfId="0" applyFont="1" applyFill="1" applyBorder="1" applyAlignment="1">
      <alignment horizontal="left"/>
    </xf>
    <xf numFmtId="185" fontId="0" fillId="0" borderId="101" xfId="0" applyNumberFormat="1" applyFont="1" applyFill="1" applyBorder="1" applyAlignment="1">
      <alignment horizontal="left"/>
    </xf>
    <xf numFmtId="177" fontId="3" fillId="0" borderId="0" xfId="0" applyNumberFormat="1" applyFont="1" applyFill="1" applyAlignment="1">
      <alignment horizontal="left"/>
    </xf>
    <xf numFmtId="0" fontId="24" fillId="0" borderId="95" xfId="0" applyFont="1" applyFill="1" applyBorder="1" applyAlignment="1">
      <alignment horizontal="left"/>
    </xf>
    <xf numFmtId="0" fontId="0" fillId="0" borderId="96" xfId="0" applyFont="1" applyFill="1" applyBorder="1" applyAlignment="1">
      <alignment horizontal="left"/>
    </xf>
    <xf numFmtId="0" fontId="3" fillId="0" borderId="97" xfId="0" applyFont="1" applyFill="1" applyBorder="1" applyAlignment="1">
      <alignment horizontal="left"/>
    </xf>
    <xf numFmtId="0" fontId="3" fillId="0" borderId="99" xfId="0" applyFont="1" applyFill="1" applyBorder="1" applyAlignment="1">
      <alignment horizontal="left"/>
    </xf>
    <xf numFmtId="165" fontId="3" fillId="0" borderId="99" xfId="0" applyNumberFormat="1" applyFont="1" applyFill="1" applyBorder="1" applyAlignment="1">
      <alignment horizontal="left"/>
    </xf>
    <xf numFmtId="0" fontId="3" fillId="0" borderId="103" xfId="0" applyFont="1" applyFill="1" applyBorder="1" applyAlignment="1">
      <alignment horizontal="left"/>
    </xf>
    <xf numFmtId="0" fontId="3" fillId="0" borderId="101" xfId="0" applyFont="1" applyFill="1" applyBorder="1" applyAlignment="1">
      <alignment horizontal="left"/>
    </xf>
    <xf numFmtId="175" fontId="3" fillId="0" borderId="28" xfId="0" applyNumberFormat="1" applyFont="1" applyFill="1" applyBorder="1" applyAlignment="1">
      <alignment horizontal="left"/>
    </xf>
    <xf numFmtId="165" fontId="0" fillId="0" borderId="0" xfId="0" applyNumberFormat="1" applyFont="1" applyFill="1" applyAlignment="1">
      <alignment horizontal="left"/>
    </xf>
    <xf numFmtId="168" fontId="3" fillId="0" borderId="37" xfId="0" applyNumberFormat="1" applyFont="1" applyFill="1" applyBorder="1" applyAlignment="1">
      <alignment horizontal="left"/>
    </xf>
    <xf numFmtId="0" fontId="3" fillId="0" borderId="96" xfId="0" applyFont="1" applyFill="1" applyBorder="1" applyAlignment="1">
      <alignment horizontal="left"/>
    </xf>
    <xf numFmtId="0" fontId="0" fillId="0" borderId="97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165" fontId="0" fillId="0" borderId="99" xfId="0" applyNumberFormat="1" applyFont="1" applyFill="1" applyBorder="1" applyAlignment="1">
      <alignment horizontal="left"/>
    </xf>
    <xf numFmtId="0" fontId="0" fillId="0" borderId="0" xfId="0" applyFont="1" applyFill="1" applyBorder="1" applyAlignment="1"/>
    <xf numFmtId="0" fontId="0" fillId="0" borderId="99" xfId="0" applyFont="1" applyFill="1" applyBorder="1" applyAlignment="1"/>
    <xf numFmtId="0" fontId="3" fillId="0" borderId="100" xfId="0" applyFont="1" applyFill="1" applyBorder="1" applyAlignment="1">
      <alignment horizontal="left"/>
    </xf>
    <xf numFmtId="0" fontId="0" fillId="0" borderId="100" xfId="0" applyFont="1" applyFill="1" applyBorder="1" applyAlignment="1">
      <alignment horizontal="right"/>
    </xf>
    <xf numFmtId="0" fontId="3" fillId="4" borderId="6" xfId="0" applyFont="1" applyFill="1" applyBorder="1" applyAlignment="1">
      <alignment horizontal="center"/>
    </xf>
    <xf numFmtId="0" fontId="8" fillId="0" borderId="7" xfId="0" applyFont="1" applyBorder="1"/>
    <xf numFmtId="0" fontId="8" fillId="0" borderId="8" xfId="0" applyFont="1" applyBorder="1"/>
    <xf numFmtId="0" fontId="21" fillId="0" borderId="0" xfId="65" applyFont="1" applyFill="1" applyBorder="1" applyAlignment="1">
      <alignment horizontal="left"/>
    </xf>
    <xf numFmtId="0" fontId="20" fillId="0" borderId="0" xfId="65" applyFont="1" applyFill="1" applyBorder="1" applyAlignment="1"/>
    <xf numFmtId="0" fontId="22" fillId="0" borderId="0" xfId="65" applyFont="1" applyFill="1" applyBorder="1" applyAlignment="1">
      <alignment horizontal="center" wrapText="1"/>
    </xf>
    <xf numFmtId="0" fontId="25" fillId="0" borderId="72" xfId="65" applyFont="1" applyFill="1" applyBorder="1" applyAlignment="1">
      <alignment horizontal="center"/>
    </xf>
    <xf numFmtId="0" fontId="23" fillId="0" borderId="11" xfId="65" applyFont="1" applyFill="1" applyBorder="1"/>
    <xf numFmtId="0" fontId="24" fillId="0" borderId="72" xfId="65" applyFont="1" applyFill="1" applyBorder="1" applyAlignment="1">
      <alignment horizontal="center"/>
    </xf>
    <xf numFmtId="0" fontId="24" fillId="5" borderId="72" xfId="65" applyFont="1" applyFill="1" applyBorder="1" applyAlignment="1">
      <alignment horizontal="center"/>
    </xf>
    <xf numFmtId="0" fontId="24" fillId="0" borderId="72" xfId="65" applyFont="1" applyFill="1" applyBorder="1" applyAlignment="1">
      <alignment horizontal="center" wrapText="1"/>
    </xf>
    <xf numFmtId="0" fontId="24" fillId="5" borderId="72" xfId="65" applyFont="1" applyFill="1" applyBorder="1" applyAlignment="1">
      <alignment horizontal="center" wrapText="1"/>
    </xf>
    <xf numFmtId="0" fontId="4" fillId="11" borderId="19" xfId="0" applyFont="1" applyFill="1" applyBorder="1" applyAlignment="1">
      <alignment horizontal="center"/>
    </xf>
    <xf numFmtId="0" fontId="8" fillId="11" borderId="20" xfId="0" applyFont="1" applyFill="1" applyBorder="1"/>
    <xf numFmtId="0" fontId="8" fillId="11" borderId="21" xfId="0" applyFont="1" applyFill="1" applyBorder="1"/>
    <xf numFmtId="0" fontId="8" fillId="11" borderId="30" xfId="0" applyFont="1" applyFill="1" applyBorder="1"/>
    <xf numFmtId="0" fontId="4" fillId="11" borderId="83" xfId="0" applyFont="1" applyFill="1" applyBorder="1" applyAlignment="1">
      <alignment horizontal="center" vertical="center" wrapText="1"/>
    </xf>
    <xf numFmtId="0" fontId="4" fillId="11" borderId="112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/>
    <xf numFmtId="0" fontId="0" fillId="0" borderId="0" xfId="0" applyFont="1" applyAlignment="1"/>
    <xf numFmtId="0" fontId="22" fillId="0" borderId="74" xfId="0" applyFont="1" applyFill="1" applyBorder="1" applyAlignment="1">
      <alignment horizontal="center"/>
    </xf>
    <xf numFmtId="0" fontId="23" fillId="0" borderId="81" xfId="0" applyFont="1" applyFill="1" applyBorder="1"/>
    <xf numFmtId="0" fontId="23" fillId="0" borderId="10" xfId="0" applyFont="1" applyFill="1" applyBorder="1"/>
    <xf numFmtId="0" fontId="24" fillId="11" borderId="36" xfId="0" applyFont="1" applyFill="1" applyBorder="1" applyAlignment="1">
      <alignment horizontal="center"/>
    </xf>
    <xf numFmtId="0" fontId="26" fillId="11" borderId="47" xfId="0" applyFont="1" applyFill="1" applyBorder="1" applyAlignment="1">
      <alignment horizontal="center"/>
    </xf>
    <xf numFmtId="0" fontId="26" fillId="11" borderId="42" xfId="0" applyFont="1" applyFill="1" applyBorder="1" applyAlignment="1">
      <alignment horizontal="center"/>
    </xf>
    <xf numFmtId="43" fontId="3" fillId="0" borderId="0" xfId="0" applyNumberFormat="1" applyFont="1" applyFill="1"/>
    <xf numFmtId="10" fontId="3" fillId="0" borderId="5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9" fontId="0" fillId="0" borderId="0" xfId="68" applyFont="1" applyFill="1" applyBorder="1" applyAlignment="1">
      <alignment horizontal="center"/>
    </xf>
    <xf numFmtId="174" fontId="0" fillId="0" borderId="0" xfId="0" applyNumberForma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9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182" fontId="0" fillId="0" borderId="0" xfId="0" applyNumberFormat="1" applyFill="1" applyBorder="1"/>
    <xf numFmtId="0" fontId="0" fillId="0" borderId="0" xfId="0" applyFill="1" applyBorder="1"/>
    <xf numFmtId="179" fontId="0" fillId="0" borderId="0" xfId="0" applyNumberFormat="1" applyFill="1" applyBorder="1"/>
    <xf numFmtId="173" fontId="3" fillId="0" borderId="0" xfId="0" applyNumberFormat="1" applyFont="1" applyBorder="1"/>
    <xf numFmtId="0" fontId="0" fillId="0" borderId="0" xfId="0" applyFill="1" applyBorder="1" applyAlignment="1">
      <alignment horizontal="right"/>
    </xf>
    <xf numFmtId="182" fontId="0" fillId="0" borderId="0" xfId="63" applyNumberFormat="1" applyFont="1" applyFill="1" applyBorder="1" applyProtection="1">
      <protection locked="0"/>
    </xf>
    <xf numFmtId="166" fontId="0" fillId="0" borderId="0" xfId="67" applyFont="1" applyFill="1" applyBorder="1" applyProtection="1">
      <protection locked="0"/>
    </xf>
    <xf numFmtId="0" fontId="3" fillId="0" borderId="0" xfId="0" applyFont="1" applyFill="1" applyBorder="1" applyAlignment="1">
      <alignment horizontal="right"/>
    </xf>
    <xf numFmtId="10" fontId="3" fillId="0" borderId="0" xfId="0" applyNumberFormat="1" applyFont="1" applyFill="1" applyBorder="1"/>
    <xf numFmtId="168" fontId="3" fillId="0" borderId="0" xfId="0" applyNumberFormat="1" applyFont="1" applyBorder="1"/>
    <xf numFmtId="0" fontId="24" fillId="0" borderId="27" xfId="0" applyFont="1" applyFill="1" applyBorder="1"/>
    <xf numFmtId="175" fontId="24" fillId="0" borderId="28" xfId="0" applyNumberFormat="1" applyFont="1" applyFill="1" applyBorder="1"/>
    <xf numFmtId="168" fontId="24" fillId="0" borderId="28" xfId="0" applyNumberFormat="1" applyFont="1" applyFill="1" applyBorder="1" applyAlignment="1">
      <alignment horizontal="center"/>
    </xf>
    <xf numFmtId="0" fontId="24" fillId="0" borderId="22" xfId="0" applyFont="1" applyFill="1" applyBorder="1"/>
    <xf numFmtId="168" fontId="24" fillId="0" borderId="23" xfId="0" applyNumberFormat="1" applyFont="1" applyFill="1" applyBorder="1"/>
  </cellXfs>
  <cellStyles count="92">
    <cellStyle name="40% - Énfasis4" xfId="79" builtinId="43"/>
    <cellStyle name="Entrada" xfId="64" builtinId="20"/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80" builtinId="8" hidden="1"/>
    <cellStyle name="Hipervínculo" xfId="82" builtinId="8" hidden="1"/>
    <cellStyle name="Hipervínculo" xfId="84" builtinId="8" hidden="1"/>
    <cellStyle name="Hipervínculo" xfId="86" builtinId="8" hidden="1"/>
    <cellStyle name="Hipervínculo" xfId="88" builtinId="8" hidden="1"/>
    <cellStyle name="Hipervínculo" xfId="90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1" builtinId="9" hidden="1"/>
    <cellStyle name="Hipervínculo visitado" xfId="83" builtinId="9" hidden="1"/>
    <cellStyle name="Hipervínculo visitado" xfId="85" builtinId="9" hidden="1"/>
    <cellStyle name="Hipervínculo visitado" xfId="87" builtinId="9" hidden="1"/>
    <cellStyle name="Hipervínculo visitado" xfId="89" builtinId="9" hidden="1"/>
    <cellStyle name="Hipervínculo visitado" xfId="91" builtinId="9" hidden="1"/>
    <cellStyle name="Millares" xfId="67" builtinId="3"/>
    <cellStyle name="Moneda" xfId="63" builtinId="4"/>
    <cellStyle name="Normal" xfId="0" builtinId="0"/>
    <cellStyle name="Normal 2" xfId="65"/>
    <cellStyle name="Normal 2 2" xfId="66"/>
    <cellStyle name="Porcentaje" xfId="68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18"/>
  <c:chart>
    <c:title>
      <c:tx>
        <c:rich>
          <a:bodyPr/>
          <a:lstStyle/>
          <a:p>
            <a:pPr lvl="0">
              <a:defRPr sz="1400" b="0" i="0">
                <a:solidFill>
                  <a:srgbClr val="595959"/>
                </a:solidFill>
              </a:defRPr>
            </a:pPr>
            <a:r>
              <a:rPr lang="en-US"/>
              <a:t>AÑO 1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5400" cmpd="sng">
              <a:solidFill>
                <a:srgbClr val="5B9BD5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5B9BD5"/>
              </a:solidFill>
              <a:ln cmpd="sng">
                <a:solidFill>
                  <a:srgbClr val="5B9BD5"/>
                </a:solidFill>
                <a:prstDash val="solid"/>
              </a:ln>
            </c:spPr>
          </c:marker>
          <c:cat>
            <c:numRef>
              <c:f>'E-Costos'!$A$147:$A$148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cat>
          <c:val>
            <c:numRef>
              <c:f>'E-Costos'!$B$147:$B$148</c:f>
              <c:numCache>
                <c:formatCode>_(\$* #,##0.00_);_(\$* \(#,##0.00\);_(\$* \-??_);_(@_)</c:formatCode>
                <c:ptCount val="2"/>
                <c:pt idx="0" formatCode="General">
                  <c:v>0</c:v>
                </c:pt>
                <c:pt idx="1">
                  <c:v>23051170.786887817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6BA-4F80-A9E4-68503DF0381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313304"/>
        <c:axId val="227315264"/>
      </c:lineChart>
      <c:catAx>
        <c:axId val="227313304"/>
        <c:scaling>
          <c:orientation val="minMax"/>
        </c:scaling>
        <c:delete val="0"/>
        <c:axPos val="b"/>
        <c:numFmt formatCode="0%" sourceLinked="1"/>
        <c:majorTickMark val="cross"/>
        <c:minorTickMark val="cross"/>
        <c:tickLblPos val="nextTo"/>
        <c:txPr>
          <a:bodyPr/>
          <a:lstStyle/>
          <a:p>
            <a:pPr lvl="0">
              <a:defRPr sz="900" b="0" i="0">
                <a:solidFill>
                  <a:srgbClr val="595959"/>
                </a:solidFill>
              </a:defRPr>
            </a:pPr>
            <a:endParaRPr lang="es-ES"/>
          </a:p>
        </c:txPr>
        <c:crossAx val="227315264"/>
        <c:crosses val="autoZero"/>
        <c:auto val="1"/>
        <c:lblAlgn val="ctr"/>
        <c:lblOffset val="100"/>
        <c:noMultiLvlLbl val="1"/>
      </c:catAx>
      <c:valAx>
        <c:axId val="227315264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900" b="0" i="0">
                <a:solidFill>
                  <a:srgbClr val="595959"/>
                </a:solidFill>
              </a:defRPr>
            </a:pPr>
            <a:endParaRPr lang="es-ES"/>
          </a:p>
        </c:txPr>
        <c:crossAx val="227313304"/>
        <c:crosses val="autoZero"/>
        <c:crossBetween val="between"/>
      </c:valAx>
      <c:spPr>
        <a:solidFill>
          <a:srgbClr val="FFFFFF"/>
        </a:solidFill>
      </c:spPr>
    </c:plotArea>
    <c:legend>
      <c:legendPos val="b"/>
      <c:overlay val="0"/>
      <c:txPr>
        <a:bodyPr/>
        <a:lstStyle/>
        <a:p>
          <a:pPr lvl="0">
            <a:defRPr sz="900">
              <a:solidFill>
                <a:srgbClr val="595959"/>
              </a:solidFill>
            </a:defRPr>
          </a:pPr>
          <a:endParaRPr lang="es-ES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18"/>
  <c:chart>
    <c:title>
      <c:tx>
        <c:rich>
          <a:bodyPr/>
          <a:lstStyle/>
          <a:p>
            <a:pPr lvl="0">
              <a:defRPr sz="1400" b="0" i="0">
                <a:solidFill>
                  <a:srgbClr val="595959"/>
                </a:solidFill>
              </a:defRPr>
            </a:pPr>
            <a:r>
              <a:rPr lang="en-US"/>
              <a:t>AÑO 2</a:t>
            </a:r>
          </a:p>
        </c:rich>
      </c:tx>
      <c:overlay val="0"/>
    </c:title>
    <c:autoTitleDeleted val="0"/>
    <c:plotArea>
      <c:layout/>
      <c:lineChart>
        <c:grouping val="standard"/>
        <c:varyColors val="1"/>
        <c:ser>
          <c:idx val="0"/>
          <c:order val="0"/>
          <c:tx>
            <c:strRef>
              <c:f>'E-Costos'!$B$164</c:f>
              <c:strCache>
                <c:ptCount val="1"/>
                <c:pt idx="0">
                  <c:v>Vtas</c:v>
                </c:pt>
              </c:strCache>
            </c:strRef>
          </c:tx>
          <c:spPr>
            <a:ln w="25400" cmpd="sng">
              <a:solidFill>
                <a:srgbClr val="5B9BD5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5B9BD5"/>
              </a:solidFill>
              <a:ln cmpd="sng">
                <a:solidFill>
                  <a:srgbClr val="5B9BD5"/>
                </a:solidFill>
                <a:prstDash val="solid"/>
              </a:ln>
            </c:spPr>
          </c:marker>
          <c:cat>
            <c:numRef>
              <c:f>'E-Costos'!$A$147:$A$148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cat>
          <c:val>
            <c:numRef>
              <c:f>'E-Costos'!$B$165:$B$166</c:f>
              <c:numCache>
                <c:formatCode>_(\$* #,##0.00_);_(\$* \(#,##0.00\);_(\$* \-??_);_(@_)</c:formatCode>
                <c:ptCount val="2"/>
                <c:pt idx="0" formatCode="General">
                  <c:v>0</c:v>
                </c:pt>
                <c:pt idx="1">
                  <c:v>31823005.5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82A-44F2-B4DD-3DD98C55FA51}"/>
            </c:ext>
          </c:extLst>
        </c:ser>
        <c:ser>
          <c:idx val="1"/>
          <c:order val="1"/>
          <c:tx>
            <c:strRef>
              <c:f>'E-Costos'!$D$164</c:f>
              <c:strCache>
                <c:ptCount val="1"/>
                <c:pt idx="0">
                  <c:v>Totales</c:v>
                </c:pt>
              </c:strCache>
            </c:strRef>
          </c:tx>
          <c:spPr>
            <a:ln w="25400" cmpd="sng">
              <a:solidFill>
                <a:srgbClr val="ED7D31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ED7D31"/>
              </a:solidFill>
              <a:ln cmpd="sng">
                <a:solidFill>
                  <a:srgbClr val="ED7D31"/>
                </a:solidFill>
                <a:prstDash val="solid"/>
              </a:ln>
            </c:spPr>
          </c:marker>
          <c:cat>
            <c:numRef>
              <c:f>'E-Costos'!$A$147:$A$148</c:f>
              <c:numCache>
                <c:formatCode>0%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cat>
          <c:val>
            <c:numRef>
              <c:f>'E-Costos'!$D$165:$D$166</c:f>
              <c:numCache>
                <c:formatCode>_(* #,##0.00_);_(* \(#,##0.00\);_(* "-"??_);_(@_)</c:formatCode>
                <c:ptCount val="2"/>
                <c:pt idx="0" formatCode="_(\$* #,##0.00_);_(\$* \(#,##0.00\);_(\$* \-??_);_(@_)">
                  <c:v>5036783.9408914838</c:v>
                </c:pt>
                <c:pt idx="1">
                  <c:v>11238661.440891484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2A-44F2-B4DD-3DD98C55FA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314088"/>
        <c:axId val="227315656"/>
      </c:lineChart>
      <c:catAx>
        <c:axId val="227314088"/>
        <c:scaling>
          <c:orientation val="minMax"/>
        </c:scaling>
        <c:delete val="0"/>
        <c:axPos val="b"/>
        <c:numFmt formatCode="0%" sourceLinked="1"/>
        <c:majorTickMark val="cross"/>
        <c:minorTickMark val="cross"/>
        <c:tickLblPos val="nextTo"/>
        <c:txPr>
          <a:bodyPr/>
          <a:lstStyle/>
          <a:p>
            <a:pPr lvl="0">
              <a:defRPr sz="900" b="0" i="0">
                <a:solidFill>
                  <a:srgbClr val="595959"/>
                </a:solidFill>
              </a:defRPr>
            </a:pPr>
            <a:endParaRPr lang="es-ES"/>
          </a:p>
        </c:txPr>
        <c:crossAx val="227315656"/>
        <c:crosses val="autoZero"/>
        <c:auto val="1"/>
        <c:lblAlgn val="ctr"/>
        <c:lblOffset val="100"/>
        <c:noMultiLvlLbl val="1"/>
      </c:catAx>
      <c:valAx>
        <c:axId val="227315656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900" b="0" i="0">
                <a:solidFill>
                  <a:srgbClr val="595959"/>
                </a:solidFill>
              </a:defRPr>
            </a:pPr>
            <a:endParaRPr lang="es-ES"/>
          </a:p>
        </c:txPr>
        <c:crossAx val="227314088"/>
        <c:crosses val="autoZero"/>
        <c:crossBetween val="between"/>
      </c:valAx>
      <c:spPr>
        <a:solidFill>
          <a:srgbClr val="FFFFFF"/>
        </a:solidFill>
      </c:spPr>
    </c:plotArea>
    <c:legend>
      <c:legendPos val="b"/>
      <c:overlay val="0"/>
      <c:txPr>
        <a:bodyPr/>
        <a:lstStyle/>
        <a:p>
          <a:pPr lvl="0">
            <a:defRPr sz="900">
              <a:solidFill>
                <a:srgbClr val="595959"/>
              </a:solidFill>
            </a:defRPr>
          </a:pPr>
          <a:endParaRPr lang="es-ES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1"/>
  <c:style val="18"/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spPr>
            <a:solidFill>
              <a:srgbClr val="5B9BD5"/>
            </a:solidFill>
          </c:spPr>
          <c:invertIfNegative val="1"/>
          <c:cat>
            <c:numRef>
              <c:f>'E-Form'!$A$4:$A$9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</c:numCache>
            </c:numRef>
          </c:cat>
          <c:val>
            <c:numRef>
              <c:f>'E-Form'!$L$4:$L$9</c:f>
              <c:numCache>
                <c:formatCode>_(\$* #,##0.00_);_(\$* \(#,##0.00\);_(\$* \-??_);_(@_)</c:formatCode>
                <c:ptCount val="6"/>
                <c:pt idx="0">
                  <c:v>-3378225.7999999993</c:v>
                </c:pt>
                <c:pt idx="1">
                  <c:v>8627310.9021407031</c:v>
                </c:pt>
                <c:pt idx="2">
                  <c:v>15960114.344810259</c:v>
                </c:pt>
                <c:pt idx="3">
                  <c:v>16243721.716492625</c:v>
                </c:pt>
                <c:pt idx="4">
                  <c:v>16244080.223973323</c:v>
                </c:pt>
                <c:pt idx="5">
                  <c:v>24162560.759435385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</c14:spPr>
              </c14:invertSolidFillFmt>
            </c:ext>
            <c:ext xmlns:c16="http://schemas.microsoft.com/office/drawing/2014/chart" uri="{C3380CC4-5D6E-409C-BE32-E72D297353CC}">
              <c16:uniqueId val="{00000000-CBB8-4CE5-9DBC-9D432B4B5F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439272"/>
        <c:axId val="229439664"/>
      </c:barChart>
      <c:catAx>
        <c:axId val="229439272"/>
        <c:scaling>
          <c:orientation val="minMax"/>
        </c:scaling>
        <c:delete val="0"/>
        <c:axPos val="b"/>
        <c:numFmt formatCode="General" sourceLinked="1"/>
        <c:majorTickMark val="cross"/>
        <c:minorTickMark val="cross"/>
        <c:tickLblPos val="nextTo"/>
        <c:txPr>
          <a:bodyPr/>
          <a:lstStyle/>
          <a:p>
            <a:pPr lvl="0">
              <a:defRPr sz="900" b="0" i="0">
                <a:solidFill>
                  <a:srgbClr val="595959"/>
                </a:solidFill>
              </a:defRPr>
            </a:pPr>
            <a:endParaRPr lang="es-ES"/>
          </a:p>
        </c:txPr>
        <c:crossAx val="229439664"/>
        <c:crosses val="autoZero"/>
        <c:auto val="1"/>
        <c:lblAlgn val="ctr"/>
        <c:lblOffset val="100"/>
        <c:noMultiLvlLbl val="1"/>
      </c:catAx>
      <c:valAx>
        <c:axId val="229439664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_(\$* #,##0.00_);_(\$* \(#,##0.00\);_(\$* \-??_);_(@_)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900" b="0" i="0">
                <a:solidFill>
                  <a:srgbClr val="595959"/>
                </a:solidFill>
              </a:defRPr>
            </a:pPr>
            <a:endParaRPr lang="es-ES"/>
          </a:p>
        </c:txPr>
        <c:crossAx val="229439272"/>
        <c:crosses val="autoZero"/>
        <c:crossBetween val="between"/>
      </c:valAx>
      <c:spPr>
        <a:solidFill>
          <a:srgbClr val="FFFFFF"/>
        </a:solidFill>
      </c:spPr>
    </c:plotArea>
    <c:legend>
      <c:legendPos val="b"/>
      <c:overlay val="0"/>
      <c:txPr>
        <a:bodyPr/>
        <a:lstStyle/>
        <a:p>
          <a:pPr lvl="0">
            <a:defRPr sz="900">
              <a:solidFill>
                <a:srgbClr val="595959"/>
              </a:solidFill>
            </a:defRPr>
          </a:pPr>
          <a:endParaRPr lang="es-ES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AR"/>
              <a:t>Diagrama</a:t>
            </a:r>
            <a:r>
              <a:rPr lang="es-AR" baseline="0"/>
              <a:t> punto de equilibrio año 1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4"/>
          <c:order val="0"/>
          <c:marker>
            <c:symbol val="none"/>
          </c:marker>
          <c:cat>
            <c:numRef>
              <c:f>'F-2 Estructura'!$B$49:$L$49</c:f>
              <c:numCache>
                <c:formatCode>0%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'F-2 Estructura'!$B$53:$L$53</c:f>
              <c:numCache>
                <c:formatCode>_("$"* #,##0_);_("$"* \(#,##0\);_("$"* "-"??_);_(@_)</c:formatCode>
                <c:ptCount val="11"/>
                <c:pt idx="0">
                  <c:v>0</c:v>
                </c:pt>
                <c:pt idx="1">
                  <c:v>3370360</c:v>
                </c:pt>
                <c:pt idx="2">
                  <c:v>6740720</c:v>
                </c:pt>
                <c:pt idx="3">
                  <c:v>10111080</c:v>
                </c:pt>
                <c:pt idx="4">
                  <c:v>13481440</c:v>
                </c:pt>
                <c:pt idx="5">
                  <c:v>16851800</c:v>
                </c:pt>
                <c:pt idx="6">
                  <c:v>20222160</c:v>
                </c:pt>
                <c:pt idx="7">
                  <c:v>23592520</c:v>
                </c:pt>
                <c:pt idx="8">
                  <c:v>26962880</c:v>
                </c:pt>
                <c:pt idx="9">
                  <c:v>30333240</c:v>
                </c:pt>
                <c:pt idx="10">
                  <c:v>33703600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AC45-4352-8FDE-067524938438}"/>
            </c:ext>
          </c:extLst>
        </c:ser>
        <c:ser>
          <c:idx val="5"/>
          <c:order val="1"/>
          <c:marker>
            <c:symbol val="none"/>
          </c:marker>
          <c:cat>
            <c:numRef>
              <c:f>'F-2 Estructura'!$B$49:$L$49</c:f>
              <c:numCache>
                <c:formatCode>0%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'F-2 Estructura'!$B$50:$L$50</c:f>
              <c:numCache>
                <c:formatCode>_("$"* #,##0_);_("$"* \(#,##0\);_("$"* "-"??_);_(@_)</c:formatCode>
                <c:ptCount val="11"/>
                <c:pt idx="0">
                  <c:v>5405854.4440463996</c:v>
                </c:pt>
                <c:pt idx="1">
                  <c:v>5405854.4440463996</c:v>
                </c:pt>
                <c:pt idx="2">
                  <c:v>5405854.4440463996</c:v>
                </c:pt>
                <c:pt idx="3">
                  <c:v>5405854.4440463996</c:v>
                </c:pt>
                <c:pt idx="4">
                  <c:v>5405854.4440463996</c:v>
                </c:pt>
                <c:pt idx="5">
                  <c:v>5405854.4440463996</c:v>
                </c:pt>
                <c:pt idx="6">
                  <c:v>5405854.4440463996</c:v>
                </c:pt>
                <c:pt idx="7">
                  <c:v>5405854.4440463996</c:v>
                </c:pt>
                <c:pt idx="8">
                  <c:v>5405854.4440463996</c:v>
                </c:pt>
                <c:pt idx="9">
                  <c:v>5405854.4440463996</c:v>
                </c:pt>
                <c:pt idx="10">
                  <c:v>5405854.4440463996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AC45-4352-8FDE-067524938438}"/>
            </c:ext>
          </c:extLst>
        </c:ser>
        <c:ser>
          <c:idx val="6"/>
          <c:order val="2"/>
          <c:tx>
            <c:strRef>
              <c:f>'F-2 Estructura'!$A$52</c:f>
              <c:strCache>
                <c:ptCount val="1"/>
                <c:pt idx="0">
                  <c:v>costo total</c:v>
                </c:pt>
              </c:strCache>
            </c:strRef>
          </c:tx>
          <c:marker>
            <c:symbol val="none"/>
          </c:marker>
          <c:cat>
            <c:numRef>
              <c:f>'F-2 Estructura'!$B$49:$L$49</c:f>
              <c:numCache>
                <c:formatCode>0%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'F-2 Estructura'!$B$52:$L$52</c:f>
              <c:numCache>
                <c:formatCode>_("$"* #,##0_);_("$"* \(#,##0\);_("$"* "-"??_);_(@_)</c:formatCode>
                <c:ptCount val="11"/>
                <c:pt idx="0">
                  <c:v>5405854.4440463996</c:v>
                </c:pt>
                <c:pt idx="1">
                  <c:v>5982154.4440463996</c:v>
                </c:pt>
                <c:pt idx="2">
                  <c:v>6558454.4440463996</c:v>
                </c:pt>
                <c:pt idx="3">
                  <c:v>7134754.4440463996</c:v>
                </c:pt>
                <c:pt idx="4">
                  <c:v>7711054.4440463996</c:v>
                </c:pt>
                <c:pt idx="5">
                  <c:v>8287354.4440463996</c:v>
                </c:pt>
                <c:pt idx="6">
                  <c:v>8863654.4440464005</c:v>
                </c:pt>
                <c:pt idx="7">
                  <c:v>9439954.4440463986</c:v>
                </c:pt>
                <c:pt idx="8">
                  <c:v>10016254.4440464</c:v>
                </c:pt>
                <c:pt idx="9">
                  <c:v>10592554.4440464</c:v>
                </c:pt>
                <c:pt idx="10">
                  <c:v>11168854.4440464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AC45-4352-8FDE-067524938438}"/>
            </c:ext>
          </c:extLst>
        </c:ser>
        <c:ser>
          <c:idx val="7"/>
          <c:order val="3"/>
          <c:marker>
            <c:symbol val="none"/>
          </c:marker>
          <c:cat>
            <c:numRef>
              <c:f>'F-2 Estructura'!$B$49:$L$49</c:f>
              <c:numCache>
                <c:formatCode>0%</c:formatCode>
                <c:ptCount val="11"/>
                <c:pt idx="0">
                  <c:v>0</c:v>
                </c:pt>
                <c:pt idx="1">
                  <c:v>0.1</c:v>
                </c:pt>
                <c:pt idx="2">
                  <c:v>0.2</c:v>
                </c:pt>
                <c:pt idx="3">
                  <c:v>0.3</c:v>
                </c:pt>
                <c:pt idx="4">
                  <c:v>0.4</c:v>
                </c:pt>
                <c:pt idx="5">
                  <c:v>0.5</c:v>
                </c:pt>
                <c:pt idx="6">
                  <c:v>0.6</c:v>
                </c:pt>
                <c:pt idx="7">
                  <c:v>0.7</c:v>
                </c:pt>
                <c:pt idx="8">
                  <c:v>0.8</c:v>
                </c:pt>
                <c:pt idx="9">
                  <c:v>0.9</c:v>
                </c:pt>
                <c:pt idx="10">
                  <c:v>1</c:v>
                </c:pt>
              </c:numCache>
            </c:numRef>
          </c:cat>
          <c:val>
            <c:numRef>
              <c:f>'F-2 Estructura'!$B$52:$L$52</c:f>
              <c:numCache>
                <c:formatCode>_("$"* #,##0_);_("$"* \(#,##0\);_("$"* "-"??_);_(@_)</c:formatCode>
                <c:ptCount val="11"/>
                <c:pt idx="0">
                  <c:v>5405854.4440463996</c:v>
                </c:pt>
                <c:pt idx="1">
                  <c:v>5982154.4440463996</c:v>
                </c:pt>
                <c:pt idx="2">
                  <c:v>6558454.4440463996</c:v>
                </c:pt>
                <c:pt idx="3">
                  <c:v>7134754.4440463996</c:v>
                </c:pt>
                <c:pt idx="4">
                  <c:v>7711054.4440463996</c:v>
                </c:pt>
                <c:pt idx="5">
                  <c:v>8287354.4440463996</c:v>
                </c:pt>
                <c:pt idx="6">
                  <c:v>8863654.4440464005</c:v>
                </c:pt>
                <c:pt idx="7">
                  <c:v>9439954.4440463986</c:v>
                </c:pt>
                <c:pt idx="8">
                  <c:v>10016254.4440464</c:v>
                </c:pt>
                <c:pt idx="9">
                  <c:v>10592554.4440464</c:v>
                </c:pt>
                <c:pt idx="10">
                  <c:v>11168854.4440464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0-AC45-4352-8FDE-0675249384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29442016"/>
        <c:axId val="229442408"/>
      </c:lineChart>
      <c:catAx>
        <c:axId val="229442016"/>
        <c:scaling>
          <c:orientation val="minMax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29442408"/>
        <c:crosses val="autoZero"/>
        <c:auto val="1"/>
        <c:lblAlgn val="ctr"/>
        <c:lblOffset val="100"/>
        <c:noMultiLvlLbl val="0"/>
      </c:catAx>
      <c:valAx>
        <c:axId val="229442408"/>
        <c:scaling>
          <c:orientation val="minMax"/>
        </c:scaling>
        <c:delete val="0"/>
        <c:axPos val="l"/>
        <c:numFmt formatCode="_(&quot;$&quot;* #,##0_);_(&quot;$&quot;* \(#,##0\);_(&quot;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2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229442016"/>
        <c:crosses val="autoZero"/>
        <c:crossBetween val="between"/>
      </c:valAx>
      <c:spPr>
        <a:gradFill>
          <a:gsLst>
            <a:gs pos="100000">
              <a:schemeClr val="lt1">
                <a:lumMod val="95000"/>
              </a:schemeClr>
            </a:gs>
            <a:gs pos="0">
              <a:schemeClr val="lt1"/>
            </a:gs>
          </a:gsLst>
          <a:lin ang="5400000" scaled="0"/>
        </a:gradFill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247650</xdr:colOff>
      <xdr:row>148</xdr:row>
      <xdr:rowOff>0</xdr:rowOff>
    </xdr:from>
    <xdr:to>
      <xdr:col>4</xdr:col>
      <xdr:colOff>476250</xdr:colOff>
      <xdr:row>161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  <xdr:twoCellAnchor>
    <xdr:from>
      <xdr:col>0</xdr:col>
      <xdr:colOff>228600</xdr:colOff>
      <xdr:row>167</xdr:row>
      <xdr:rowOff>9525</xdr:rowOff>
    </xdr:from>
    <xdr:to>
      <xdr:col>5</xdr:col>
      <xdr:colOff>381000</xdr:colOff>
      <xdr:row>181</xdr:row>
      <xdr:rowOff>0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twoCellAnchor>
  <xdr:twoCellAnchor>
    <xdr:from>
      <xdr:col>0</xdr:col>
      <xdr:colOff>0</xdr:colOff>
      <xdr:row>0</xdr:row>
      <xdr:rowOff>0</xdr:rowOff>
    </xdr:from>
    <xdr:to>
      <xdr:col>9</xdr:col>
      <xdr:colOff>292100</xdr:colOff>
      <xdr:row>87</xdr:row>
      <xdr:rowOff>12700</xdr:rowOff>
    </xdr:to>
    <xdr:sp macro="" textlink="">
      <xdr:nvSpPr>
        <xdr:cNvPr id="1027" name="Rectangle 3" hidden="1">
          <a:extLst>
            <a:ext uri="{FF2B5EF4-FFF2-40B4-BE49-F238E27FC236}">
              <a16:creationId xmlns:a16="http://schemas.microsoft.com/office/drawing/2014/main" id="{00000000-0008-0000-0200-000003040000}"/>
            </a:ext>
          </a:extLst>
        </xdr:cNvPr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304800</xdr:colOff>
      <xdr:row>0</xdr:row>
      <xdr:rowOff>123825</xdr:rowOff>
    </xdr:from>
    <xdr:to>
      <xdr:col>18</xdr:col>
      <xdr:colOff>657225</xdr:colOff>
      <xdr:row>15</xdr:row>
      <xdr:rowOff>85725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465042</xdr:colOff>
      <xdr:row>55</xdr:row>
      <xdr:rowOff>152400</xdr:rowOff>
    </xdr:from>
    <xdr:to>
      <xdr:col>8</xdr:col>
      <xdr:colOff>369793</xdr:colOff>
      <xdr:row>74</xdr:row>
      <xdr:rowOff>100853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6D4FD87D-9D59-419A-A77F-7F6F89183CC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asminbelen\Desktop\Dim.econ&#243;mico%20Financiero%20final%20-%20Impewax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wnloads\Dim%20Economico%20Financiero%20CORRECCIONES%20FG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wnloads\Dim%20Economico%20Financiero%20Jos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Inicial"/>
      <sheetName val="dw"/>
      <sheetName val="E-Inv AF y Am"/>
      <sheetName val="E-Costos"/>
      <sheetName val="E-InvAT"/>
      <sheetName val="E-Cal Inv."/>
      <sheetName val="E-IVA "/>
      <sheetName val="E-Form"/>
      <sheetName val="Crédito NoRenovable"/>
      <sheetName val="F-CRes"/>
      <sheetName val="F-IVA"/>
      <sheetName val="F- CFyU"/>
      <sheetName val="F- Form"/>
      <sheetName val="F-Balance"/>
      <sheetName val="Crédito MP"/>
      <sheetName val="F-2 Estructura"/>
      <sheetName val="F-Cred"/>
    </sheetNames>
    <sheetDataSet>
      <sheetData sheetId="0">
        <row r="608">
          <cell r="E608">
            <v>3852.6108916319231</v>
          </cell>
        </row>
        <row r="609">
          <cell r="E609">
            <v>3852.6108916319231</v>
          </cell>
        </row>
        <row r="610">
          <cell r="E610">
            <v>3852.6108916319231</v>
          </cell>
        </row>
        <row r="611">
          <cell r="E611">
            <v>3852.6108916319231</v>
          </cell>
        </row>
        <row r="612">
          <cell r="E612">
            <v>3852.6108916319231</v>
          </cell>
        </row>
        <row r="613">
          <cell r="E613">
            <v>3852.6108916319231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Inicial"/>
      <sheetName val="E-Inv AF y Am"/>
      <sheetName val="E-Costos"/>
      <sheetName val="E-InvAT"/>
      <sheetName val="E-Cal Inv."/>
      <sheetName val="E-IVA "/>
      <sheetName val="E-Form"/>
      <sheetName val="Ejercicios"/>
      <sheetName val="F-Cred"/>
      <sheetName val="F-CRes"/>
      <sheetName val="F-2 Estructura"/>
      <sheetName val="F-IVA"/>
      <sheetName val="F- CFyU"/>
      <sheetName val="F-Balance"/>
      <sheetName val="F- Form"/>
    </sheetNames>
    <sheetDataSet>
      <sheetData sheetId="0">
        <row r="1">
          <cell r="E1">
            <v>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Inicial"/>
      <sheetName val="E-Inv AF y Am"/>
      <sheetName val="E-Costos"/>
      <sheetName val="E-Cal Inv."/>
      <sheetName val="E-IVA "/>
      <sheetName val="Ejercicios"/>
      <sheetName val="E-Form"/>
      <sheetName val="F-Cred"/>
      <sheetName val="F-2 Estructura"/>
      <sheetName val="F-IVA"/>
      <sheetName val="F- CFyU"/>
      <sheetName val="E-InvAT"/>
      <sheetName val="F-Balance"/>
      <sheetName val="F-CRes"/>
      <sheetName val="F- Form"/>
    </sheetNames>
    <sheetDataSet>
      <sheetData sheetId="0">
        <row r="1">
          <cell r="E1">
            <v>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outlinePr summaryBelow="0" summaryRight="0"/>
  </sheetPr>
  <dimension ref="A1:Z1000"/>
  <sheetViews>
    <sheetView topLeftCell="A7" zoomScale="120" zoomScaleNormal="120" zoomScalePageLayoutView="125" workbookViewId="0">
      <selection activeCell="D11" sqref="D11"/>
    </sheetView>
  </sheetViews>
  <sheetFormatPr baseColWidth="10" defaultColWidth="14.42578125" defaultRowHeight="15" customHeight="1"/>
  <cols>
    <col min="1" max="1" width="42.28515625" customWidth="1"/>
    <col min="2" max="3" width="11" customWidth="1"/>
    <col min="4" max="4" width="17.42578125" customWidth="1"/>
    <col min="5" max="21" width="11" customWidth="1"/>
  </cols>
  <sheetData>
    <row r="1" spans="1:26" ht="12.75" customHeight="1">
      <c r="A1" s="1" t="s">
        <v>0</v>
      </c>
      <c r="B1" s="2"/>
      <c r="C1" s="2"/>
      <c r="D1" s="2"/>
      <c r="E1" s="3">
        <v>7</v>
      </c>
      <c r="F1" s="2"/>
      <c r="G1" s="2"/>
      <c r="H1" s="2"/>
      <c r="I1" s="2" t="s">
        <v>461</v>
      </c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4"/>
      <c r="W1" s="4"/>
      <c r="X1" s="4"/>
      <c r="Y1" s="4"/>
      <c r="Z1" s="4"/>
    </row>
    <row r="2" spans="1:26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4"/>
      <c r="W2" s="4"/>
      <c r="X2" s="4"/>
      <c r="Y2" s="4"/>
      <c r="Z2" s="4"/>
    </row>
    <row r="3" spans="1:26" ht="12.75" customHeight="1">
      <c r="A3" s="5" t="s">
        <v>2</v>
      </c>
      <c r="B3" s="6">
        <v>0.21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4"/>
      <c r="W3" s="4"/>
      <c r="X3" s="4"/>
      <c r="Y3" s="4"/>
      <c r="Z3" s="4"/>
    </row>
    <row r="4" spans="1:26" ht="12.75" customHeight="1">
      <c r="A4" s="5" t="s">
        <v>3</v>
      </c>
      <c r="B4" s="6">
        <v>0.35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4"/>
      <c r="W4" s="4"/>
      <c r="X4" s="4"/>
      <c r="Y4" s="4"/>
      <c r="Z4" s="4"/>
    </row>
    <row r="5" spans="1:26" ht="12.75" customHeight="1">
      <c r="A5" s="5" t="s">
        <v>4</v>
      </c>
      <c r="B5" s="6">
        <v>0.08</v>
      </c>
      <c r="C5" s="2" t="s">
        <v>5</v>
      </c>
      <c r="D5" s="2"/>
      <c r="E5" s="2"/>
      <c r="F5" s="2"/>
      <c r="G5" s="8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4"/>
      <c r="W5" s="4"/>
      <c r="X5" s="4"/>
      <c r="Y5" s="4"/>
      <c r="Z5" s="4"/>
    </row>
    <row r="6" spans="1:26" ht="12.75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4"/>
      <c r="W6" s="4"/>
      <c r="X6" s="4"/>
      <c r="Y6" s="4"/>
      <c r="Z6" s="4"/>
    </row>
    <row r="7" spans="1:26" ht="12.75" customHeight="1">
      <c r="A7" s="5" t="s">
        <v>11</v>
      </c>
      <c r="B7" s="2" t="s">
        <v>12</v>
      </c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4"/>
      <c r="W7" s="4"/>
      <c r="X7" s="4"/>
      <c r="Y7" s="4"/>
      <c r="Z7" s="4"/>
    </row>
    <row r="8" spans="1:26" ht="12.75" customHeight="1">
      <c r="A8" s="11" t="s">
        <v>14</v>
      </c>
      <c r="B8" s="13">
        <v>30</v>
      </c>
      <c r="C8" s="2" t="s">
        <v>23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4"/>
      <c r="W8" s="4"/>
      <c r="X8" s="4"/>
      <c r="Y8" s="4"/>
      <c r="Z8" s="4"/>
    </row>
    <row r="9" spans="1:26" ht="12.75" customHeight="1">
      <c r="A9" s="11" t="s">
        <v>24</v>
      </c>
      <c r="B9" s="13">
        <v>10</v>
      </c>
      <c r="C9" s="2" t="s">
        <v>23</v>
      </c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4"/>
      <c r="W9" s="4"/>
      <c r="X9" s="4"/>
      <c r="Y9" s="4"/>
      <c r="Z9" s="4"/>
    </row>
    <row r="10" spans="1:26" ht="12.75" customHeight="1">
      <c r="A10" s="11" t="s">
        <v>26</v>
      </c>
      <c r="B10" s="13">
        <v>10</v>
      </c>
      <c r="C10" s="2" t="s">
        <v>23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4"/>
      <c r="W10" s="4"/>
      <c r="X10" s="4"/>
      <c r="Y10" s="4"/>
      <c r="Z10" s="4"/>
    </row>
    <row r="11" spans="1:26" ht="12.75" customHeight="1">
      <c r="A11" s="11" t="s">
        <v>27</v>
      </c>
      <c r="B11" s="13">
        <v>5</v>
      </c>
      <c r="C11" s="2" t="s">
        <v>23</v>
      </c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4"/>
      <c r="W11" s="4"/>
      <c r="X11" s="4"/>
      <c r="Y11" s="4"/>
      <c r="Z11" s="4"/>
    </row>
    <row r="12" spans="1:26" ht="12.75" customHeight="1">
      <c r="A12" s="11" t="s">
        <v>28</v>
      </c>
      <c r="B12" s="13">
        <v>5</v>
      </c>
      <c r="C12" s="2" t="s">
        <v>23</v>
      </c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4"/>
      <c r="W12" s="4"/>
      <c r="X12" s="4"/>
      <c r="Y12" s="4"/>
      <c r="Z12" s="4"/>
    </row>
    <row r="13" spans="1:26" ht="12.75" customHeight="1">
      <c r="A13" s="11" t="s">
        <v>29</v>
      </c>
      <c r="B13" s="13">
        <v>3</v>
      </c>
      <c r="C13" s="2" t="s">
        <v>23</v>
      </c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4"/>
      <c r="W13" s="4"/>
      <c r="X13" s="4"/>
      <c r="Y13" s="4"/>
      <c r="Z13" s="4"/>
    </row>
    <row r="14" spans="1:26" ht="12.75" customHeight="1">
      <c r="A14" s="11" t="s">
        <v>30</v>
      </c>
      <c r="B14" s="13">
        <v>5</v>
      </c>
      <c r="C14" s="2" t="s">
        <v>23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4"/>
      <c r="W14" s="4"/>
      <c r="X14" s="4"/>
      <c r="Y14" s="4"/>
      <c r="Z14" s="4"/>
    </row>
    <row r="15" spans="1:26" ht="12.75" customHeight="1">
      <c r="A15" s="11" t="s">
        <v>31</v>
      </c>
      <c r="B15" s="17">
        <v>0.04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4"/>
      <c r="W15" s="4"/>
      <c r="X15" s="4"/>
      <c r="Y15" s="4"/>
      <c r="Z15" s="4"/>
    </row>
    <row r="16" spans="1:26" ht="12.75" customHeight="1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4"/>
      <c r="W16" s="4"/>
      <c r="X16" s="4"/>
      <c r="Y16" s="4"/>
      <c r="Z16" s="4"/>
    </row>
    <row r="17" spans="1:26" ht="12.75" customHeight="1">
      <c r="A17" s="5" t="s">
        <v>33</v>
      </c>
      <c r="B17" s="20" t="s">
        <v>34</v>
      </c>
      <c r="C17" s="21"/>
      <c r="D17" s="21"/>
      <c r="E17" s="21"/>
      <c r="F17" s="21"/>
      <c r="G17" s="23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4"/>
      <c r="W17" s="4"/>
      <c r="X17" s="4"/>
      <c r="Y17" s="4"/>
      <c r="Z17" s="4"/>
    </row>
    <row r="18" spans="1:26" ht="12.75" customHeight="1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4"/>
      <c r="W18" s="4"/>
      <c r="X18" s="4"/>
      <c r="Y18" s="4"/>
      <c r="Z18" s="4"/>
    </row>
    <row r="19" spans="1:26" ht="12.75" customHeight="1">
      <c r="A19" s="5" t="s">
        <v>36</v>
      </c>
      <c r="B19" s="26">
        <v>80000</v>
      </c>
      <c r="C19" s="2" t="s">
        <v>38</v>
      </c>
      <c r="D19" s="26">
        <v>78975</v>
      </c>
      <c r="E19" s="2"/>
      <c r="F19" s="2"/>
      <c r="G19" s="2"/>
      <c r="H19" s="2"/>
      <c r="I19" s="2" t="s">
        <v>462</v>
      </c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4"/>
      <c r="W19" s="4"/>
      <c r="X19" s="4"/>
      <c r="Y19" s="4"/>
      <c r="Z19" s="4"/>
    </row>
    <row r="20" spans="1:26" ht="12.75" customHeight="1">
      <c r="A20" s="5" t="s">
        <v>39</v>
      </c>
      <c r="B20" s="26">
        <v>481</v>
      </c>
      <c r="C20" s="2" t="s">
        <v>40</v>
      </c>
      <c r="D20" s="2"/>
      <c r="E20" s="2"/>
      <c r="F20" s="2"/>
      <c r="G20" s="2"/>
      <c r="H20" s="2"/>
      <c r="I20" s="2" t="s">
        <v>462</v>
      </c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4"/>
      <c r="W20" s="4"/>
      <c r="X20" s="4"/>
      <c r="Y20" s="4"/>
      <c r="Z20" s="4"/>
    </row>
    <row r="21" spans="1:26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4"/>
      <c r="W21" s="4"/>
      <c r="X21" s="4"/>
      <c r="Y21" s="4"/>
      <c r="Z21" s="4"/>
    </row>
    <row r="22" spans="1:26" ht="12.75" customHeight="1">
      <c r="A22" s="5" t="s">
        <v>41</v>
      </c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4"/>
      <c r="W22" s="4"/>
      <c r="X22" s="4"/>
      <c r="Y22" s="4"/>
      <c r="Z22" s="4"/>
    </row>
    <row r="23" spans="1:26" ht="12.75" customHeight="1">
      <c r="A23" s="5" t="s">
        <v>42</v>
      </c>
      <c r="B23" s="26">
        <v>8</v>
      </c>
      <c r="C23" s="2" t="s">
        <v>43</v>
      </c>
      <c r="D23" s="2"/>
      <c r="E23" s="2"/>
      <c r="F23" s="2"/>
      <c r="G23" s="2"/>
      <c r="H23" s="2"/>
      <c r="I23" s="2" t="s">
        <v>463</v>
      </c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4"/>
      <c r="W23" s="4"/>
      <c r="X23" s="4"/>
      <c r="Y23" s="4"/>
      <c r="Z23" s="4"/>
    </row>
    <row r="24" spans="1:26" ht="12.75" customHeight="1">
      <c r="A24" s="5" t="s">
        <v>44</v>
      </c>
      <c r="B24" s="26">
        <v>2</v>
      </c>
      <c r="C24" s="2" t="s">
        <v>43</v>
      </c>
      <c r="D24" s="2"/>
      <c r="E24" s="2"/>
      <c r="F24" s="2"/>
      <c r="G24" s="2"/>
      <c r="H24" s="2"/>
      <c r="I24" s="2" t="s">
        <v>463</v>
      </c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4"/>
      <c r="W24" s="4"/>
      <c r="X24" s="4"/>
      <c r="Y24" s="4"/>
      <c r="Z24" s="4"/>
    </row>
    <row r="25" spans="1:26" ht="12.75" customHeight="1">
      <c r="A25" s="5" t="s">
        <v>45</v>
      </c>
      <c r="B25" s="26">
        <v>2</v>
      </c>
      <c r="C25" s="2" t="s">
        <v>43</v>
      </c>
      <c r="D25" s="2"/>
      <c r="E25" s="2"/>
      <c r="F25" s="2"/>
      <c r="G25" s="2"/>
      <c r="H25" s="2"/>
      <c r="I25" s="2" t="s">
        <v>463</v>
      </c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4"/>
      <c r="W25" s="4"/>
      <c r="X25" s="4"/>
      <c r="Y25" s="4"/>
      <c r="Z25" s="4"/>
    </row>
    <row r="26" spans="1:26" ht="12.7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4"/>
      <c r="W26" s="4"/>
      <c r="X26" s="4"/>
      <c r="Y26" s="4"/>
      <c r="Z26" s="4"/>
    </row>
    <row r="27" spans="1:26" ht="12.75" customHeight="1">
      <c r="A27" s="5" t="s">
        <v>46</v>
      </c>
      <c r="B27" s="26">
        <v>270</v>
      </c>
      <c r="C27" s="2" t="s">
        <v>47</v>
      </c>
      <c r="D27" s="2"/>
      <c r="E27" s="2"/>
      <c r="F27" s="2"/>
      <c r="G27" s="2"/>
      <c r="H27" s="2"/>
      <c r="I27" s="2" t="s">
        <v>463</v>
      </c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4"/>
      <c r="W27" s="4"/>
      <c r="X27" s="4"/>
      <c r="Y27" s="4"/>
      <c r="Z27" s="4"/>
    </row>
    <row r="28" spans="1:26" ht="12.75" customHeight="1">
      <c r="A28" s="5" t="s">
        <v>7</v>
      </c>
      <c r="B28" s="26">
        <v>9</v>
      </c>
      <c r="C28" s="2" t="s">
        <v>48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4"/>
      <c r="W28" s="4"/>
      <c r="X28" s="4"/>
      <c r="Y28" s="4"/>
      <c r="Z28" s="4"/>
    </row>
    <row r="29" spans="1:26" ht="12.75" customHeight="1">
      <c r="A29" s="5" t="s">
        <v>49</v>
      </c>
      <c r="B29" s="26">
        <v>3</v>
      </c>
      <c r="C29" s="2" t="s">
        <v>48</v>
      </c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4"/>
      <c r="W29" s="4"/>
      <c r="X29" s="4"/>
      <c r="Y29" s="4"/>
      <c r="Z29" s="4"/>
    </row>
    <row r="30" spans="1:26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4"/>
      <c r="W30" s="4"/>
      <c r="X30" s="4"/>
      <c r="Y30" s="4"/>
      <c r="Z30" s="4"/>
    </row>
    <row r="31" spans="1:26" ht="12.7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4"/>
      <c r="W31" s="4"/>
      <c r="X31" s="4"/>
      <c r="Y31" s="4"/>
      <c r="Z31" s="4"/>
    </row>
    <row r="32" spans="1:26" ht="12.75" customHeight="1">
      <c r="A32" s="5" t="s">
        <v>50</v>
      </c>
      <c r="B32" s="26">
        <v>18</v>
      </c>
      <c r="C32" s="2" t="s">
        <v>51</v>
      </c>
      <c r="D32" s="26">
        <v>1</v>
      </c>
      <c r="E32" s="2" t="s">
        <v>52</v>
      </c>
      <c r="F32" s="2"/>
      <c r="G32" s="2"/>
      <c r="H32" s="2"/>
      <c r="I32" s="2" t="s">
        <v>464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4"/>
      <c r="W32" s="4"/>
      <c r="X32" s="4"/>
      <c r="Y32" s="4"/>
      <c r="Z32" s="4"/>
    </row>
    <row r="33" spans="1:26" ht="12.75" customHeight="1">
      <c r="A33" s="28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4"/>
      <c r="W33" s="4"/>
      <c r="X33" s="4"/>
      <c r="Y33" s="4"/>
      <c r="Z33" s="4"/>
    </row>
    <row r="34" spans="1:26" ht="12.75" customHeight="1">
      <c r="A34" s="28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4"/>
      <c r="W34" s="4"/>
      <c r="X34" s="4"/>
      <c r="Y34" s="4"/>
      <c r="Z34" s="4"/>
    </row>
    <row r="35" spans="1:26" ht="12.75" customHeight="1">
      <c r="A35" s="5" t="s">
        <v>53</v>
      </c>
      <c r="B35" s="114">
        <v>0.28000000000000003</v>
      </c>
      <c r="C35" s="2" t="s">
        <v>55</v>
      </c>
      <c r="D35" s="2" t="s">
        <v>56</v>
      </c>
      <c r="E35" s="2"/>
      <c r="F35" s="2"/>
      <c r="G35" s="8" t="s">
        <v>57</v>
      </c>
      <c r="H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4"/>
      <c r="W35" s="4"/>
      <c r="X35" s="4"/>
      <c r="Y35" s="4"/>
      <c r="Z35" s="4"/>
    </row>
    <row r="36" spans="1:26" ht="12.75" customHeight="1">
      <c r="A36" s="5" t="s">
        <v>58</v>
      </c>
      <c r="B36" s="631" t="s">
        <v>59</v>
      </c>
      <c r="C36" s="632"/>
      <c r="D36" s="633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4"/>
      <c r="W36" s="4"/>
      <c r="X36" s="4"/>
      <c r="Y36" s="4"/>
      <c r="Z36" s="4"/>
    </row>
    <row r="37" spans="1:26" ht="12.75" customHeight="1">
      <c r="A37" s="5" t="s">
        <v>62</v>
      </c>
      <c r="B37" s="32">
        <v>100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4"/>
      <c r="W37" s="4"/>
      <c r="X37" s="4"/>
      <c r="Y37" s="4"/>
      <c r="Z37" s="4"/>
    </row>
    <row r="38" spans="1:26" ht="12.75" customHeight="1">
      <c r="A38" s="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4"/>
      <c r="W38" s="4"/>
      <c r="X38" s="4"/>
      <c r="Y38" s="4"/>
      <c r="Z38" s="4"/>
    </row>
    <row r="39" spans="1:26" ht="12.75" customHeight="1">
      <c r="A39" s="5" t="s">
        <v>64</v>
      </c>
      <c r="B39" s="26">
        <v>60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4"/>
      <c r="W39" s="4"/>
      <c r="X39" s="4"/>
      <c r="Y39" s="4"/>
      <c r="Z39" s="4"/>
    </row>
    <row r="40" spans="1:26" ht="12.75" customHeight="1">
      <c r="A40" s="5" t="s">
        <v>66</v>
      </c>
      <c r="B40" s="26">
        <v>50</v>
      </c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4"/>
      <c r="W40" s="4"/>
      <c r="X40" s="4"/>
      <c r="Y40" s="4"/>
      <c r="Z40" s="4"/>
    </row>
    <row r="41" spans="1:26" ht="12.75" customHeight="1">
      <c r="A41" s="5" t="s">
        <v>67</v>
      </c>
      <c r="B41" s="117">
        <v>0.2</v>
      </c>
      <c r="C41" s="2" t="s">
        <v>55</v>
      </c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4"/>
      <c r="W41" s="4"/>
      <c r="X41" s="4"/>
      <c r="Y41" s="4"/>
      <c r="Z41" s="4"/>
    </row>
    <row r="42" spans="1:26" ht="12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4"/>
      <c r="W42" s="4"/>
      <c r="X42" s="4"/>
      <c r="Y42" s="4"/>
      <c r="Z42" s="4"/>
    </row>
    <row r="43" spans="1:26" ht="12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4"/>
      <c r="W43" s="4"/>
      <c r="X43" s="4"/>
      <c r="Y43" s="4"/>
      <c r="Z43" s="4"/>
    </row>
    <row r="44" spans="1:26" ht="12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4"/>
      <c r="W44" s="4"/>
      <c r="X44" s="4"/>
      <c r="Y44" s="4"/>
      <c r="Z44" s="4"/>
    </row>
    <row r="45" spans="1:26" ht="12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4"/>
      <c r="W45" s="4"/>
      <c r="X45" s="4"/>
      <c r="Y45" s="4"/>
      <c r="Z45" s="4"/>
    </row>
    <row r="46" spans="1:26" ht="12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4"/>
      <c r="W46" s="4"/>
      <c r="X46" s="4"/>
      <c r="Y46" s="4"/>
      <c r="Z46" s="4"/>
    </row>
    <row r="47" spans="1:26" ht="12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4"/>
      <c r="W47" s="4"/>
      <c r="X47" s="4"/>
      <c r="Y47" s="4"/>
      <c r="Z47" s="4"/>
    </row>
    <row r="48" spans="1:26" ht="12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4"/>
      <c r="W48" s="4"/>
      <c r="X48" s="4"/>
      <c r="Y48" s="4"/>
      <c r="Z48" s="4"/>
    </row>
    <row r="49" spans="1:26" ht="12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4"/>
      <c r="W49" s="4"/>
      <c r="X49" s="4"/>
      <c r="Y49" s="4"/>
      <c r="Z49" s="4"/>
    </row>
    <row r="50" spans="1:26" ht="12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4"/>
      <c r="W50" s="4"/>
      <c r="X50" s="4"/>
      <c r="Y50" s="4"/>
      <c r="Z50" s="4"/>
    </row>
    <row r="51" spans="1:26" ht="12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4"/>
      <c r="W51" s="4"/>
      <c r="X51" s="4"/>
      <c r="Y51" s="4"/>
      <c r="Z51" s="4"/>
    </row>
    <row r="52" spans="1:26" ht="12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4"/>
      <c r="W52" s="4"/>
      <c r="X52" s="4"/>
      <c r="Y52" s="4"/>
      <c r="Z52" s="4"/>
    </row>
    <row r="53" spans="1:26" ht="12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4"/>
      <c r="W53" s="4"/>
      <c r="X53" s="4"/>
      <c r="Y53" s="4"/>
      <c r="Z53" s="4"/>
    </row>
    <row r="54" spans="1:26" ht="12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4"/>
      <c r="W54" s="4"/>
      <c r="X54" s="4"/>
      <c r="Y54" s="4"/>
      <c r="Z54" s="4"/>
    </row>
    <row r="55" spans="1:26" ht="12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4"/>
      <c r="W55" s="4"/>
      <c r="X55" s="4"/>
      <c r="Y55" s="4"/>
      <c r="Z55" s="4"/>
    </row>
    <row r="56" spans="1:26" ht="12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4"/>
      <c r="W56" s="4"/>
      <c r="X56" s="4"/>
      <c r="Y56" s="4"/>
      <c r="Z56" s="4"/>
    </row>
    <row r="57" spans="1:26" ht="12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4"/>
      <c r="W57" s="4"/>
      <c r="X57" s="4"/>
      <c r="Y57" s="4"/>
      <c r="Z57" s="4"/>
    </row>
    <row r="58" spans="1:26" ht="12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4"/>
      <c r="W58" s="4"/>
      <c r="X58" s="4"/>
      <c r="Y58" s="4"/>
      <c r="Z58" s="4"/>
    </row>
    <row r="59" spans="1:26" ht="12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4"/>
      <c r="W59" s="4"/>
      <c r="X59" s="4"/>
      <c r="Y59" s="4"/>
      <c r="Z59" s="4"/>
    </row>
    <row r="60" spans="1:26" ht="12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4"/>
      <c r="W60" s="4"/>
      <c r="X60" s="4"/>
      <c r="Y60" s="4"/>
      <c r="Z60" s="4"/>
    </row>
    <row r="61" spans="1:26" ht="12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4"/>
      <c r="W61" s="4"/>
      <c r="X61" s="4"/>
      <c r="Y61" s="4"/>
      <c r="Z61" s="4"/>
    </row>
    <row r="62" spans="1:26" ht="12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4"/>
      <c r="W62" s="4"/>
      <c r="X62" s="4"/>
      <c r="Y62" s="4"/>
      <c r="Z62" s="4"/>
    </row>
    <row r="63" spans="1:26" ht="12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4"/>
      <c r="W63" s="4"/>
      <c r="X63" s="4"/>
      <c r="Y63" s="4"/>
      <c r="Z63" s="4"/>
    </row>
    <row r="64" spans="1:26" ht="12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4"/>
      <c r="W64" s="4"/>
      <c r="X64" s="4"/>
      <c r="Y64" s="4"/>
      <c r="Z64" s="4"/>
    </row>
    <row r="65" spans="1:26" ht="12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4"/>
      <c r="W65" s="4"/>
      <c r="X65" s="4"/>
      <c r="Y65" s="4"/>
      <c r="Z65" s="4"/>
    </row>
    <row r="66" spans="1:26" ht="12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4"/>
      <c r="W66" s="4"/>
      <c r="X66" s="4"/>
      <c r="Y66" s="4"/>
      <c r="Z66" s="4"/>
    </row>
    <row r="67" spans="1:26" ht="12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4"/>
      <c r="W67" s="4"/>
      <c r="X67" s="4"/>
      <c r="Y67" s="4"/>
      <c r="Z67" s="4"/>
    </row>
    <row r="68" spans="1:26" ht="12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4"/>
      <c r="W68" s="4"/>
      <c r="X68" s="4"/>
      <c r="Y68" s="4"/>
      <c r="Z68" s="4"/>
    </row>
    <row r="69" spans="1:26" ht="12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4"/>
      <c r="W69" s="4"/>
      <c r="X69" s="4"/>
      <c r="Y69" s="4"/>
      <c r="Z69" s="4"/>
    </row>
    <row r="70" spans="1:26" ht="12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4"/>
      <c r="W70" s="4"/>
      <c r="X70" s="4"/>
      <c r="Y70" s="4"/>
      <c r="Z70" s="4"/>
    </row>
    <row r="71" spans="1:26" ht="12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4"/>
      <c r="W71" s="4"/>
      <c r="X71" s="4"/>
      <c r="Y71" s="4"/>
      <c r="Z71" s="4"/>
    </row>
    <row r="72" spans="1:26" ht="12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4"/>
      <c r="W72" s="4"/>
      <c r="X72" s="4"/>
      <c r="Y72" s="4"/>
      <c r="Z72" s="4"/>
    </row>
    <row r="73" spans="1:26" ht="12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4"/>
      <c r="W73" s="4"/>
      <c r="X73" s="4"/>
      <c r="Y73" s="4"/>
      <c r="Z73" s="4"/>
    </row>
    <row r="74" spans="1:26" ht="12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4"/>
      <c r="W74" s="4"/>
      <c r="X74" s="4"/>
      <c r="Y74" s="4"/>
      <c r="Z74" s="4"/>
    </row>
    <row r="75" spans="1:26" ht="12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4"/>
      <c r="W75" s="4"/>
      <c r="X75" s="4"/>
      <c r="Y75" s="4"/>
      <c r="Z75" s="4"/>
    </row>
    <row r="76" spans="1:26" ht="12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4"/>
      <c r="W76" s="4"/>
      <c r="X76" s="4"/>
      <c r="Y76" s="4"/>
      <c r="Z76" s="4"/>
    </row>
    <row r="77" spans="1:26" ht="12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4"/>
      <c r="W77" s="4"/>
      <c r="X77" s="4"/>
      <c r="Y77" s="4"/>
      <c r="Z77" s="4"/>
    </row>
    <row r="78" spans="1:26" ht="12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4"/>
      <c r="W78" s="4"/>
      <c r="X78" s="4"/>
      <c r="Y78" s="4"/>
      <c r="Z78" s="4"/>
    </row>
    <row r="79" spans="1:26" ht="12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4"/>
      <c r="W79" s="4"/>
      <c r="X79" s="4"/>
      <c r="Y79" s="4"/>
      <c r="Z79" s="4"/>
    </row>
    <row r="80" spans="1:26" ht="12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4"/>
      <c r="W80" s="4"/>
      <c r="X80" s="4"/>
      <c r="Y80" s="4"/>
      <c r="Z80" s="4"/>
    </row>
    <row r="81" spans="1:26" ht="12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4"/>
      <c r="W81" s="4"/>
      <c r="X81" s="4"/>
      <c r="Y81" s="4"/>
      <c r="Z81" s="4"/>
    </row>
    <row r="82" spans="1:26" ht="12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4"/>
      <c r="W82" s="4"/>
      <c r="X82" s="4"/>
      <c r="Y82" s="4"/>
      <c r="Z82" s="4"/>
    </row>
    <row r="83" spans="1:26" ht="12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4"/>
      <c r="W83" s="4"/>
      <c r="X83" s="4"/>
      <c r="Y83" s="4"/>
      <c r="Z83" s="4"/>
    </row>
    <row r="84" spans="1:26" ht="12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4"/>
      <c r="W84" s="4"/>
      <c r="X84" s="4"/>
      <c r="Y84" s="4"/>
      <c r="Z84" s="4"/>
    </row>
    <row r="85" spans="1:26" ht="12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4"/>
      <c r="W85" s="4"/>
      <c r="X85" s="4"/>
      <c r="Y85" s="4"/>
      <c r="Z85" s="4"/>
    </row>
    <row r="86" spans="1:26" ht="12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4"/>
      <c r="W86" s="4"/>
      <c r="X86" s="4"/>
      <c r="Y86" s="4"/>
      <c r="Z86" s="4"/>
    </row>
    <row r="87" spans="1:26" ht="12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4"/>
      <c r="W87" s="4"/>
      <c r="X87" s="4"/>
      <c r="Y87" s="4"/>
      <c r="Z87" s="4"/>
    </row>
    <row r="88" spans="1:26" ht="12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4"/>
      <c r="W88" s="4"/>
      <c r="X88" s="4"/>
      <c r="Y88" s="4"/>
      <c r="Z88" s="4"/>
    </row>
    <row r="89" spans="1:26" ht="12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4"/>
      <c r="W89" s="4"/>
      <c r="X89" s="4"/>
      <c r="Y89" s="4"/>
      <c r="Z89" s="4"/>
    </row>
    <row r="90" spans="1:26" ht="12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4"/>
      <c r="W90" s="4"/>
      <c r="X90" s="4"/>
      <c r="Y90" s="4"/>
      <c r="Z90" s="4"/>
    </row>
    <row r="91" spans="1:26" ht="12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4"/>
      <c r="W91" s="4"/>
      <c r="X91" s="4"/>
      <c r="Y91" s="4"/>
      <c r="Z91" s="4"/>
    </row>
    <row r="92" spans="1:26" ht="12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4"/>
      <c r="W92" s="4"/>
      <c r="X92" s="4"/>
      <c r="Y92" s="4"/>
      <c r="Z92" s="4"/>
    </row>
    <row r="93" spans="1:26" ht="12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4"/>
      <c r="W93" s="4"/>
      <c r="X93" s="4"/>
      <c r="Y93" s="4"/>
      <c r="Z93" s="4"/>
    </row>
    <row r="94" spans="1:26" ht="12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4"/>
      <c r="W94" s="4"/>
      <c r="X94" s="4"/>
      <c r="Y94" s="4"/>
      <c r="Z94" s="4"/>
    </row>
    <row r="95" spans="1:26" ht="12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4"/>
      <c r="W95" s="4"/>
      <c r="X95" s="4"/>
      <c r="Y95" s="4"/>
      <c r="Z95" s="4"/>
    </row>
    <row r="96" spans="1:26" ht="12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4"/>
      <c r="W96" s="4"/>
      <c r="X96" s="4"/>
      <c r="Y96" s="4"/>
      <c r="Z96" s="4"/>
    </row>
    <row r="97" spans="1:26" ht="12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4"/>
      <c r="W97" s="4"/>
      <c r="X97" s="4"/>
      <c r="Y97" s="4"/>
      <c r="Z97" s="4"/>
    </row>
    <row r="98" spans="1:26" ht="12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4"/>
      <c r="W98" s="4"/>
      <c r="X98" s="4"/>
      <c r="Y98" s="4"/>
      <c r="Z98" s="4"/>
    </row>
    <row r="99" spans="1:26" ht="12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4"/>
      <c r="W99" s="4"/>
      <c r="X99" s="4"/>
      <c r="Y99" s="4"/>
      <c r="Z99" s="4"/>
    </row>
    <row r="100" spans="1:26" ht="12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4"/>
      <c r="W100" s="4"/>
      <c r="X100" s="4"/>
      <c r="Y100" s="4"/>
      <c r="Z100" s="4"/>
    </row>
    <row r="101" spans="1:26" ht="12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4"/>
      <c r="W101" s="4"/>
      <c r="X101" s="4"/>
      <c r="Y101" s="4"/>
      <c r="Z101" s="4"/>
    </row>
    <row r="102" spans="1:26" ht="12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4"/>
      <c r="W102" s="4"/>
      <c r="X102" s="4"/>
      <c r="Y102" s="4"/>
      <c r="Z102" s="4"/>
    </row>
    <row r="103" spans="1:26" ht="12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4"/>
      <c r="W103" s="4"/>
      <c r="X103" s="4"/>
      <c r="Y103" s="4"/>
      <c r="Z103" s="4"/>
    </row>
    <row r="104" spans="1:26" ht="12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4"/>
      <c r="W104" s="4"/>
      <c r="X104" s="4"/>
      <c r="Y104" s="4"/>
      <c r="Z104" s="4"/>
    </row>
    <row r="105" spans="1:26" ht="12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4"/>
      <c r="W105" s="4"/>
      <c r="X105" s="4"/>
      <c r="Y105" s="4"/>
      <c r="Z105" s="4"/>
    </row>
    <row r="106" spans="1:26" ht="12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4"/>
      <c r="W106" s="4"/>
      <c r="X106" s="4"/>
      <c r="Y106" s="4"/>
      <c r="Z106" s="4"/>
    </row>
    <row r="107" spans="1:26" ht="12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4"/>
      <c r="W107" s="4"/>
      <c r="X107" s="4"/>
      <c r="Y107" s="4"/>
      <c r="Z107" s="4"/>
    </row>
    <row r="108" spans="1:26" ht="12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4"/>
      <c r="W108" s="4"/>
      <c r="X108" s="4"/>
      <c r="Y108" s="4"/>
      <c r="Z108" s="4"/>
    </row>
    <row r="109" spans="1:26" ht="12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4"/>
      <c r="W109" s="4"/>
      <c r="X109" s="4"/>
      <c r="Y109" s="4"/>
      <c r="Z109" s="4"/>
    </row>
    <row r="110" spans="1:26" ht="12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4"/>
      <c r="W110" s="4"/>
      <c r="X110" s="4"/>
      <c r="Y110" s="4"/>
      <c r="Z110" s="4"/>
    </row>
    <row r="111" spans="1:26" ht="12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4"/>
      <c r="W111" s="4"/>
      <c r="X111" s="4"/>
      <c r="Y111" s="4"/>
      <c r="Z111" s="4"/>
    </row>
    <row r="112" spans="1:26" ht="12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4"/>
      <c r="W112" s="4"/>
      <c r="X112" s="4"/>
      <c r="Y112" s="4"/>
      <c r="Z112" s="4"/>
    </row>
    <row r="113" spans="1:26" ht="12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4"/>
      <c r="W113" s="4"/>
      <c r="X113" s="4"/>
      <c r="Y113" s="4"/>
      <c r="Z113" s="4"/>
    </row>
    <row r="114" spans="1:26" ht="12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4"/>
      <c r="W114" s="4"/>
      <c r="X114" s="4"/>
      <c r="Y114" s="4"/>
      <c r="Z114" s="4"/>
    </row>
    <row r="115" spans="1:26" ht="12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4"/>
      <c r="W115" s="4"/>
      <c r="X115" s="4"/>
      <c r="Y115" s="4"/>
      <c r="Z115" s="4"/>
    </row>
    <row r="116" spans="1:26" ht="12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4"/>
      <c r="W116" s="4"/>
      <c r="X116" s="4"/>
      <c r="Y116" s="4"/>
      <c r="Z116" s="4"/>
    </row>
    <row r="117" spans="1:26" ht="12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4"/>
      <c r="W117" s="4"/>
      <c r="X117" s="4"/>
      <c r="Y117" s="4"/>
      <c r="Z117" s="4"/>
    </row>
    <row r="118" spans="1:26" ht="12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4"/>
      <c r="W118" s="4"/>
      <c r="X118" s="4"/>
      <c r="Y118" s="4"/>
      <c r="Z118" s="4"/>
    </row>
    <row r="119" spans="1:26" ht="12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4"/>
      <c r="W119" s="4"/>
      <c r="X119" s="4"/>
      <c r="Y119" s="4"/>
      <c r="Z119" s="4"/>
    </row>
    <row r="120" spans="1:26" ht="12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4"/>
      <c r="W120" s="4"/>
      <c r="X120" s="4"/>
      <c r="Y120" s="4"/>
      <c r="Z120" s="4"/>
    </row>
    <row r="121" spans="1:26" ht="12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4"/>
      <c r="W121" s="4"/>
      <c r="X121" s="4"/>
      <c r="Y121" s="4"/>
      <c r="Z121" s="4"/>
    </row>
    <row r="122" spans="1:26" ht="12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4"/>
      <c r="W122" s="4"/>
      <c r="X122" s="4"/>
      <c r="Y122" s="4"/>
      <c r="Z122" s="4"/>
    </row>
    <row r="123" spans="1:26" ht="12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4"/>
      <c r="W123" s="4"/>
      <c r="X123" s="4"/>
      <c r="Y123" s="4"/>
      <c r="Z123" s="4"/>
    </row>
    <row r="124" spans="1:26" ht="12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4"/>
      <c r="W124" s="4"/>
      <c r="X124" s="4"/>
      <c r="Y124" s="4"/>
      <c r="Z124" s="4"/>
    </row>
    <row r="125" spans="1:26" ht="12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4"/>
      <c r="W125" s="4"/>
      <c r="X125" s="4"/>
      <c r="Y125" s="4"/>
      <c r="Z125" s="4"/>
    </row>
    <row r="126" spans="1:26" ht="12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4"/>
      <c r="W126" s="4"/>
      <c r="X126" s="4"/>
      <c r="Y126" s="4"/>
      <c r="Z126" s="4"/>
    </row>
    <row r="127" spans="1:26" ht="12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4"/>
      <c r="W127" s="4"/>
      <c r="X127" s="4"/>
      <c r="Y127" s="4"/>
      <c r="Z127" s="4"/>
    </row>
    <row r="128" spans="1:26" ht="12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4"/>
      <c r="W128" s="4"/>
      <c r="X128" s="4"/>
      <c r="Y128" s="4"/>
      <c r="Z128" s="4"/>
    </row>
    <row r="129" spans="1:26" ht="12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4"/>
      <c r="W129" s="4"/>
      <c r="X129" s="4"/>
      <c r="Y129" s="4"/>
      <c r="Z129" s="4"/>
    </row>
    <row r="130" spans="1:26" ht="12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4"/>
      <c r="W130" s="4"/>
      <c r="X130" s="4"/>
      <c r="Y130" s="4"/>
      <c r="Z130" s="4"/>
    </row>
    <row r="131" spans="1:26" ht="12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4"/>
      <c r="W131" s="4"/>
      <c r="X131" s="4"/>
      <c r="Y131" s="4"/>
      <c r="Z131" s="4"/>
    </row>
    <row r="132" spans="1:26" ht="12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4"/>
      <c r="W132" s="4"/>
      <c r="X132" s="4"/>
      <c r="Y132" s="4"/>
      <c r="Z132" s="4"/>
    </row>
    <row r="133" spans="1:26" ht="12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4"/>
      <c r="W133" s="4"/>
      <c r="X133" s="4"/>
      <c r="Y133" s="4"/>
      <c r="Z133" s="4"/>
    </row>
    <row r="134" spans="1:26" ht="12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4"/>
      <c r="W134" s="4"/>
      <c r="X134" s="4"/>
      <c r="Y134" s="4"/>
      <c r="Z134" s="4"/>
    </row>
    <row r="135" spans="1:26" ht="12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4"/>
      <c r="W135" s="4"/>
      <c r="X135" s="4"/>
      <c r="Y135" s="4"/>
      <c r="Z135" s="4"/>
    </row>
    <row r="136" spans="1:26" ht="12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4"/>
      <c r="W136" s="4"/>
      <c r="X136" s="4"/>
      <c r="Y136" s="4"/>
      <c r="Z136" s="4"/>
    </row>
    <row r="137" spans="1:26" ht="12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4"/>
      <c r="W137" s="4"/>
      <c r="X137" s="4"/>
      <c r="Y137" s="4"/>
      <c r="Z137" s="4"/>
    </row>
    <row r="138" spans="1:26" ht="12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4"/>
      <c r="W138" s="4"/>
      <c r="X138" s="4"/>
      <c r="Y138" s="4"/>
      <c r="Z138" s="4"/>
    </row>
    <row r="139" spans="1:26" ht="12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4"/>
      <c r="W139" s="4"/>
      <c r="X139" s="4"/>
      <c r="Y139" s="4"/>
      <c r="Z139" s="4"/>
    </row>
    <row r="140" spans="1:26" ht="12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4"/>
      <c r="W140" s="4"/>
      <c r="X140" s="4"/>
      <c r="Y140" s="4"/>
      <c r="Z140" s="4"/>
    </row>
    <row r="141" spans="1:26" ht="12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4"/>
      <c r="W141" s="4"/>
      <c r="X141" s="4"/>
      <c r="Y141" s="4"/>
      <c r="Z141" s="4"/>
    </row>
    <row r="142" spans="1:26" ht="12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4"/>
      <c r="W142" s="4"/>
      <c r="X142" s="4"/>
      <c r="Y142" s="4"/>
      <c r="Z142" s="4"/>
    </row>
    <row r="143" spans="1:26" ht="12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4"/>
      <c r="W143" s="4"/>
      <c r="X143" s="4"/>
      <c r="Y143" s="4"/>
      <c r="Z143" s="4"/>
    </row>
    <row r="144" spans="1:26" ht="12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4"/>
      <c r="W144" s="4"/>
      <c r="X144" s="4"/>
      <c r="Y144" s="4"/>
      <c r="Z144" s="4"/>
    </row>
    <row r="145" spans="1:26" ht="12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4"/>
      <c r="W145" s="4"/>
      <c r="X145" s="4"/>
      <c r="Y145" s="4"/>
      <c r="Z145" s="4"/>
    </row>
    <row r="146" spans="1:26" ht="12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4"/>
      <c r="W146" s="4"/>
      <c r="X146" s="4"/>
      <c r="Y146" s="4"/>
      <c r="Z146" s="4"/>
    </row>
    <row r="147" spans="1:26" ht="12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4"/>
      <c r="W147" s="4"/>
      <c r="X147" s="4"/>
      <c r="Y147" s="4"/>
      <c r="Z147" s="4"/>
    </row>
    <row r="148" spans="1:26" ht="12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4"/>
      <c r="W148" s="4"/>
      <c r="X148" s="4"/>
      <c r="Y148" s="4"/>
      <c r="Z148" s="4"/>
    </row>
    <row r="149" spans="1:26" ht="12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4"/>
      <c r="W149" s="4"/>
      <c r="X149" s="4"/>
      <c r="Y149" s="4"/>
      <c r="Z149" s="4"/>
    </row>
    <row r="150" spans="1:26" ht="12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4"/>
      <c r="W150" s="4"/>
      <c r="X150" s="4"/>
      <c r="Y150" s="4"/>
      <c r="Z150" s="4"/>
    </row>
    <row r="151" spans="1:26" ht="12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4"/>
      <c r="W151" s="4"/>
      <c r="X151" s="4"/>
      <c r="Y151" s="4"/>
      <c r="Z151" s="4"/>
    </row>
    <row r="152" spans="1:26" ht="12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4"/>
      <c r="W152" s="4"/>
      <c r="X152" s="4"/>
      <c r="Y152" s="4"/>
      <c r="Z152" s="4"/>
    </row>
    <row r="153" spans="1:26" ht="12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4"/>
      <c r="W153" s="4"/>
      <c r="X153" s="4"/>
      <c r="Y153" s="4"/>
      <c r="Z153" s="4"/>
    </row>
    <row r="154" spans="1:26" ht="12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4"/>
      <c r="W154" s="4"/>
      <c r="X154" s="4"/>
      <c r="Y154" s="4"/>
      <c r="Z154" s="4"/>
    </row>
    <row r="155" spans="1:26" ht="12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4"/>
      <c r="W155" s="4"/>
      <c r="X155" s="4"/>
      <c r="Y155" s="4"/>
      <c r="Z155" s="4"/>
    </row>
    <row r="156" spans="1:26" ht="12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4"/>
      <c r="W156" s="4"/>
      <c r="X156" s="4"/>
      <c r="Y156" s="4"/>
      <c r="Z156" s="4"/>
    </row>
    <row r="157" spans="1:26" ht="12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4"/>
      <c r="W157" s="4"/>
      <c r="X157" s="4"/>
      <c r="Y157" s="4"/>
      <c r="Z157" s="4"/>
    </row>
    <row r="158" spans="1:26" ht="12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4"/>
      <c r="W158" s="4"/>
      <c r="X158" s="4"/>
      <c r="Y158" s="4"/>
      <c r="Z158" s="4"/>
    </row>
    <row r="159" spans="1:26" ht="12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4"/>
      <c r="W159" s="4"/>
      <c r="X159" s="4"/>
      <c r="Y159" s="4"/>
      <c r="Z159" s="4"/>
    </row>
    <row r="160" spans="1:26" ht="12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4"/>
      <c r="W160" s="4"/>
      <c r="X160" s="4"/>
      <c r="Y160" s="4"/>
      <c r="Z160" s="4"/>
    </row>
    <row r="161" spans="1:26" ht="12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4"/>
      <c r="W161" s="4"/>
      <c r="X161" s="4"/>
      <c r="Y161" s="4"/>
      <c r="Z161" s="4"/>
    </row>
    <row r="162" spans="1:26" ht="12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4"/>
      <c r="W162" s="4"/>
      <c r="X162" s="4"/>
      <c r="Y162" s="4"/>
      <c r="Z162" s="4"/>
    </row>
    <row r="163" spans="1:26" ht="12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4"/>
      <c r="W163" s="4"/>
      <c r="X163" s="4"/>
      <c r="Y163" s="4"/>
      <c r="Z163" s="4"/>
    </row>
    <row r="164" spans="1:26" ht="12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4"/>
      <c r="W164" s="4"/>
      <c r="X164" s="4"/>
      <c r="Y164" s="4"/>
      <c r="Z164" s="4"/>
    </row>
    <row r="165" spans="1:26" ht="12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4"/>
      <c r="W165" s="4"/>
      <c r="X165" s="4"/>
      <c r="Y165" s="4"/>
      <c r="Z165" s="4"/>
    </row>
    <row r="166" spans="1:26" ht="12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4"/>
      <c r="W166" s="4"/>
      <c r="X166" s="4"/>
      <c r="Y166" s="4"/>
      <c r="Z166" s="4"/>
    </row>
    <row r="167" spans="1:26" ht="12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4"/>
      <c r="W167" s="4"/>
      <c r="X167" s="4"/>
      <c r="Y167" s="4"/>
      <c r="Z167" s="4"/>
    </row>
    <row r="168" spans="1:26" ht="12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4"/>
      <c r="W168" s="4"/>
      <c r="X168" s="4"/>
      <c r="Y168" s="4"/>
      <c r="Z168" s="4"/>
    </row>
    <row r="169" spans="1:26" ht="12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4"/>
      <c r="W169" s="4"/>
      <c r="X169" s="4"/>
      <c r="Y169" s="4"/>
      <c r="Z169" s="4"/>
    </row>
    <row r="170" spans="1:26" ht="12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4"/>
      <c r="W170" s="4"/>
      <c r="X170" s="4"/>
      <c r="Y170" s="4"/>
      <c r="Z170" s="4"/>
    </row>
    <row r="171" spans="1:26" ht="12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4"/>
      <c r="W171" s="4"/>
      <c r="X171" s="4"/>
      <c r="Y171" s="4"/>
      <c r="Z171" s="4"/>
    </row>
    <row r="172" spans="1:26" ht="12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4"/>
      <c r="W172" s="4"/>
      <c r="X172" s="4"/>
      <c r="Y172" s="4"/>
      <c r="Z172" s="4"/>
    </row>
    <row r="173" spans="1:26" ht="12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4"/>
      <c r="W173" s="4"/>
      <c r="X173" s="4"/>
      <c r="Y173" s="4"/>
      <c r="Z173" s="4"/>
    </row>
    <row r="174" spans="1:26" ht="12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4"/>
      <c r="W174" s="4"/>
      <c r="X174" s="4"/>
      <c r="Y174" s="4"/>
      <c r="Z174" s="4"/>
    </row>
    <row r="175" spans="1:26" ht="12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4"/>
      <c r="W175" s="4"/>
      <c r="X175" s="4"/>
      <c r="Y175" s="4"/>
      <c r="Z175" s="4"/>
    </row>
    <row r="176" spans="1:26" ht="12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4"/>
      <c r="W176" s="4"/>
      <c r="X176" s="4"/>
      <c r="Y176" s="4"/>
      <c r="Z176" s="4"/>
    </row>
    <row r="177" spans="1:26" ht="12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4"/>
      <c r="W177" s="4"/>
      <c r="X177" s="4"/>
      <c r="Y177" s="4"/>
      <c r="Z177" s="4"/>
    </row>
    <row r="178" spans="1:26" ht="12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4"/>
      <c r="W178" s="4"/>
      <c r="X178" s="4"/>
      <c r="Y178" s="4"/>
      <c r="Z178" s="4"/>
    </row>
    <row r="179" spans="1:26" ht="12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4"/>
      <c r="W179" s="4"/>
      <c r="X179" s="4"/>
      <c r="Y179" s="4"/>
      <c r="Z179" s="4"/>
    </row>
    <row r="180" spans="1:26" ht="12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4"/>
      <c r="W180" s="4"/>
      <c r="X180" s="4"/>
      <c r="Y180" s="4"/>
      <c r="Z180" s="4"/>
    </row>
    <row r="181" spans="1:26" ht="12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4"/>
      <c r="W181" s="4"/>
      <c r="X181" s="4"/>
      <c r="Y181" s="4"/>
      <c r="Z181" s="4"/>
    </row>
    <row r="182" spans="1:26" ht="12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4"/>
      <c r="W182" s="4"/>
      <c r="X182" s="4"/>
      <c r="Y182" s="4"/>
      <c r="Z182" s="4"/>
    </row>
    <row r="183" spans="1:26" ht="12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4"/>
      <c r="W183" s="4"/>
      <c r="X183" s="4"/>
      <c r="Y183" s="4"/>
      <c r="Z183" s="4"/>
    </row>
    <row r="184" spans="1:26" ht="12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4"/>
      <c r="W184" s="4"/>
      <c r="X184" s="4"/>
      <c r="Y184" s="4"/>
      <c r="Z184" s="4"/>
    </row>
    <row r="185" spans="1:26" ht="12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4"/>
      <c r="W185" s="4"/>
      <c r="X185" s="4"/>
      <c r="Y185" s="4"/>
      <c r="Z185" s="4"/>
    </row>
    <row r="186" spans="1:26" ht="12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4"/>
      <c r="W186" s="4"/>
      <c r="X186" s="4"/>
      <c r="Y186" s="4"/>
      <c r="Z186" s="4"/>
    </row>
    <row r="187" spans="1:26" ht="12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4"/>
      <c r="W187" s="4"/>
      <c r="X187" s="4"/>
      <c r="Y187" s="4"/>
      <c r="Z187" s="4"/>
    </row>
    <row r="188" spans="1:26" ht="12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4"/>
      <c r="W188" s="4"/>
      <c r="X188" s="4"/>
      <c r="Y188" s="4"/>
      <c r="Z188" s="4"/>
    </row>
    <row r="189" spans="1:26" ht="12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4"/>
      <c r="W189" s="4"/>
      <c r="X189" s="4"/>
      <c r="Y189" s="4"/>
      <c r="Z189" s="4"/>
    </row>
    <row r="190" spans="1:26" ht="12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4"/>
      <c r="W190" s="4"/>
      <c r="X190" s="4"/>
      <c r="Y190" s="4"/>
      <c r="Z190" s="4"/>
    </row>
    <row r="191" spans="1:26" ht="12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4"/>
      <c r="W191" s="4"/>
      <c r="X191" s="4"/>
      <c r="Y191" s="4"/>
      <c r="Z191" s="4"/>
    </row>
    <row r="192" spans="1:26" ht="12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4"/>
      <c r="W192" s="4"/>
      <c r="X192" s="4"/>
      <c r="Y192" s="4"/>
      <c r="Z192" s="4"/>
    </row>
    <row r="193" spans="1:26" ht="12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4"/>
      <c r="W193" s="4"/>
      <c r="X193" s="4"/>
      <c r="Y193" s="4"/>
      <c r="Z193" s="4"/>
    </row>
    <row r="194" spans="1:26" ht="12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4"/>
      <c r="W194" s="4"/>
      <c r="X194" s="4"/>
      <c r="Y194" s="4"/>
      <c r="Z194" s="4"/>
    </row>
    <row r="195" spans="1:26" ht="12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4"/>
      <c r="W195" s="4"/>
      <c r="X195" s="4"/>
      <c r="Y195" s="4"/>
      <c r="Z195" s="4"/>
    </row>
    <row r="196" spans="1:26" ht="12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4"/>
      <c r="W196" s="4"/>
      <c r="X196" s="4"/>
      <c r="Y196" s="4"/>
      <c r="Z196" s="4"/>
    </row>
    <row r="197" spans="1:26" ht="12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4"/>
      <c r="W197" s="4"/>
      <c r="X197" s="4"/>
      <c r="Y197" s="4"/>
      <c r="Z197" s="4"/>
    </row>
    <row r="198" spans="1:26" ht="12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4"/>
      <c r="W198" s="4"/>
      <c r="X198" s="4"/>
      <c r="Y198" s="4"/>
      <c r="Z198" s="4"/>
    </row>
    <row r="199" spans="1:26" ht="12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4"/>
      <c r="W199" s="4"/>
      <c r="X199" s="4"/>
      <c r="Y199" s="4"/>
      <c r="Z199" s="4"/>
    </row>
    <row r="200" spans="1:26" ht="12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4"/>
      <c r="W200" s="4"/>
      <c r="X200" s="4"/>
      <c r="Y200" s="4"/>
      <c r="Z200" s="4"/>
    </row>
    <row r="201" spans="1:26" ht="12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4"/>
      <c r="W201" s="4"/>
      <c r="X201" s="4"/>
      <c r="Y201" s="4"/>
      <c r="Z201" s="4"/>
    </row>
    <row r="202" spans="1:26" ht="12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4"/>
      <c r="W202" s="4"/>
      <c r="X202" s="4"/>
      <c r="Y202" s="4"/>
      <c r="Z202" s="4"/>
    </row>
    <row r="203" spans="1:26" ht="12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4"/>
      <c r="W203" s="4"/>
      <c r="X203" s="4"/>
      <c r="Y203" s="4"/>
      <c r="Z203" s="4"/>
    </row>
    <row r="204" spans="1:26" ht="12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4"/>
      <c r="W204" s="4"/>
      <c r="X204" s="4"/>
      <c r="Y204" s="4"/>
      <c r="Z204" s="4"/>
    </row>
    <row r="205" spans="1:26" ht="12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4"/>
      <c r="W205" s="4"/>
      <c r="X205" s="4"/>
      <c r="Y205" s="4"/>
      <c r="Z205" s="4"/>
    </row>
    <row r="206" spans="1:26" ht="12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4"/>
      <c r="W206" s="4"/>
      <c r="X206" s="4"/>
      <c r="Y206" s="4"/>
      <c r="Z206" s="4"/>
    </row>
    <row r="207" spans="1:26" ht="12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4"/>
      <c r="W207" s="4"/>
      <c r="X207" s="4"/>
      <c r="Y207" s="4"/>
      <c r="Z207" s="4"/>
    </row>
    <row r="208" spans="1:26" ht="12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4"/>
      <c r="W208" s="4"/>
      <c r="X208" s="4"/>
      <c r="Y208" s="4"/>
      <c r="Z208" s="4"/>
    </row>
    <row r="209" spans="1:26" ht="12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4"/>
      <c r="W209" s="4"/>
      <c r="X209" s="4"/>
      <c r="Y209" s="4"/>
      <c r="Z209" s="4"/>
    </row>
    <row r="210" spans="1:26" ht="12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4"/>
      <c r="W210" s="4"/>
      <c r="X210" s="4"/>
      <c r="Y210" s="4"/>
      <c r="Z210" s="4"/>
    </row>
    <row r="211" spans="1:26" ht="12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4"/>
      <c r="W211" s="4"/>
      <c r="X211" s="4"/>
      <c r="Y211" s="4"/>
      <c r="Z211" s="4"/>
    </row>
    <row r="212" spans="1:26" ht="12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4"/>
      <c r="W212" s="4"/>
      <c r="X212" s="4"/>
      <c r="Y212" s="4"/>
      <c r="Z212" s="4"/>
    </row>
    <row r="213" spans="1:26" ht="12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4"/>
      <c r="W213" s="4"/>
      <c r="X213" s="4"/>
      <c r="Y213" s="4"/>
      <c r="Z213" s="4"/>
    </row>
    <row r="214" spans="1:26" ht="12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4"/>
      <c r="W214" s="4"/>
      <c r="X214" s="4"/>
      <c r="Y214" s="4"/>
      <c r="Z214" s="4"/>
    </row>
    <row r="215" spans="1:26" ht="12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4"/>
      <c r="W215" s="4"/>
      <c r="X215" s="4"/>
      <c r="Y215" s="4"/>
      <c r="Z215" s="4"/>
    </row>
    <row r="216" spans="1:26" ht="12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4"/>
      <c r="W216" s="4"/>
      <c r="X216" s="4"/>
      <c r="Y216" s="4"/>
      <c r="Z216" s="4"/>
    </row>
    <row r="217" spans="1:26" ht="12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4"/>
      <c r="W217" s="4"/>
      <c r="X217" s="4"/>
      <c r="Y217" s="4"/>
      <c r="Z217" s="4"/>
    </row>
    <row r="218" spans="1:26" ht="12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4"/>
      <c r="W218" s="4"/>
      <c r="X218" s="4"/>
      <c r="Y218" s="4"/>
      <c r="Z218" s="4"/>
    </row>
    <row r="219" spans="1:26" ht="12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4"/>
      <c r="W219" s="4"/>
      <c r="X219" s="4"/>
      <c r="Y219" s="4"/>
      <c r="Z219" s="4"/>
    </row>
    <row r="220" spans="1:26" ht="12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4"/>
      <c r="W220" s="4"/>
      <c r="X220" s="4"/>
      <c r="Y220" s="4"/>
      <c r="Z220" s="4"/>
    </row>
    <row r="221" spans="1:26" ht="12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4"/>
      <c r="W221" s="4"/>
      <c r="X221" s="4"/>
      <c r="Y221" s="4"/>
      <c r="Z221" s="4"/>
    </row>
    <row r="222" spans="1:26" ht="12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4"/>
      <c r="W222" s="4"/>
      <c r="X222" s="4"/>
      <c r="Y222" s="4"/>
      <c r="Z222" s="4"/>
    </row>
    <row r="223" spans="1:26" ht="12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4"/>
      <c r="W223" s="4"/>
      <c r="X223" s="4"/>
      <c r="Y223" s="4"/>
      <c r="Z223" s="4"/>
    </row>
    <row r="224" spans="1:26" ht="12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4"/>
      <c r="W224" s="4"/>
      <c r="X224" s="4"/>
      <c r="Y224" s="4"/>
      <c r="Z224" s="4"/>
    </row>
    <row r="225" spans="1:26" ht="12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4"/>
      <c r="W225" s="4"/>
      <c r="X225" s="4"/>
      <c r="Y225" s="4"/>
      <c r="Z225" s="4"/>
    </row>
    <row r="226" spans="1:26" ht="12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4"/>
      <c r="W226" s="4"/>
      <c r="X226" s="4"/>
      <c r="Y226" s="4"/>
      <c r="Z226" s="4"/>
    </row>
    <row r="227" spans="1:26" ht="12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4"/>
      <c r="W227" s="4"/>
      <c r="X227" s="4"/>
      <c r="Y227" s="4"/>
      <c r="Z227" s="4"/>
    </row>
    <row r="228" spans="1:26" ht="12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4"/>
      <c r="W228" s="4"/>
      <c r="X228" s="4"/>
      <c r="Y228" s="4"/>
      <c r="Z228" s="4"/>
    </row>
    <row r="229" spans="1:26" ht="12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4"/>
      <c r="W229" s="4"/>
      <c r="X229" s="4"/>
      <c r="Y229" s="4"/>
      <c r="Z229" s="4"/>
    </row>
    <row r="230" spans="1:26" ht="12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4"/>
      <c r="W230" s="4"/>
      <c r="X230" s="4"/>
      <c r="Y230" s="4"/>
      <c r="Z230" s="4"/>
    </row>
    <row r="231" spans="1:26" ht="12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4"/>
      <c r="W231" s="4"/>
      <c r="X231" s="4"/>
      <c r="Y231" s="4"/>
      <c r="Z231" s="4"/>
    </row>
    <row r="232" spans="1:26" ht="12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4"/>
      <c r="W232" s="4"/>
      <c r="X232" s="4"/>
      <c r="Y232" s="4"/>
      <c r="Z232" s="4"/>
    </row>
    <row r="233" spans="1:26" ht="12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4"/>
      <c r="W233" s="4"/>
      <c r="X233" s="4"/>
      <c r="Y233" s="4"/>
      <c r="Z233" s="4"/>
    </row>
    <row r="234" spans="1:26" ht="12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4"/>
      <c r="W234" s="4"/>
      <c r="X234" s="4"/>
      <c r="Y234" s="4"/>
      <c r="Z234" s="4"/>
    </row>
    <row r="235" spans="1:26" ht="12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4"/>
      <c r="W235" s="4"/>
      <c r="X235" s="4"/>
      <c r="Y235" s="4"/>
      <c r="Z235" s="4"/>
    </row>
    <row r="236" spans="1:26" ht="12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4"/>
      <c r="W236" s="4"/>
      <c r="X236" s="4"/>
      <c r="Y236" s="4"/>
      <c r="Z236" s="4"/>
    </row>
    <row r="237" spans="1:26" ht="12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4"/>
      <c r="W237" s="4"/>
      <c r="X237" s="4"/>
      <c r="Y237" s="4"/>
      <c r="Z237" s="4"/>
    </row>
    <row r="238" spans="1:26" ht="12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4"/>
      <c r="W238" s="4"/>
      <c r="X238" s="4"/>
      <c r="Y238" s="4"/>
      <c r="Z238" s="4"/>
    </row>
    <row r="239" spans="1:26" ht="12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4"/>
      <c r="W239" s="4"/>
      <c r="X239" s="4"/>
      <c r="Y239" s="4"/>
      <c r="Z239" s="4"/>
    </row>
    <row r="240" spans="1:26" ht="12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4"/>
      <c r="W240" s="4"/>
      <c r="X240" s="4"/>
      <c r="Y240" s="4"/>
      <c r="Z240" s="4"/>
    </row>
    <row r="241" spans="1:26" ht="12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4"/>
      <c r="W241" s="4"/>
      <c r="X241" s="4"/>
      <c r="Y241" s="4"/>
      <c r="Z241" s="4"/>
    </row>
    <row r="242" spans="1:26" ht="12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4"/>
      <c r="W242" s="4"/>
      <c r="X242" s="4"/>
      <c r="Y242" s="4"/>
      <c r="Z242" s="4"/>
    </row>
    <row r="243" spans="1:26" ht="12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4"/>
      <c r="W243" s="4"/>
      <c r="X243" s="4"/>
      <c r="Y243" s="4"/>
      <c r="Z243" s="4"/>
    </row>
    <row r="244" spans="1:26" ht="12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4"/>
      <c r="W244" s="4"/>
      <c r="X244" s="4"/>
      <c r="Y244" s="4"/>
      <c r="Z244" s="4"/>
    </row>
    <row r="245" spans="1:26" ht="12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4"/>
      <c r="W245" s="4"/>
      <c r="X245" s="4"/>
      <c r="Y245" s="4"/>
      <c r="Z245" s="4"/>
    </row>
    <row r="246" spans="1:26" ht="12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4"/>
      <c r="W246" s="4"/>
      <c r="X246" s="4"/>
      <c r="Y246" s="4"/>
      <c r="Z246" s="4"/>
    </row>
    <row r="247" spans="1:26" ht="12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4"/>
      <c r="W247" s="4"/>
      <c r="X247" s="4"/>
      <c r="Y247" s="4"/>
      <c r="Z247" s="4"/>
    </row>
    <row r="248" spans="1:26" ht="12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4"/>
      <c r="W248" s="4"/>
      <c r="X248" s="4"/>
      <c r="Y248" s="4"/>
      <c r="Z248" s="4"/>
    </row>
    <row r="249" spans="1:26" ht="12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4"/>
      <c r="W249" s="4"/>
      <c r="X249" s="4"/>
      <c r="Y249" s="4"/>
      <c r="Z249" s="4"/>
    </row>
    <row r="250" spans="1:26" ht="12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4"/>
      <c r="W250" s="4"/>
      <c r="X250" s="4"/>
      <c r="Y250" s="4"/>
      <c r="Z250" s="4"/>
    </row>
    <row r="251" spans="1:26" ht="12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4"/>
      <c r="W251" s="4"/>
      <c r="X251" s="4"/>
      <c r="Y251" s="4"/>
      <c r="Z251" s="4"/>
    </row>
    <row r="252" spans="1:26" ht="12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4"/>
      <c r="W252" s="4"/>
      <c r="X252" s="4"/>
      <c r="Y252" s="4"/>
      <c r="Z252" s="4"/>
    </row>
    <row r="253" spans="1:26" ht="12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4"/>
      <c r="W253" s="4"/>
      <c r="X253" s="4"/>
      <c r="Y253" s="4"/>
      <c r="Z253" s="4"/>
    </row>
    <row r="254" spans="1:26" ht="12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4"/>
      <c r="W254" s="4"/>
      <c r="X254" s="4"/>
      <c r="Y254" s="4"/>
      <c r="Z254" s="4"/>
    </row>
    <row r="255" spans="1:26" ht="12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4"/>
      <c r="W255" s="4"/>
      <c r="X255" s="4"/>
      <c r="Y255" s="4"/>
      <c r="Z255" s="4"/>
    </row>
    <row r="256" spans="1:26" ht="12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4"/>
      <c r="W256" s="4"/>
      <c r="X256" s="4"/>
      <c r="Y256" s="4"/>
      <c r="Z256" s="4"/>
    </row>
    <row r="257" spans="1:26" ht="12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4"/>
      <c r="W257" s="4"/>
      <c r="X257" s="4"/>
      <c r="Y257" s="4"/>
      <c r="Z257" s="4"/>
    </row>
    <row r="258" spans="1:26" ht="12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4"/>
      <c r="W258" s="4"/>
      <c r="X258" s="4"/>
      <c r="Y258" s="4"/>
      <c r="Z258" s="4"/>
    </row>
    <row r="259" spans="1:26" ht="12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4"/>
      <c r="W259" s="4"/>
      <c r="X259" s="4"/>
      <c r="Y259" s="4"/>
      <c r="Z259" s="4"/>
    </row>
    <row r="260" spans="1:26" ht="12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4"/>
      <c r="W260" s="4"/>
      <c r="X260" s="4"/>
      <c r="Y260" s="4"/>
      <c r="Z260" s="4"/>
    </row>
    <row r="261" spans="1:26" ht="12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4"/>
      <c r="W261" s="4"/>
      <c r="X261" s="4"/>
      <c r="Y261" s="4"/>
      <c r="Z261" s="4"/>
    </row>
    <row r="262" spans="1:26" ht="12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4"/>
      <c r="W262" s="4"/>
      <c r="X262" s="4"/>
      <c r="Y262" s="4"/>
      <c r="Z262" s="4"/>
    </row>
    <row r="263" spans="1:26" ht="12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4"/>
      <c r="W263" s="4"/>
      <c r="X263" s="4"/>
      <c r="Y263" s="4"/>
      <c r="Z263" s="4"/>
    </row>
    <row r="264" spans="1:26" ht="12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4"/>
      <c r="W264" s="4"/>
      <c r="X264" s="4"/>
      <c r="Y264" s="4"/>
      <c r="Z264" s="4"/>
    </row>
    <row r="265" spans="1:26" ht="12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4"/>
      <c r="W265" s="4"/>
      <c r="X265" s="4"/>
      <c r="Y265" s="4"/>
      <c r="Z265" s="4"/>
    </row>
    <row r="266" spans="1:26" ht="12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4"/>
      <c r="W266" s="4"/>
      <c r="X266" s="4"/>
      <c r="Y266" s="4"/>
      <c r="Z266" s="4"/>
    </row>
    <row r="267" spans="1:26" ht="12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4"/>
      <c r="W267" s="4"/>
      <c r="X267" s="4"/>
      <c r="Y267" s="4"/>
      <c r="Z267" s="4"/>
    </row>
    <row r="268" spans="1:26" ht="12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4"/>
      <c r="W268" s="4"/>
      <c r="X268" s="4"/>
      <c r="Y268" s="4"/>
      <c r="Z268" s="4"/>
    </row>
    <row r="269" spans="1:26" ht="12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4"/>
      <c r="W269" s="4"/>
      <c r="X269" s="4"/>
      <c r="Y269" s="4"/>
      <c r="Z269" s="4"/>
    </row>
    <row r="270" spans="1:26" ht="12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4"/>
      <c r="W270" s="4"/>
      <c r="X270" s="4"/>
      <c r="Y270" s="4"/>
      <c r="Z270" s="4"/>
    </row>
    <row r="271" spans="1:26" ht="12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4"/>
      <c r="W271" s="4"/>
      <c r="X271" s="4"/>
      <c r="Y271" s="4"/>
      <c r="Z271" s="4"/>
    </row>
    <row r="272" spans="1:26" ht="12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4"/>
      <c r="W272" s="4"/>
      <c r="X272" s="4"/>
      <c r="Y272" s="4"/>
      <c r="Z272" s="4"/>
    </row>
    <row r="273" spans="1:26" ht="12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4"/>
      <c r="W273" s="4"/>
      <c r="X273" s="4"/>
      <c r="Y273" s="4"/>
      <c r="Z273" s="4"/>
    </row>
    <row r="274" spans="1:26" ht="12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4"/>
      <c r="W274" s="4"/>
      <c r="X274" s="4"/>
      <c r="Y274" s="4"/>
      <c r="Z274" s="4"/>
    </row>
    <row r="275" spans="1:26" ht="12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4"/>
      <c r="W275" s="4"/>
      <c r="X275" s="4"/>
      <c r="Y275" s="4"/>
      <c r="Z275" s="4"/>
    </row>
    <row r="276" spans="1:26" ht="12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4"/>
      <c r="W276" s="4"/>
      <c r="X276" s="4"/>
      <c r="Y276" s="4"/>
      <c r="Z276" s="4"/>
    </row>
    <row r="277" spans="1:26" ht="12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4"/>
      <c r="W277" s="4"/>
      <c r="X277" s="4"/>
      <c r="Y277" s="4"/>
      <c r="Z277" s="4"/>
    </row>
    <row r="278" spans="1:26" ht="12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4"/>
      <c r="W278" s="4"/>
      <c r="X278" s="4"/>
      <c r="Y278" s="4"/>
      <c r="Z278" s="4"/>
    </row>
    <row r="279" spans="1:26" ht="12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4"/>
      <c r="W279" s="4"/>
      <c r="X279" s="4"/>
      <c r="Y279" s="4"/>
      <c r="Z279" s="4"/>
    </row>
    <row r="280" spans="1:26" ht="12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4"/>
      <c r="W280" s="4"/>
      <c r="X280" s="4"/>
      <c r="Y280" s="4"/>
      <c r="Z280" s="4"/>
    </row>
    <row r="281" spans="1:26" ht="12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4"/>
      <c r="W281" s="4"/>
      <c r="X281" s="4"/>
      <c r="Y281" s="4"/>
      <c r="Z281" s="4"/>
    </row>
    <row r="282" spans="1:26" ht="12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4"/>
      <c r="W282" s="4"/>
      <c r="X282" s="4"/>
      <c r="Y282" s="4"/>
      <c r="Z282" s="4"/>
    </row>
    <row r="283" spans="1:26" ht="12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4"/>
      <c r="W283" s="4"/>
      <c r="X283" s="4"/>
      <c r="Y283" s="4"/>
      <c r="Z283" s="4"/>
    </row>
    <row r="284" spans="1:26" ht="12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4"/>
      <c r="W284" s="4"/>
      <c r="X284" s="4"/>
      <c r="Y284" s="4"/>
      <c r="Z284" s="4"/>
    </row>
    <row r="285" spans="1:26" ht="12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4"/>
      <c r="W285" s="4"/>
      <c r="X285" s="4"/>
      <c r="Y285" s="4"/>
      <c r="Z285" s="4"/>
    </row>
    <row r="286" spans="1:26" ht="12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4"/>
      <c r="W286" s="4"/>
      <c r="X286" s="4"/>
      <c r="Y286" s="4"/>
      <c r="Z286" s="4"/>
    </row>
    <row r="287" spans="1:26" ht="12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4"/>
      <c r="W287" s="4"/>
      <c r="X287" s="4"/>
      <c r="Y287" s="4"/>
      <c r="Z287" s="4"/>
    </row>
    <row r="288" spans="1:26" ht="12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4"/>
      <c r="W288" s="4"/>
      <c r="X288" s="4"/>
      <c r="Y288" s="4"/>
      <c r="Z288" s="4"/>
    </row>
    <row r="289" spans="1:26" ht="12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4"/>
      <c r="W289" s="4"/>
      <c r="X289" s="4"/>
      <c r="Y289" s="4"/>
      <c r="Z289" s="4"/>
    </row>
    <row r="290" spans="1:26" ht="12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4"/>
      <c r="W290" s="4"/>
      <c r="X290" s="4"/>
      <c r="Y290" s="4"/>
      <c r="Z290" s="4"/>
    </row>
    <row r="291" spans="1:26" ht="12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4"/>
      <c r="W291" s="4"/>
      <c r="X291" s="4"/>
      <c r="Y291" s="4"/>
      <c r="Z291" s="4"/>
    </row>
    <row r="292" spans="1:26" ht="12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4"/>
      <c r="W292" s="4"/>
      <c r="X292" s="4"/>
      <c r="Y292" s="4"/>
      <c r="Z292" s="4"/>
    </row>
    <row r="293" spans="1:26" ht="12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4"/>
      <c r="W293" s="4"/>
      <c r="X293" s="4"/>
      <c r="Y293" s="4"/>
      <c r="Z293" s="4"/>
    </row>
    <row r="294" spans="1:26" ht="12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4"/>
      <c r="W294" s="4"/>
      <c r="X294" s="4"/>
      <c r="Y294" s="4"/>
      <c r="Z294" s="4"/>
    </row>
    <row r="295" spans="1:26" ht="12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4"/>
      <c r="W295" s="4"/>
      <c r="X295" s="4"/>
      <c r="Y295" s="4"/>
      <c r="Z295" s="4"/>
    </row>
    <row r="296" spans="1:26" ht="12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4"/>
      <c r="W296" s="4"/>
      <c r="X296" s="4"/>
      <c r="Y296" s="4"/>
      <c r="Z296" s="4"/>
    </row>
    <row r="297" spans="1:26" ht="12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4"/>
      <c r="W297" s="4"/>
      <c r="X297" s="4"/>
      <c r="Y297" s="4"/>
      <c r="Z297" s="4"/>
    </row>
    <row r="298" spans="1:26" ht="12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4"/>
      <c r="W298" s="4"/>
      <c r="X298" s="4"/>
      <c r="Y298" s="4"/>
      <c r="Z298" s="4"/>
    </row>
    <row r="299" spans="1:26" ht="12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4"/>
      <c r="W299" s="4"/>
      <c r="X299" s="4"/>
      <c r="Y299" s="4"/>
      <c r="Z299" s="4"/>
    </row>
    <row r="300" spans="1:26" ht="12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4"/>
      <c r="W300" s="4"/>
      <c r="X300" s="4"/>
      <c r="Y300" s="4"/>
      <c r="Z300" s="4"/>
    </row>
    <row r="301" spans="1:26" ht="12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4"/>
      <c r="W301" s="4"/>
      <c r="X301" s="4"/>
      <c r="Y301" s="4"/>
      <c r="Z301" s="4"/>
    </row>
    <row r="302" spans="1:26" ht="12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4"/>
      <c r="W302" s="4"/>
      <c r="X302" s="4"/>
      <c r="Y302" s="4"/>
      <c r="Z302" s="4"/>
    </row>
    <row r="303" spans="1:26" ht="12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4"/>
      <c r="W303" s="4"/>
      <c r="X303" s="4"/>
      <c r="Y303" s="4"/>
      <c r="Z303" s="4"/>
    </row>
    <row r="304" spans="1:26" ht="12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4"/>
      <c r="W304" s="4"/>
      <c r="X304" s="4"/>
      <c r="Y304" s="4"/>
      <c r="Z304" s="4"/>
    </row>
    <row r="305" spans="1:26" ht="12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4"/>
      <c r="W305" s="4"/>
      <c r="X305" s="4"/>
      <c r="Y305" s="4"/>
      <c r="Z305" s="4"/>
    </row>
    <row r="306" spans="1:26" ht="12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4"/>
      <c r="W306" s="4"/>
      <c r="X306" s="4"/>
      <c r="Y306" s="4"/>
      <c r="Z306" s="4"/>
    </row>
    <row r="307" spans="1:26" ht="12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4"/>
      <c r="W307" s="4"/>
      <c r="X307" s="4"/>
      <c r="Y307" s="4"/>
      <c r="Z307" s="4"/>
    </row>
    <row r="308" spans="1:26" ht="12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4"/>
      <c r="W308" s="4"/>
      <c r="X308" s="4"/>
      <c r="Y308" s="4"/>
      <c r="Z308" s="4"/>
    </row>
    <row r="309" spans="1:26" ht="12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4"/>
      <c r="W309" s="4"/>
      <c r="X309" s="4"/>
      <c r="Y309" s="4"/>
      <c r="Z309" s="4"/>
    </row>
    <row r="310" spans="1:26" ht="12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4"/>
      <c r="W310" s="4"/>
      <c r="X310" s="4"/>
      <c r="Y310" s="4"/>
      <c r="Z310" s="4"/>
    </row>
    <row r="311" spans="1:26" ht="12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4"/>
      <c r="W311" s="4"/>
      <c r="X311" s="4"/>
      <c r="Y311" s="4"/>
      <c r="Z311" s="4"/>
    </row>
    <row r="312" spans="1:26" ht="12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4"/>
      <c r="W312" s="4"/>
      <c r="X312" s="4"/>
      <c r="Y312" s="4"/>
      <c r="Z312" s="4"/>
    </row>
    <row r="313" spans="1:26" ht="12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4"/>
      <c r="W313" s="4"/>
      <c r="X313" s="4"/>
      <c r="Y313" s="4"/>
      <c r="Z313" s="4"/>
    </row>
    <row r="314" spans="1:26" ht="12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4"/>
      <c r="W314" s="4"/>
      <c r="X314" s="4"/>
      <c r="Y314" s="4"/>
      <c r="Z314" s="4"/>
    </row>
    <row r="315" spans="1:26" ht="12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4"/>
      <c r="W315" s="4"/>
      <c r="X315" s="4"/>
      <c r="Y315" s="4"/>
      <c r="Z315" s="4"/>
    </row>
    <row r="316" spans="1:26" ht="12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4"/>
      <c r="W316" s="4"/>
      <c r="X316" s="4"/>
      <c r="Y316" s="4"/>
      <c r="Z316" s="4"/>
    </row>
    <row r="317" spans="1:26" ht="12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4"/>
      <c r="W317" s="4"/>
      <c r="X317" s="4"/>
      <c r="Y317" s="4"/>
      <c r="Z317" s="4"/>
    </row>
    <row r="318" spans="1:26" ht="12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4"/>
      <c r="W318" s="4"/>
      <c r="X318" s="4"/>
      <c r="Y318" s="4"/>
      <c r="Z318" s="4"/>
    </row>
    <row r="319" spans="1:26" ht="12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4"/>
      <c r="W319" s="4"/>
      <c r="X319" s="4"/>
      <c r="Y319" s="4"/>
      <c r="Z319" s="4"/>
    </row>
    <row r="320" spans="1:26" ht="12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4"/>
      <c r="W320" s="4"/>
      <c r="X320" s="4"/>
      <c r="Y320" s="4"/>
      <c r="Z320" s="4"/>
    </row>
    <row r="321" spans="1:26" ht="12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4"/>
      <c r="W321" s="4"/>
      <c r="X321" s="4"/>
      <c r="Y321" s="4"/>
      <c r="Z321" s="4"/>
    </row>
    <row r="322" spans="1:26" ht="12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4"/>
      <c r="W322" s="4"/>
      <c r="X322" s="4"/>
      <c r="Y322" s="4"/>
      <c r="Z322" s="4"/>
    </row>
    <row r="323" spans="1:26" ht="12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4"/>
      <c r="W323" s="4"/>
      <c r="X323" s="4"/>
      <c r="Y323" s="4"/>
      <c r="Z323" s="4"/>
    </row>
    <row r="324" spans="1:26" ht="12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4"/>
      <c r="W324" s="4"/>
      <c r="X324" s="4"/>
      <c r="Y324" s="4"/>
      <c r="Z324" s="4"/>
    </row>
    <row r="325" spans="1:26" ht="12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4"/>
      <c r="W325" s="4"/>
      <c r="X325" s="4"/>
      <c r="Y325" s="4"/>
      <c r="Z325" s="4"/>
    </row>
    <row r="326" spans="1:26" ht="12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4"/>
      <c r="W326" s="4"/>
      <c r="X326" s="4"/>
      <c r="Y326" s="4"/>
      <c r="Z326" s="4"/>
    </row>
    <row r="327" spans="1:26" ht="12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4"/>
      <c r="W327" s="4"/>
      <c r="X327" s="4"/>
      <c r="Y327" s="4"/>
      <c r="Z327" s="4"/>
    </row>
    <row r="328" spans="1:26" ht="12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4"/>
      <c r="W328" s="4"/>
      <c r="X328" s="4"/>
      <c r="Y328" s="4"/>
      <c r="Z328" s="4"/>
    </row>
    <row r="329" spans="1:26" ht="12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4"/>
      <c r="W329" s="4"/>
      <c r="X329" s="4"/>
      <c r="Y329" s="4"/>
      <c r="Z329" s="4"/>
    </row>
    <row r="330" spans="1:26" ht="12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4"/>
      <c r="W330" s="4"/>
      <c r="X330" s="4"/>
      <c r="Y330" s="4"/>
      <c r="Z330" s="4"/>
    </row>
    <row r="331" spans="1:26" ht="12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4"/>
      <c r="W331" s="4"/>
      <c r="X331" s="4"/>
      <c r="Y331" s="4"/>
      <c r="Z331" s="4"/>
    </row>
    <row r="332" spans="1:26" ht="12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4"/>
      <c r="W332" s="4"/>
      <c r="X332" s="4"/>
      <c r="Y332" s="4"/>
      <c r="Z332" s="4"/>
    </row>
    <row r="333" spans="1:26" ht="12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4"/>
      <c r="W333" s="4"/>
      <c r="X333" s="4"/>
      <c r="Y333" s="4"/>
      <c r="Z333" s="4"/>
    </row>
    <row r="334" spans="1:26" ht="12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4"/>
      <c r="W334" s="4"/>
      <c r="X334" s="4"/>
      <c r="Y334" s="4"/>
      <c r="Z334" s="4"/>
    </row>
    <row r="335" spans="1:26" ht="12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4"/>
      <c r="W335" s="4"/>
      <c r="X335" s="4"/>
      <c r="Y335" s="4"/>
      <c r="Z335" s="4"/>
    </row>
    <row r="336" spans="1:26" ht="12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4"/>
      <c r="W336" s="4"/>
      <c r="X336" s="4"/>
      <c r="Y336" s="4"/>
      <c r="Z336" s="4"/>
    </row>
    <row r="337" spans="1:26" ht="12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4"/>
      <c r="W337" s="4"/>
      <c r="X337" s="4"/>
      <c r="Y337" s="4"/>
      <c r="Z337" s="4"/>
    </row>
    <row r="338" spans="1:26" ht="12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4"/>
      <c r="W338" s="4"/>
      <c r="X338" s="4"/>
      <c r="Y338" s="4"/>
      <c r="Z338" s="4"/>
    </row>
    <row r="339" spans="1:26" ht="12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4"/>
      <c r="W339" s="4"/>
      <c r="X339" s="4"/>
      <c r="Y339" s="4"/>
      <c r="Z339" s="4"/>
    </row>
    <row r="340" spans="1:26" ht="12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4"/>
      <c r="W340" s="4"/>
      <c r="X340" s="4"/>
      <c r="Y340" s="4"/>
      <c r="Z340" s="4"/>
    </row>
    <row r="341" spans="1:26" ht="12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4"/>
      <c r="W341" s="4"/>
      <c r="X341" s="4"/>
      <c r="Y341" s="4"/>
      <c r="Z341" s="4"/>
    </row>
    <row r="342" spans="1:26" ht="12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4"/>
      <c r="W342" s="4"/>
      <c r="X342" s="4"/>
      <c r="Y342" s="4"/>
      <c r="Z342" s="4"/>
    </row>
    <row r="343" spans="1:26" ht="12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4"/>
      <c r="W343" s="4"/>
      <c r="X343" s="4"/>
      <c r="Y343" s="4"/>
      <c r="Z343" s="4"/>
    </row>
    <row r="344" spans="1:26" ht="12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4"/>
      <c r="W344" s="4"/>
      <c r="X344" s="4"/>
      <c r="Y344" s="4"/>
      <c r="Z344" s="4"/>
    </row>
    <row r="345" spans="1:26" ht="12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4"/>
      <c r="W345" s="4"/>
      <c r="X345" s="4"/>
      <c r="Y345" s="4"/>
      <c r="Z345" s="4"/>
    </row>
    <row r="346" spans="1:26" ht="12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4"/>
      <c r="W346" s="4"/>
      <c r="X346" s="4"/>
      <c r="Y346" s="4"/>
      <c r="Z346" s="4"/>
    </row>
    <row r="347" spans="1:26" ht="12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4"/>
      <c r="W347" s="4"/>
      <c r="X347" s="4"/>
      <c r="Y347" s="4"/>
      <c r="Z347" s="4"/>
    </row>
    <row r="348" spans="1:26" ht="12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4"/>
      <c r="W348" s="4"/>
      <c r="X348" s="4"/>
      <c r="Y348" s="4"/>
      <c r="Z348" s="4"/>
    </row>
    <row r="349" spans="1:26" ht="12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4"/>
      <c r="W349" s="4"/>
      <c r="X349" s="4"/>
      <c r="Y349" s="4"/>
      <c r="Z349" s="4"/>
    </row>
    <row r="350" spans="1:26" ht="12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4"/>
      <c r="W350" s="4"/>
      <c r="X350" s="4"/>
      <c r="Y350" s="4"/>
      <c r="Z350" s="4"/>
    </row>
    <row r="351" spans="1:26" ht="12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4"/>
      <c r="W351" s="4"/>
      <c r="X351" s="4"/>
      <c r="Y351" s="4"/>
      <c r="Z351" s="4"/>
    </row>
    <row r="352" spans="1:26" ht="12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4"/>
      <c r="W352" s="4"/>
      <c r="X352" s="4"/>
      <c r="Y352" s="4"/>
      <c r="Z352" s="4"/>
    </row>
    <row r="353" spans="1:26" ht="12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4"/>
      <c r="W353" s="4"/>
      <c r="X353" s="4"/>
      <c r="Y353" s="4"/>
      <c r="Z353" s="4"/>
    </row>
    <row r="354" spans="1:26" ht="12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4"/>
      <c r="W354" s="4"/>
      <c r="X354" s="4"/>
      <c r="Y354" s="4"/>
      <c r="Z354" s="4"/>
    </row>
    <row r="355" spans="1:26" ht="12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4"/>
      <c r="W355" s="4"/>
      <c r="X355" s="4"/>
      <c r="Y355" s="4"/>
      <c r="Z355" s="4"/>
    </row>
    <row r="356" spans="1:26" ht="12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4"/>
      <c r="W356" s="4"/>
      <c r="X356" s="4"/>
      <c r="Y356" s="4"/>
      <c r="Z356" s="4"/>
    </row>
    <row r="357" spans="1:26" ht="12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4"/>
      <c r="W357" s="4"/>
      <c r="X357" s="4"/>
      <c r="Y357" s="4"/>
      <c r="Z357" s="4"/>
    </row>
    <row r="358" spans="1:26" ht="12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4"/>
      <c r="W358" s="4"/>
      <c r="X358" s="4"/>
      <c r="Y358" s="4"/>
      <c r="Z358" s="4"/>
    </row>
    <row r="359" spans="1:26" ht="12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4"/>
      <c r="W359" s="4"/>
      <c r="X359" s="4"/>
      <c r="Y359" s="4"/>
      <c r="Z359" s="4"/>
    </row>
    <row r="360" spans="1:26" ht="12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4"/>
      <c r="W360" s="4"/>
      <c r="X360" s="4"/>
      <c r="Y360" s="4"/>
      <c r="Z360" s="4"/>
    </row>
    <row r="361" spans="1:26" ht="12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4"/>
      <c r="W361" s="4"/>
      <c r="X361" s="4"/>
      <c r="Y361" s="4"/>
      <c r="Z361" s="4"/>
    </row>
    <row r="362" spans="1:26" ht="12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4"/>
      <c r="W362" s="4"/>
      <c r="X362" s="4"/>
      <c r="Y362" s="4"/>
      <c r="Z362" s="4"/>
    </row>
    <row r="363" spans="1:26" ht="12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4"/>
      <c r="W363" s="4"/>
      <c r="X363" s="4"/>
      <c r="Y363" s="4"/>
      <c r="Z363" s="4"/>
    </row>
    <row r="364" spans="1:26" ht="12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4"/>
      <c r="W364" s="4"/>
      <c r="X364" s="4"/>
      <c r="Y364" s="4"/>
      <c r="Z364" s="4"/>
    </row>
    <row r="365" spans="1:26" ht="12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4"/>
      <c r="W365" s="4"/>
      <c r="X365" s="4"/>
      <c r="Y365" s="4"/>
      <c r="Z365" s="4"/>
    </row>
    <row r="366" spans="1:26" ht="12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4"/>
      <c r="W366" s="4"/>
      <c r="X366" s="4"/>
      <c r="Y366" s="4"/>
      <c r="Z366" s="4"/>
    </row>
    <row r="367" spans="1:26" ht="12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4"/>
      <c r="W367" s="4"/>
      <c r="X367" s="4"/>
      <c r="Y367" s="4"/>
      <c r="Z367" s="4"/>
    </row>
    <row r="368" spans="1:26" ht="12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4"/>
      <c r="W368" s="4"/>
      <c r="X368" s="4"/>
      <c r="Y368" s="4"/>
      <c r="Z368" s="4"/>
    </row>
    <row r="369" spans="1:26" ht="12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4"/>
      <c r="W369" s="4"/>
      <c r="X369" s="4"/>
      <c r="Y369" s="4"/>
      <c r="Z369" s="4"/>
    </row>
    <row r="370" spans="1:26" ht="12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4"/>
      <c r="W370" s="4"/>
      <c r="X370" s="4"/>
      <c r="Y370" s="4"/>
      <c r="Z370" s="4"/>
    </row>
    <row r="371" spans="1:26" ht="12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4"/>
      <c r="W371" s="4"/>
      <c r="X371" s="4"/>
      <c r="Y371" s="4"/>
      <c r="Z371" s="4"/>
    </row>
    <row r="372" spans="1:26" ht="12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4"/>
      <c r="W372" s="4"/>
      <c r="X372" s="4"/>
      <c r="Y372" s="4"/>
      <c r="Z372" s="4"/>
    </row>
    <row r="373" spans="1:26" ht="12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4"/>
      <c r="W373" s="4"/>
      <c r="X373" s="4"/>
      <c r="Y373" s="4"/>
      <c r="Z373" s="4"/>
    </row>
    <row r="374" spans="1:26" ht="12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4"/>
      <c r="W374" s="4"/>
      <c r="X374" s="4"/>
      <c r="Y374" s="4"/>
      <c r="Z374" s="4"/>
    </row>
    <row r="375" spans="1:26" ht="12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4"/>
      <c r="W375" s="4"/>
      <c r="X375" s="4"/>
      <c r="Y375" s="4"/>
      <c r="Z375" s="4"/>
    </row>
    <row r="376" spans="1:26" ht="12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4"/>
      <c r="W376" s="4"/>
      <c r="X376" s="4"/>
      <c r="Y376" s="4"/>
      <c r="Z376" s="4"/>
    </row>
    <row r="377" spans="1:26" ht="12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4"/>
      <c r="W377" s="4"/>
      <c r="X377" s="4"/>
      <c r="Y377" s="4"/>
      <c r="Z377" s="4"/>
    </row>
    <row r="378" spans="1:26" ht="12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4"/>
      <c r="W378" s="4"/>
      <c r="X378" s="4"/>
      <c r="Y378" s="4"/>
      <c r="Z378" s="4"/>
    </row>
    <row r="379" spans="1:26" ht="12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4"/>
      <c r="W379" s="4"/>
      <c r="X379" s="4"/>
      <c r="Y379" s="4"/>
      <c r="Z379" s="4"/>
    </row>
    <row r="380" spans="1:26" ht="12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4"/>
      <c r="W380" s="4"/>
      <c r="X380" s="4"/>
      <c r="Y380" s="4"/>
      <c r="Z380" s="4"/>
    </row>
    <row r="381" spans="1:26" ht="12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4"/>
      <c r="W381" s="4"/>
      <c r="X381" s="4"/>
      <c r="Y381" s="4"/>
      <c r="Z381" s="4"/>
    </row>
    <row r="382" spans="1:26" ht="12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4"/>
      <c r="W382" s="4"/>
      <c r="X382" s="4"/>
      <c r="Y382" s="4"/>
      <c r="Z382" s="4"/>
    </row>
    <row r="383" spans="1:26" ht="12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4"/>
      <c r="W383" s="4"/>
      <c r="X383" s="4"/>
      <c r="Y383" s="4"/>
      <c r="Z383" s="4"/>
    </row>
    <row r="384" spans="1:26" ht="12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4"/>
      <c r="W384" s="4"/>
      <c r="X384" s="4"/>
      <c r="Y384" s="4"/>
      <c r="Z384" s="4"/>
    </row>
    <row r="385" spans="1:26" ht="12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4"/>
      <c r="W385" s="4"/>
      <c r="X385" s="4"/>
      <c r="Y385" s="4"/>
      <c r="Z385" s="4"/>
    </row>
    <row r="386" spans="1:26" ht="12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4"/>
      <c r="W386" s="4"/>
      <c r="X386" s="4"/>
      <c r="Y386" s="4"/>
      <c r="Z386" s="4"/>
    </row>
    <row r="387" spans="1:26" ht="12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4"/>
      <c r="W387" s="4"/>
      <c r="X387" s="4"/>
      <c r="Y387" s="4"/>
      <c r="Z387" s="4"/>
    </row>
    <row r="388" spans="1:26" ht="12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4"/>
      <c r="W388" s="4"/>
      <c r="X388" s="4"/>
      <c r="Y388" s="4"/>
      <c r="Z388" s="4"/>
    </row>
    <row r="389" spans="1:26" ht="12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4"/>
      <c r="W389" s="4"/>
      <c r="X389" s="4"/>
      <c r="Y389" s="4"/>
      <c r="Z389" s="4"/>
    </row>
    <row r="390" spans="1:26" ht="12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4"/>
      <c r="W390" s="4"/>
      <c r="X390" s="4"/>
      <c r="Y390" s="4"/>
      <c r="Z390" s="4"/>
    </row>
    <row r="391" spans="1:26" ht="12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4"/>
      <c r="W391" s="4"/>
      <c r="X391" s="4"/>
      <c r="Y391" s="4"/>
      <c r="Z391" s="4"/>
    </row>
    <row r="392" spans="1:26" ht="12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4"/>
      <c r="W392" s="4"/>
      <c r="X392" s="4"/>
      <c r="Y392" s="4"/>
      <c r="Z392" s="4"/>
    </row>
    <row r="393" spans="1:26" ht="12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4"/>
      <c r="W393" s="4"/>
      <c r="X393" s="4"/>
      <c r="Y393" s="4"/>
      <c r="Z393" s="4"/>
    </row>
    <row r="394" spans="1:26" ht="12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4"/>
      <c r="W394" s="4"/>
      <c r="X394" s="4"/>
      <c r="Y394" s="4"/>
      <c r="Z394" s="4"/>
    </row>
    <row r="395" spans="1:26" ht="12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4"/>
      <c r="W395" s="4"/>
      <c r="X395" s="4"/>
      <c r="Y395" s="4"/>
      <c r="Z395" s="4"/>
    </row>
    <row r="396" spans="1:26" ht="12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4"/>
      <c r="W396" s="4"/>
      <c r="X396" s="4"/>
      <c r="Y396" s="4"/>
      <c r="Z396" s="4"/>
    </row>
    <row r="397" spans="1:26" ht="12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4"/>
      <c r="W397" s="4"/>
      <c r="X397" s="4"/>
      <c r="Y397" s="4"/>
      <c r="Z397" s="4"/>
    </row>
    <row r="398" spans="1:26" ht="12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4"/>
      <c r="W398" s="4"/>
      <c r="X398" s="4"/>
      <c r="Y398" s="4"/>
      <c r="Z398" s="4"/>
    </row>
    <row r="399" spans="1:26" ht="12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4"/>
      <c r="W399" s="4"/>
      <c r="X399" s="4"/>
      <c r="Y399" s="4"/>
      <c r="Z399" s="4"/>
    </row>
    <row r="400" spans="1:26" ht="12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4"/>
      <c r="W400" s="4"/>
      <c r="X400" s="4"/>
      <c r="Y400" s="4"/>
      <c r="Z400" s="4"/>
    </row>
    <row r="401" spans="1:26" ht="12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4"/>
      <c r="W401" s="4"/>
      <c r="X401" s="4"/>
      <c r="Y401" s="4"/>
      <c r="Z401" s="4"/>
    </row>
    <row r="402" spans="1:26" ht="12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4"/>
      <c r="W402" s="4"/>
      <c r="X402" s="4"/>
      <c r="Y402" s="4"/>
      <c r="Z402" s="4"/>
    </row>
    <row r="403" spans="1:26" ht="12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4"/>
      <c r="W403" s="4"/>
      <c r="X403" s="4"/>
      <c r="Y403" s="4"/>
      <c r="Z403" s="4"/>
    </row>
    <row r="404" spans="1:26" ht="12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4"/>
      <c r="W404" s="4"/>
      <c r="X404" s="4"/>
      <c r="Y404" s="4"/>
      <c r="Z404" s="4"/>
    </row>
    <row r="405" spans="1:26" ht="12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4"/>
      <c r="W405" s="4"/>
      <c r="X405" s="4"/>
      <c r="Y405" s="4"/>
      <c r="Z405" s="4"/>
    </row>
    <row r="406" spans="1:26" ht="12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4"/>
      <c r="W406" s="4"/>
      <c r="X406" s="4"/>
      <c r="Y406" s="4"/>
      <c r="Z406" s="4"/>
    </row>
    <row r="407" spans="1:26" ht="12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4"/>
      <c r="W407" s="4"/>
      <c r="X407" s="4"/>
      <c r="Y407" s="4"/>
      <c r="Z407" s="4"/>
    </row>
    <row r="408" spans="1:26" ht="12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4"/>
      <c r="W408" s="4"/>
      <c r="X408" s="4"/>
      <c r="Y408" s="4"/>
      <c r="Z408" s="4"/>
    </row>
    <row r="409" spans="1:26" ht="12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4"/>
      <c r="W409" s="4"/>
      <c r="X409" s="4"/>
      <c r="Y409" s="4"/>
      <c r="Z409" s="4"/>
    </row>
    <row r="410" spans="1:26" ht="12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4"/>
      <c r="W410" s="4"/>
      <c r="X410" s="4"/>
      <c r="Y410" s="4"/>
      <c r="Z410" s="4"/>
    </row>
    <row r="411" spans="1:26" ht="12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4"/>
      <c r="W411" s="4"/>
      <c r="X411" s="4"/>
      <c r="Y411" s="4"/>
      <c r="Z411" s="4"/>
    </row>
    <row r="412" spans="1:26" ht="12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4"/>
      <c r="W412" s="4"/>
      <c r="X412" s="4"/>
      <c r="Y412" s="4"/>
      <c r="Z412" s="4"/>
    </row>
    <row r="413" spans="1:26" ht="12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4"/>
      <c r="W413" s="4"/>
      <c r="X413" s="4"/>
      <c r="Y413" s="4"/>
      <c r="Z413" s="4"/>
    </row>
    <row r="414" spans="1:26" ht="12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4"/>
      <c r="W414" s="4"/>
      <c r="X414" s="4"/>
      <c r="Y414" s="4"/>
      <c r="Z414" s="4"/>
    </row>
    <row r="415" spans="1:26" ht="12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4"/>
      <c r="W415" s="4"/>
      <c r="X415" s="4"/>
      <c r="Y415" s="4"/>
      <c r="Z415" s="4"/>
    </row>
    <row r="416" spans="1:26" ht="12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4"/>
      <c r="W416" s="4"/>
      <c r="X416" s="4"/>
      <c r="Y416" s="4"/>
      <c r="Z416" s="4"/>
    </row>
    <row r="417" spans="1:26" ht="12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4"/>
      <c r="W417" s="4"/>
      <c r="X417" s="4"/>
      <c r="Y417" s="4"/>
      <c r="Z417" s="4"/>
    </row>
    <row r="418" spans="1:26" ht="12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4"/>
      <c r="W418" s="4"/>
      <c r="X418" s="4"/>
      <c r="Y418" s="4"/>
      <c r="Z418" s="4"/>
    </row>
    <row r="419" spans="1:26" ht="12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4"/>
      <c r="W419" s="4"/>
      <c r="X419" s="4"/>
      <c r="Y419" s="4"/>
      <c r="Z419" s="4"/>
    </row>
    <row r="420" spans="1:26" ht="12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4"/>
      <c r="W420" s="4"/>
      <c r="X420" s="4"/>
      <c r="Y420" s="4"/>
      <c r="Z420" s="4"/>
    </row>
    <row r="421" spans="1:26" ht="12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4"/>
      <c r="W421" s="4"/>
      <c r="X421" s="4"/>
      <c r="Y421" s="4"/>
      <c r="Z421" s="4"/>
    </row>
    <row r="422" spans="1:26" ht="12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4"/>
      <c r="W422" s="4"/>
      <c r="X422" s="4"/>
      <c r="Y422" s="4"/>
      <c r="Z422" s="4"/>
    </row>
    <row r="423" spans="1:26" ht="12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4"/>
      <c r="W423" s="4"/>
      <c r="X423" s="4"/>
      <c r="Y423" s="4"/>
      <c r="Z423" s="4"/>
    </row>
    <row r="424" spans="1:26" ht="12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4"/>
      <c r="W424" s="4"/>
      <c r="X424" s="4"/>
      <c r="Y424" s="4"/>
      <c r="Z424" s="4"/>
    </row>
    <row r="425" spans="1:26" ht="12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4"/>
      <c r="W425" s="4"/>
      <c r="X425" s="4"/>
      <c r="Y425" s="4"/>
      <c r="Z425" s="4"/>
    </row>
    <row r="426" spans="1:26" ht="12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4"/>
      <c r="W426" s="4"/>
      <c r="X426" s="4"/>
      <c r="Y426" s="4"/>
      <c r="Z426" s="4"/>
    </row>
    <row r="427" spans="1:26" ht="12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4"/>
      <c r="W427" s="4"/>
      <c r="X427" s="4"/>
      <c r="Y427" s="4"/>
      <c r="Z427" s="4"/>
    </row>
    <row r="428" spans="1:26" ht="12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4"/>
      <c r="W428" s="4"/>
      <c r="X428" s="4"/>
      <c r="Y428" s="4"/>
      <c r="Z428" s="4"/>
    </row>
    <row r="429" spans="1:26" ht="12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4"/>
      <c r="W429" s="4"/>
      <c r="X429" s="4"/>
      <c r="Y429" s="4"/>
      <c r="Z429" s="4"/>
    </row>
    <row r="430" spans="1:26" ht="12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4"/>
      <c r="W430" s="4"/>
      <c r="X430" s="4"/>
      <c r="Y430" s="4"/>
      <c r="Z430" s="4"/>
    </row>
    <row r="431" spans="1:26" ht="12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4"/>
      <c r="W431" s="4"/>
      <c r="X431" s="4"/>
      <c r="Y431" s="4"/>
      <c r="Z431" s="4"/>
    </row>
    <row r="432" spans="1:26" ht="12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4"/>
      <c r="W432" s="4"/>
      <c r="X432" s="4"/>
      <c r="Y432" s="4"/>
      <c r="Z432" s="4"/>
    </row>
    <row r="433" spans="1:26" ht="12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4"/>
      <c r="W433" s="4"/>
      <c r="X433" s="4"/>
      <c r="Y433" s="4"/>
      <c r="Z433" s="4"/>
    </row>
    <row r="434" spans="1:26" ht="12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4"/>
      <c r="W434" s="4"/>
      <c r="X434" s="4"/>
      <c r="Y434" s="4"/>
      <c r="Z434" s="4"/>
    </row>
    <row r="435" spans="1:26" ht="12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4"/>
      <c r="W435" s="4"/>
      <c r="X435" s="4"/>
      <c r="Y435" s="4"/>
      <c r="Z435" s="4"/>
    </row>
    <row r="436" spans="1:26" ht="12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4"/>
      <c r="W436" s="4"/>
      <c r="X436" s="4"/>
      <c r="Y436" s="4"/>
      <c r="Z436" s="4"/>
    </row>
    <row r="437" spans="1:26" ht="12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4"/>
      <c r="W437" s="4"/>
      <c r="X437" s="4"/>
      <c r="Y437" s="4"/>
      <c r="Z437" s="4"/>
    </row>
    <row r="438" spans="1:26" ht="12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4"/>
      <c r="W438" s="4"/>
      <c r="X438" s="4"/>
      <c r="Y438" s="4"/>
      <c r="Z438" s="4"/>
    </row>
    <row r="439" spans="1:26" ht="12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4"/>
      <c r="W439" s="4"/>
      <c r="X439" s="4"/>
      <c r="Y439" s="4"/>
      <c r="Z439" s="4"/>
    </row>
    <row r="440" spans="1:26" ht="12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4"/>
      <c r="W440" s="4"/>
      <c r="X440" s="4"/>
      <c r="Y440" s="4"/>
      <c r="Z440" s="4"/>
    </row>
    <row r="441" spans="1:26" ht="12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4"/>
      <c r="W441" s="4"/>
      <c r="X441" s="4"/>
      <c r="Y441" s="4"/>
      <c r="Z441" s="4"/>
    </row>
    <row r="442" spans="1:26" ht="12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4"/>
      <c r="W442" s="4"/>
      <c r="X442" s="4"/>
      <c r="Y442" s="4"/>
      <c r="Z442" s="4"/>
    </row>
    <row r="443" spans="1:26" ht="12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4"/>
      <c r="W443" s="4"/>
      <c r="X443" s="4"/>
      <c r="Y443" s="4"/>
      <c r="Z443" s="4"/>
    </row>
    <row r="444" spans="1:26" ht="12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4"/>
      <c r="W444" s="4"/>
      <c r="X444" s="4"/>
      <c r="Y444" s="4"/>
      <c r="Z444" s="4"/>
    </row>
    <row r="445" spans="1:26" ht="12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4"/>
      <c r="W445" s="4"/>
      <c r="X445" s="4"/>
      <c r="Y445" s="4"/>
      <c r="Z445" s="4"/>
    </row>
    <row r="446" spans="1:26" ht="12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4"/>
      <c r="W446" s="4"/>
      <c r="X446" s="4"/>
      <c r="Y446" s="4"/>
      <c r="Z446" s="4"/>
    </row>
    <row r="447" spans="1:26" ht="12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4"/>
      <c r="W447" s="4"/>
      <c r="X447" s="4"/>
      <c r="Y447" s="4"/>
      <c r="Z447" s="4"/>
    </row>
    <row r="448" spans="1:26" ht="12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4"/>
      <c r="W448" s="4"/>
      <c r="X448" s="4"/>
      <c r="Y448" s="4"/>
      <c r="Z448" s="4"/>
    </row>
    <row r="449" spans="1:26" ht="12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4"/>
      <c r="W449" s="4"/>
      <c r="X449" s="4"/>
      <c r="Y449" s="4"/>
      <c r="Z449" s="4"/>
    </row>
    <row r="450" spans="1:26" ht="12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4"/>
      <c r="W450" s="4"/>
      <c r="X450" s="4"/>
      <c r="Y450" s="4"/>
      <c r="Z450" s="4"/>
    </row>
    <row r="451" spans="1:26" ht="12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4"/>
      <c r="W451" s="4"/>
      <c r="X451" s="4"/>
      <c r="Y451" s="4"/>
      <c r="Z451" s="4"/>
    </row>
    <row r="452" spans="1:26" ht="12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4"/>
      <c r="W452" s="4"/>
      <c r="X452" s="4"/>
      <c r="Y452" s="4"/>
      <c r="Z452" s="4"/>
    </row>
    <row r="453" spans="1:26" ht="12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4"/>
      <c r="W453" s="4"/>
      <c r="X453" s="4"/>
      <c r="Y453" s="4"/>
      <c r="Z453" s="4"/>
    </row>
    <row r="454" spans="1:26" ht="12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4"/>
      <c r="W454" s="4"/>
      <c r="X454" s="4"/>
      <c r="Y454" s="4"/>
      <c r="Z454" s="4"/>
    </row>
    <row r="455" spans="1:26" ht="12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4"/>
      <c r="W455" s="4"/>
      <c r="X455" s="4"/>
      <c r="Y455" s="4"/>
      <c r="Z455" s="4"/>
    </row>
    <row r="456" spans="1:26" ht="12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4"/>
      <c r="W456" s="4"/>
      <c r="X456" s="4"/>
      <c r="Y456" s="4"/>
      <c r="Z456" s="4"/>
    </row>
    <row r="457" spans="1:26" ht="12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4"/>
      <c r="W457" s="4"/>
      <c r="X457" s="4"/>
      <c r="Y457" s="4"/>
      <c r="Z457" s="4"/>
    </row>
    <row r="458" spans="1:26" ht="12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4"/>
      <c r="W458" s="4"/>
      <c r="X458" s="4"/>
      <c r="Y458" s="4"/>
      <c r="Z458" s="4"/>
    </row>
    <row r="459" spans="1:26" ht="12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4"/>
      <c r="W459" s="4"/>
      <c r="X459" s="4"/>
      <c r="Y459" s="4"/>
      <c r="Z459" s="4"/>
    </row>
    <row r="460" spans="1:26" ht="12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4"/>
      <c r="W460" s="4"/>
      <c r="X460" s="4"/>
      <c r="Y460" s="4"/>
      <c r="Z460" s="4"/>
    </row>
    <row r="461" spans="1:26" ht="12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4"/>
      <c r="W461" s="4"/>
      <c r="X461" s="4"/>
      <c r="Y461" s="4"/>
      <c r="Z461" s="4"/>
    </row>
    <row r="462" spans="1:26" ht="12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4"/>
      <c r="W462" s="4"/>
      <c r="X462" s="4"/>
      <c r="Y462" s="4"/>
      <c r="Z462" s="4"/>
    </row>
    <row r="463" spans="1:26" ht="12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4"/>
      <c r="W463" s="4"/>
      <c r="X463" s="4"/>
      <c r="Y463" s="4"/>
      <c r="Z463" s="4"/>
    </row>
    <row r="464" spans="1:26" ht="12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4"/>
      <c r="W464" s="4"/>
      <c r="X464" s="4"/>
      <c r="Y464" s="4"/>
      <c r="Z464" s="4"/>
    </row>
    <row r="465" spans="1:26" ht="12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4"/>
      <c r="W465" s="4"/>
      <c r="X465" s="4"/>
      <c r="Y465" s="4"/>
      <c r="Z465" s="4"/>
    </row>
    <row r="466" spans="1:26" ht="12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4"/>
      <c r="W466" s="4"/>
      <c r="X466" s="4"/>
      <c r="Y466" s="4"/>
      <c r="Z466" s="4"/>
    </row>
    <row r="467" spans="1:26" ht="12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4"/>
      <c r="W467" s="4"/>
      <c r="X467" s="4"/>
      <c r="Y467" s="4"/>
      <c r="Z467" s="4"/>
    </row>
    <row r="468" spans="1:26" ht="12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4"/>
      <c r="W468" s="4"/>
      <c r="X468" s="4"/>
      <c r="Y468" s="4"/>
      <c r="Z468" s="4"/>
    </row>
    <row r="469" spans="1:26" ht="12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4"/>
      <c r="W469" s="4"/>
      <c r="X469" s="4"/>
      <c r="Y469" s="4"/>
      <c r="Z469" s="4"/>
    </row>
    <row r="470" spans="1:26" ht="12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4"/>
      <c r="W470" s="4"/>
      <c r="X470" s="4"/>
      <c r="Y470" s="4"/>
      <c r="Z470" s="4"/>
    </row>
    <row r="471" spans="1:26" ht="12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4"/>
      <c r="W471" s="4"/>
      <c r="X471" s="4"/>
      <c r="Y471" s="4"/>
      <c r="Z471" s="4"/>
    </row>
    <row r="472" spans="1:26" ht="12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4"/>
      <c r="W472" s="4"/>
      <c r="X472" s="4"/>
      <c r="Y472" s="4"/>
      <c r="Z472" s="4"/>
    </row>
    <row r="473" spans="1:26" ht="12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4"/>
      <c r="W473" s="4"/>
      <c r="X473" s="4"/>
      <c r="Y473" s="4"/>
      <c r="Z473" s="4"/>
    </row>
    <row r="474" spans="1:26" ht="12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4"/>
      <c r="W474" s="4"/>
      <c r="X474" s="4"/>
      <c r="Y474" s="4"/>
      <c r="Z474" s="4"/>
    </row>
    <row r="475" spans="1:26" ht="12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4"/>
      <c r="W475" s="4"/>
      <c r="X475" s="4"/>
      <c r="Y475" s="4"/>
      <c r="Z475" s="4"/>
    </row>
    <row r="476" spans="1:26" ht="12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4"/>
      <c r="W476" s="4"/>
      <c r="X476" s="4"/>
      <c r="Y476" s="4"/>
      <c r="Z476" s="4"/>
    </row>
    <row r="477" spans="1:26" ht="12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4"/>
      <c r="W477" s="4"/>
      <c r="X477" s="4"/>
      <c r="Y477" s="4"/>
      <c r="Z477" s="4"/>
    </row>
    <row r="478" spans="1:26" ht="12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4"/>
      <c r="W478" s="4"/>
      <c r="X478" s="4"/>
      <c r="Y478" s="4"/>
      <c r="Z478" s="4"/>
    </row>
    <row r="479" spans="1:26" ht="12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4"/>
      <c r="W479" s="4"/>
      <c r="X479" s="4"/>
      <c r="Y479" s="4"/>
      <c r="Z479" s="4"/>
    </row>
    <row r="480" spans="1:26" ht="12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4"/>
      <c r="W480" s="4"/>
      <c r="X480" s="4"/>
      <c r="Y480" s="4"/>
      <c r="Z480" s="4"/>
    </row>
    <row r="481" spans="1:26" ht="12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4"/>
      <c r="W481" s="4"/>
      <c r="X481" s="4"/>
      <c r="Y481" s="4"/>
      <c r="Z481" s="4"/>
    </row>
    <row r="482" spans="1:26" ht="12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4"/>
      <c r="W482" s="4"/>
      <c r="X482" s="4"/>
      <c r="Y482" s="4"/>
      <c r="Z482" s="4"/>
    </row>
    <row r="483" spans="1:26" ht="12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4"/>
      <c r="W483" s="4"/>
      <c r="X483" s="4"/>
      <c r="Y483" s="4"/>
      <c r="Z483" s="4"/>
    </row>
    <row r="484" spans="1:26" ht="12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4"/>
      <c r="W484" s="4"/>
      <c r="X484" s="4"/>
      <c r="Y484" s="4"/>
      <c r="Z484" s="4"/>
    </row>
    <row r="485" spans="1:26" ht="12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4"/>
      <c r="W485" s="4"/>
      <c r="X485" s="4"/>
      <c r="Y485" s="4"/>
      <c r="Z485" s="4"/>
    </row>
    <row r="486" spans="1:26" ht="12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4"/>
      <c r="W486" s="4"/>
      <c r="X486" s="4"/>
      <c r="Y486" s="4"/>
      <c r="Z486" s="4"/>
    </row>
    <row r="487" spans="1:26" ht="12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4"/>
      <c r="W487" s="4"/>
      <c r="X487" s="4"/>
      <c r="Y487" s="4"/>
      <c r="Z487" s="4"/>
    </row>
    <row r="488" spans="1:26" ht="12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4"/>
      <c r="W488" s="4"/>
      <c r="X488" s="4"/>
      <c r="Y488" s="4"/>
      <c r="Z488" s="4"/>
    </row>
    <row r="489" spans="1:26" ht="12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4"/>
      <c r="W489" s="4"/>
      <c r="X489" s="4"/>
      <c r="Y489" s="4"/>
      <c r="Z489" s="4"/>
    </row>
    <row r="490" spans="1:26" ht="12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4"/>
      <c r="W490" s="4"/>
      <c r="X490" s="4"/>
      <c r="Y490" s="4"/>
      <c r="Z490" s="4"/>
    </row>
    <row r="491" spans="1:26" ht="12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4"/>
      <c r="W491" s="4"/>
      <c r="X491" s="4"/>
      <c r="Y491" s="4"/>
      <c r="Z491" s="4"/>
    </row>
    <row r="492" spans="1:26" ht="12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4"/>
      <c r="W492" s="4"/>
      <c r="X492" s="4"/>
      <c r="Y492" s="4"/>
      <c r="Z492" s="4"/>
    </row>
    <row r="493" spans="1:26" ht="12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4"/>
      <c r="W493" s="4"/>
      <c r="X493" s="4"/>
      <c r="Y493" s="4"/>
      <c r="Z493" s="4"/>
    </row>
    <row r="494" spans="1:26" ht="12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4"/>
      <c r="W494" s="4"/>
      <c r="X494" s="4"/>
      <c r="Y494" s="4"/>
      <c r="Z494" s="4"/>
    </row>
    <row r="495" spans="1:26" ht="12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4"/>
      <c r="W495" s="4"/>
      <c r="X495" s="4"/>
      <c r="Y495" s="4"/>
      <c r="Z495" s="4"/>
    </row>
    <row r="496" spans="1:26" ht="12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4"/>
      <c r="W496" s="4"/>
      <c r="X496" s="4"/>
      <c r="Y496" s="4"/>
      <c r="Z496" s="4"/>
    </row>
    <row r="497" spans="1:26" ht="12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4"/>
      <c r="W497" s="4"/>
      <c r="X497" s="4"/>
      <c r="Y497" s="4"/>
      <c r="Z497" s="4"/>
    </row>
    <row r="498" spans="1:26" ht="12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4"/>
      <c r="W498" s="4"/>
      <c r="X498" s="4"/>
      <c r="Y498" s="4"/>
      <c r="Z498" s="4"/>
    </row>
    <row r="499" spans="1:26" ht="12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4"/>
      <c r="W499" s="4"/>
      <c r="X499" s="4"/>
      <c r="Y499" s="4"/>
      <c r="Z499" s="4"/>
    </row>
    <row r="500" spans="1:26" ht="12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4"/>
      <c r="W500" s="4"/>
      <c r="X500" s="4"/>
      <c r="Y500" s="4"/>
      <c r="Z500" s="4"/>
    </row>
    <row r="501" spans="1:26" ht="12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4"/>
      <c r="W501" s="4"/>
      <c r="X501" s="4"/>
      <c r="Y501" s="4"/>
      <c r="Z501" s="4"/>
    </row>
    <row r="502" spans="1:26" ht="12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4"/>
      <c r="W502" s="4"/>
      <c r="X502" s="4"/>
      <c r="Y502" s="4"/>
      <c r="Z502" s="4"/>
    </row>
    <row r="503" spans="1:26" ht="12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4"/>
      <c r="W503" s="4"/>
      <c r="X503" s="4"/>
      <c r="Y503" s="4"/>
      <c r="Z503" s="4"/>
    </row>
    <row r="504" spans="1:26" ht="12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4"/>
      <c r="W504" s="4"/>
      <c r="X504" s="4"/>
      <c r="Y504" s="4"/>
      <c r="Z504" s="4"/>
    </row>
    <row r="505" spans="1:26" ht="12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4"/>
      <c r="W505" s="4"/>
      <c r="X505" s="4"/>
      <c r="Y505" s="4"/>
      <c r="Z505" s="4"/>
    </row>
    <row r="506" spans="1:26" ht="12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4"/>
      <c r="W506" s="4"/>
      <c r="X506" s="4"/>
      <c r="Y506" s="4"/>
      <c r="Z506" s="4"/>
    </row>
    <row r="507" spans="1:26" ht="12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4"/>
      <c r="W507" s="4"/>
      <c r="X507" s="4"/>
      <c r="Y507" s="4"/>
      <c r="Z507" s="4"/>
    </row>
    <row r="508" spans="1:26" ht="12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4"/>
      <c r="W508" s="4"/>
      <c r="X508" s="4"/>
      <c r="Y508" s="4"/>
      <c r="Z508" s="4"/>
    </row>
    <row r="509" spans="1:26" ht="12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4"/>
      <c r="W509" s="4"/>
      <c r="X509" s="4"/>
      <c r="Y509" s="4"/>
      <c r="Z509" s="4"/>
    </row>
    <row r="510" spans="1:26" ht="12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4"/>
      <c r="W510" s="4"/>
      <c r="X510" s="4"/>
      <c r="Y510" s="4"/>
      <c r="Z510" s="4"/>
    </row>
    <row r="511" spans="1:26" ht="12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4"/>
      <c r="W511" s="4"/>
      <c r="X511" s="4"/>
      <c r="Y511" s="4"/>
      <c r="Z511" s="4"/>
    </row>
    <row r="512" spans="1:26" ht="12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4"/>
      <c r="W512" s="4"/>
      <c r="X512" s="4"/>
      <c r="Y512" s="4"/>
      <c r="Z512" s="4"/>
    </row>
    <row r="513" spans="1:26" ht="12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4"/>
      <c r="W513" s="4"/>
      <c r="X513" s="4"/>
      <c r="Y513" s="4"/>
      <c r="Z513" s="4"/>
    </row>
    <row r="514" spans="1:26" ht="12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4"/>
      <c r="W514" s="4"/>
      <c r="X514" s="4"/>
      <c r="Y514" s="4"/>
      <c r="Z514" s="4"/>
    </row>
    <row r="515" spans="1:26" ht="12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4"/>
      <c r="W515" s="4"/>
      <c r="X515" s="4"/>
      <c r="Y515" s="4"/>
      <c r="Z515" s="4"/>
    </row>
    <row r="516" spans="1:26" ht="12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4"/>
      <c r="W516" s="4"/>
      <c r="X516" s="4"/>
      <c r="Y516" s="4"/>
      <c r="Z516" s="4"/>
    </row>
    <row r="517" spans="1:26" ht="12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4"/>
      <c r="W517" s="4"/>
      <c r="X517" s="4"/>
      <c r="Y517" s="4"/>
      <c r="Z517" s="4"/>
    </row>
    <row r="518" spans="1:26" ht="12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4"/>
      <c r="W518" s="4"/>
      <c r="X518" s="4"/>
      <c r="Y518" s="4"/>
      <c r="Z518" s="4"/>
    </row>
    <row r="519" spans="1:26" ht="12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4"/>
      <c r="W519" s="4"/>
      <c r="X519" s="4"/>
      <c r="Y519" s="4"/>
      <c r="Z519" s="4"/>
    </row>
    <row r="520" spans="1:26" ht="12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4"/>
      <c r="W520" s="4"/>
      <c r="X520" s="4"/>
      <c r="Y520" s="4"/>
      <c r="Z520" s="4"/>
    </row>
    <row r="521" spans="1:26" ht="12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4"/>
      <c r="W521" s="4"/>
      <c r="X521" s="4"/>
      <c r="Y521" s="4"/>
      <c r="Z521" s="4"/>
    </row>
    <row r="522" spans="1:26" ht="12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4"/>
      <c r="W522" s="4"/>
      <c r="X522" s="4"/>
      <c r="Y522" s="4"/>
      <c r="Z522" s="4"/>
    </row>
    <row r="523" spans="1:26" ht="12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4"/>
      <c r="W523" s="4"/>
      <c r="X523" s="4"/>
      <c r="Y523" s="4"/>
      <c r="Z523" s="4"/>
    </row>
    <row r="524" spans="1:26" ht="12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4"/>
      <c r="W524" s="4"/>
      <c r="X524" s="4"/>
      <c r="Y524" s="4"/>
      <c r="Z524" s="4"/>
    </row>
    <row r="525" spans="1:26" ht="12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4"/>
      <c r="W525" s="4"/>
      <c r="X525" s="4"/>
      <c r="Y525" s="4"/>
      <c r="Z525" s="4"/>
    </row>
    <row r="526" spans="1:26" ht="12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4"/>
      <c r="W526" s="4"/>
      <c r="X526" s="4"/>
      <c r="Y526" s="4"/>
      <c r="Z526" s="4"/>
    </row>
    <row r="527" spans="1:26" ht="12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4"/>
      <c r="W527" s="4"/>
      <c r="X527" s="4"/>
      <c r="Y527" s="4"/>
      <c r="Z527" s="4"/>
    </row>
    <row r="528" spans="1:26" ht="12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4"/>
      <c r="W528" s="4"/>
      <c r="X528" s="4"/>
      <c r="Y528" s="4"/>
      <c r="Z528" s="4"/>
    </row>
    <row r="529" spans="1:26" ht="12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4"/>
      <c r="W529" s="4"/>
      <c r="X529" s="4"/>
      <c r="Y529" s="4"/>
      <c r="Z529" s="4"/>
    </row>
    <row r="530" spans="1:26" ht="12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4"/>
      <c r="W530" s="4"/>
      <c r="X530" s="4"/>
      <c r="Y530" s="4"/>
      <c r="Z530" s="4"/>
    </row>
    <row r="531" spans="1:26" ht="12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4"/>
      <c r="W531" s="4"/>
      <c r="X531" s="4"/>
      <c r="Y531" s="4"/>
      <c r="Z531" s="4"/>
    </row>
    <row r="532" spans="1:26" ht="12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4"/>
      <c r="W532" s="4"/>
      <c r="X532" s="4"/>
      <c r="Y532" s="4"/>
      <c r="Z532" s="4"/>
    </row>
    <row r="533" spans="1:26" ht="12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4"/>
      <c r="W533" s="4"/>
      <c r="X533" s="4"/>
      <c r="Y533" s="4"/>
      <c r="Z533" s="4"/>
    </row>
    <row r="534" spans="1:26" ht="12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4"/>
      <c r="W534" s="4"/>
      <c r="X534" s="4"/>
      <c r="Y534" s="4"/>
      <c r="Z534" s="4"/>
    </row>
    <row r="535" spans="1:26" ht="12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4"/>
      <c r="W535" s="4"/>
      <c r="X535" s="4"/>
      <c r="Y535" s="4"/>
      <c r="Z535" s="4"/>
    </row>
    <row r="536" spans="1:26" ht="12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4"/>
      <c r="W536" s="4"/>
      <c r="X536" s="4"/>
      <c r="Y536" s="4"/>
      <c r="Z536" s="4"/>
    </row>
    <row r="537" spans="1:26" ht="12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4"/>
      <c r="W537" s="4"/>
      <c r="X537" s="4"/>
      <c r="Y537" s="4"/>
      <c r="Z537" s="4"/>
    </row>
    <row r="538" spans="1:26" ht="12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4"/>
      <c r="W538" s="4"/>
      <c r="X538" s="4"/>
      <c r="Y538" s="4"/>
      <c r="Z538" s="4"/>
    </row>
    <row r="539" spans="1:26" ht="12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4"/>
      <c r="W539" s="4"/>
      <c r="X539" s="4"/>
      <c r="Y539" s="4"/>
      <c r="Z539" s="4"/>
    </row>
    <row r="540" spans="1:26" ht="12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4"/>
      <c r="W540" s="4"/>
      <c r="X540" s="4"/>
      <c r="Y540" s="4"/>
      <c r="Z540" s="4"/>
    </row>
    <row r="541" spans="1:26" ht="12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4"/>
      <c r="W541" s="4"/>
      <c r="X541" s="4"/>
      <c r="Y541" s="4"/>
      <c r="Z541" s="4"/>
    </row>
    <row r="542" spans="1:26" ht="12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4"/>
      <c r="W542" s="4"/>
      <c r="X542" s="4"/>
      <c r="Y542" s="4"/>
      <c r="Z542" s="4"/>
    </row>
    <row r="543" spans="1:26" ht="12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4"/>
      <c r="W543" s="4"/>
      <c r="X543" s="4"/>
      <c r="Y543" s="4"/>
      <c r="Z543" s="4"/>
    </row>
    <row r="544" spans="1:26" ht="12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4"/>
      <c r="W544" s="4"/>
      <c r="X544" s="4"/>
      <c r="Y544" s="4"/>
      <c r="Z544" s="4"/>
    </row>
    <row r="545" spans="1:26" ht="12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4"/>
      <c r="W545" s="4"/>
      <c r="X545" s="4"/>
      <c r="Y545" s="4"/>
      <c r="Z545" s="4"/>
    </row>
    <row r="546" spans="1:26" ht="12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4"/>
      <c r="W546" s="4"/>
      <c r="X546" s="4"/>
      <c r="Y546" s="4"/>
      <c r="Z546" s="4"/>
    </row>
    <row r="547" spans="1:26" ht="12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4"/>
      <c r="W547" s="4"/>
      <c r="X547" s="4"/>
      <c r="Y547" s="4"/>
      <c r="Z547" s="4"/>
    </row>
    <row r="548" spans="1:26" ht="12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4"/>
      <c r="W548" s="4"/>
      <c r="X548" s="4"/>
      <c r="Y548" s="4"/>
      <c r="Z548" s="4"/>
    </row>
    <row r="549" spans="1:26" ht="12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4"/>
      <c r="W549" s="4"/>
      <c r="X549" s="4"/>
      <c r="Y549" s="4"/>
      <c r="Z549" s="4"/>
    </row>
    <row r="550" spans="1:26" ht="12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4"/>
      <c r="W550" s="4"/>
      <c r="X550" s="4"/>
      <c r="Y550" s="4"/>
      <c r="Z550" s="4"/>
    </row>
    <row r="551" spans="1:26" ht="12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4"/>
      <c r="W551" s="4"/>
      <c r="X551" s="4"/>
      <c r="Y551" s="4"/>
      <c r="Z551" s="4"/>
    </row>
    <row r="552" spans="1:26" ht="12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4"/>
      <c r="W552" s="4"/>
      <c r="X552" s="4"/>
      <c r="Y552" s="4"/>
      <c r="Z552" s="4"/>
    </row>
    <row r="553" spans="1:26" ht="12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4"/>
      <c r="W553" s="4"/>
      <c r="X553" s="4"/>
      <c r="Y553" s="4"/>
      <c r="Z553" s="4"/>
    </row>
    <row r="554" spans="1:26" ht="12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4"/>
      <c r="W554" s="4"/>
      <c r="X554" s="4"/>
      <c r="Y554" s="4"/>
      <c r="Z554" s="4"/>
    </row>
    <row r="555" spans="1:26" ht="12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4"/>
      <c r="W555" s="4"/>
      <c r="X555" s="4"/>
      <c r="Y555" s="4"/>
      <c r="Z555" s="4"/>
    </row>
    <row r="556" spans="1:26" ht="12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4"/>
      <c r="W556" s="4"/>
      <c r="X556" s="4"/>
      <c r="Y556" s="4"/>
      <c r="Z556" s="4"/>
    </row>
    <row r="557" spans="1:26" ht="12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4"/>
      <c r="W557" s="4"/>
      <c r="X557" s="4"/>
      <c r="Y557" s="4"/>
      <c r="Z557" s="4"/>
    </row>
    <row r="558" spans="1:26" ht="12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4"/>
      <c r="W558" s="4"/>
      <c r="X558" s="4"/>
      <c r="Y558" s="4"/>
      <c r="Z558" s="4"/>
    </row>
    <row r="559" spans="1:26" ht="12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4"/>
      <c r="W559" s="4"/>
      <c r="X559" s="4"/>
      <c r="Y559" s="4"/>
      <c r="Z559" s="4"/>
    </row>
    <row r="560" spans="1:26" ht="12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4"/>
      <c r="W560" s="4"/>
      <c r="X560" s="4"/>
      <c r="Y560" s="4"/>
      <c r="Z560" s="4"/>
    </row>
    <row r="561" spans="1:26" ht="12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4"/>
      <c r="W561" s="4"/>
      <c r="X561" s="4"/>
      <c r="Y561" s="4"/>
      <c r="Z561" s="4"/>
    </row>
    <row r="562" spans="1:26" ht="12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4"/>
      <c r="W562" s="4"/>
      <c r="X562" s="4"/>
      <c r="Y562" s="4"/>
      <c r="Z562" s="4"/>
    </row>
    <row r="563" spans="1:26" ht="12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4"/>
      <c r="W563" s="4"/>
      <c r="X563" s="4"/>
      <c r="Y563" s="4"/>
      <c r="Z563" s="4"/>
    </row>
    <row r="564" spans="1:26" ht="12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4"/>
      <c r="W564" s="4"/>
      <c r="X564" s="4"/>
      <c r="Y564" s="4"/>
      <c r="Z564" s="4"/>
    </row>
    <row r="565" spans="1:26" ht="12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4"/>
      <c r="W565" s="4"/>
      <c r="X565" s="4"/>
      <c r="Y565" s="4"/>
      <c r="Z565" s="4"/>
    </row>
    <row r="566" spans="1:26" ht="12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4"/>
      <c r="W566" s="4"/>
      <c r="X566" s="4"/>
      <c r="Y566" s="4"/>
      <c r="Z566" s="4"/>
    </row>
    <row r="567" spans="1:26" ht="12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4"/>
      <c r="W567" s="4"/>
      <c r="X567" s="4"/>
      <c r="Y567" s="4"/>
      <c r="Z567" s="4"/>
    </row>
    <row r="568" spans="1:26" ht="12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4"/>
      <c r="W568" s="4"/>
      <c r="X568" s="4"/>
      <c r="Y568" s="4"/>
      <c r="Z568" s="4"/>
    </row>
    <row r="569" spans="1:26" ht="12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4"/>
      <c r="W569" s="4"/>
      <c r="X569" s="4"/>
      <c r="Y569" s="4"/>
      <c r="Z569" s="4"/>
    </row>
    <row r="570" spans="1:26" ht="12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4"/>
      <c r="W570" s="4"/>
      <c r="X570" s="4"/>
      <c r="Y570" s="4"/>
      <c r="Z570" s="4"/>
    </row>
    <row r="571" spans="1:26" ht="12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4"/>
      <c r="W571" s="4"/>
      <c r="X571" s="4"/>
      <c r="Y571" s="4"/>
      <c r="Z571" s="4"/>
    </row>
    <row r="572" spans="1:26" ht="12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4"/>
      <c r="W572" s="4"/>
      <c r="X572" s="4"/>
      <c r="Y572" s="4"/>
      <c r="Z572" s="4"/>
    </row>
    <row r="573" spans="1:26" ht="12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4"/>
      <c r="W573" s="4"/>
      <c r="X573" s="4"/>
      <c r="Y573" s="4"/>
      <c r="Z573" s="4"/>
    </row>
    <row r="574" spans="1:26" ht="12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4"/>
      <c r="W574" s="4"/>
      <c r="X574" s="4"/>
      <c r="Y574" s="4"/>
      <c r="Z574" s="4"/>
    </row>
    <row r="575" spans="1:26" ht="12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4"/>
      <c r="W575" s="4"/>
      <c r="X575" s="4"/>
      <c r="Y575" s="4"/>
      <c r="Z575" s="4"/>
    </row>
    <row r="576" spans="1:26" ht="12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4"/>
      <c r="W576" s="4"/>
      <c r="X576" s="4"/>
      <c r="Y576" s="4"/>
      <c r="Z576" s="4"/>
    </row>
    <row r="577" spans="1:26" ht="12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4"/>
      <c r="W577" s="4"/>
      <c r="X577" s="4"/>
      <c r="Y577" s="4"/>
      <c r="Z577" s="4"/>
    </row>
    <row r="578" spans="1:26" ht="12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4"/>
      <c r="W578" s="4"/>
      <c r="X578" s="4"/>
      <c r="Y578" s="4"/>
      <c r="Z578" s="4"/>
    </row>
    <row r="579" spans="1:26" ht="12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4"/>
      <c r="W579" s="4"/>
      <c r="X579" s="4"/>
      <c r="Y579" s="4"/>
      <c r="Z579" s="4"/>
    </row>
    <row r="580" spans="1:26" ht="12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4"/>
      <c r="W580" s="4"/>
      <c r="X580" s="4"/>
      <c r="Y580" s="4"/>
      <c r="Z580" s="4"/>
    </row>
    <row r="581" spans="1:26" ht="12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4"/>
      <c r="W581" s="4"/>
      <c r="X581" s="4"/>
      <c r="Y581" s="4"/>
      <c r="Z581" s="4"/>
    </row>
    <row r="582" spans="1:26" ht="12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4"/>
      <c r="W582" s="4"/>
      <c r="X582" s="4"/>
      <c r="Y582" s="4"/>
      <c r="Z582" s="4"/>
    </row>
    <row r="583" spans="1:26" ht="12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4"/>
      <c r="W583" s="4"/>
      <c r="X583" s="4"/>
      <c r="Y583" s="4"/>
      <c r="Z583" s="4"/>
    </row>
    <row r="584" spans="1:26" ht="12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4"/>
      <c r="W584" s="4"/>
      <c r="X584" s="4"/>
      <c r="Y584" s="4"/>
      <c r="Z584" s="4"/>
    </row>
    <row r="585" spans="1:26" ht="12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4"/>
      <c r="W585" s="4"/>
      <c r="X585" s="4"/>
      <c r="Y585" s="4"/>
      <c r="Z585" s="4"/>
    </row>
    <row r="586" spans="1:26" ht="12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4"/>
      <c r="W586" s="4"/>
      <c r="X586" s="4"/>
      <c r="Y586" s="4"/>
      <c r="Z586" s="4"/>
    </row>
    <row r="587" spans="1:26" ht="12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4"/>
      <c r="W587" s="4"/>
      <c r="X587" s="4"/>
      <c r="Y587" s="4"/>
      <c r="Z587" s="4"/>
    </row>
    <row r="588" spans="1:26" ht="12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4"/>
      <c r="W588" s="4"/>
      <c r="X588" s="4"/>
      <c r="Y588" s="4"/>
      <c r="Z588" s="4"/>
    </row>
    <row r="589" spans="1:26" ht="12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8" t="s">
        <v>158</v>
      </c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4"/>
      <c r="W589" s="4"/>
      <c r="X589" s="4"/>
      <c r="Y589" s="4"/>
      <c r="Z589" s="4"/>
    </row>
    <row r="590" spans="1:26" ht="12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4"/>
      <c r="W590" s="4"/>
      <c r="X590" s="4"/>
      <c r="Y590" s="4"/>
      <c r="Z590" s="4"/>
    </row>
    <row r="591" spans="1:26" ht="12.7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1">
    <mergeCell ref="B36:D36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2"/>
  <sheetViews>
    <sheetView workbookViewId="0">
      <selection activeCell="H29" sqref="H29"/>
    </sheetView>
  </sheetViews>
  <sheetFormatPr baseColWidth="10" defaultRowHeight="12.75"/>
  <cols>
    <col min="5" max="5" width="13.85546875" bestFit="1" customWidth="1"/>
  </cols>
  <sheetData>
    <row r="1" spans="1:13">
      <c r="A1" s="256"/>
      <c r="B1" s="574"/>
      <c r="C1" s="574"/>
      <c r="D1" s="574"/>
      <c r="E1" s="574"/>
      <c r="F1" s="574"/>
      <c r="G1" s="264"/>
      <c r="H1" s="264"/>
      <c r="I1" s="264"/>
      <c r="J1" s="264"/>
      <c r="K1" s="264"/>
      <c r="L1" s="264"/>
      <c r="M1" s="264"/>
    </row>
    <row r="2" spans="1:13">
      <c r="A2" s="574"/>
      <c r="B2" s="574"/>
      <c r="C2" s="574"/>
      <c r="D2" s="574"/>
      <c r="E2" s="574"/>
      <c r="F2" s="574"/>
      <c r="G2" s="264"/>
      <c r="H2" s="264"/>
      <c r="I2" s="264"/>
      <c r="J2" s="264"/>
      <c r="K2" s="264"/>
      <c r="L2" s="264"/>
      <c r="M2" s="264"/>
    </row>
    <row r="3" spans="1:13" ht="15">
      <c r="A3" s="574"/>
      <c r="B3" s="578" t="s">
        <v>683</v>
      </c>
      <c r="C3" s="496"/>
      <c r="D3" s="496"/>
      <c r="E3" s="496"/>
      <c r="F3" s="496"/>
      <c r="G3" s="4"/>
      <c r="H3" t="s">
        <v>684</v>
      </c>
      <c r="I3" s="4"/>
      <c r="J3" s="4"/>
      <c r="K3" s="4"/>
      <c r="L3" s="4"/>
      <c r="M3" s="4"/>
    </row>
    <row r="4" spans="1:13" ht="15">
      <c r="A4" s="574"/>
      <c r="B4" s="578"/>
      <c r="C4" s="496"/>
      <c r="D4" s="496"/>
      <c r="E4" s="496"/>
      <c r="F4" s="496"/>
      <c r="G4" s="4"/>
      <c r="I4" s="4"/>
      <c r="J4" s="4"/>
      <c r="K4" s="4"/>
      <c r="L4" s="4"/>
      <c r="M4" s="4"/>
    </row>
    <row r="5" spans="1:13">
      <c r="A5" s="574"/>
      <c r="B5" s="649" t="s">
        <v>685</v>
      </c>
      <c r="C5" s="649"/>
      <c r="D5" s="649"/>
      <c r="E5" s="265">
        <v>0.2</v>
      </c>
      <c r="F5" s="473"/>
      <c r="G5" s="4"/>
      <c r="H5" s="4"/>
      <c r="I5" s="4"/>
      <c r="J5" s="4"/>
      <c r="K5" s="4"/>
      <c r="L5" s="4"/>
      <c r="M5" s="4"/>
    </row>
    <row r="6" spans="1:13">
      <c r="A6" s="574"/>
      <c r="B6" s="404"/>
      <c r="C6" s="404"/>
      <c r="D6" s="404"/>
      <c r="E6" s="265"/>
      <c r="F6" s="473"/>
      <c r="G6" s="4"/>
      <c r="H6" s="4"/>
      <c r="I6" s="4"/>
      <c r="J6" s="4"/>
      <c r="K6" s="4"/>
      <c r="L6" s="4"/>
      <c r="M6" s="4"/>
    </row>
    <row r="7" spans="1:13">
      <c r="A7" s="574"/>
      <c r="B7" s="261" t="s">
        <v>65</v>
      </c>
      <c r="C7" s="404"/>
      <c r="D7" s="404"/>
      <c r="E7" s="265"/>
      <c r="F7" s="473"/>
      <c r="G7" s="2"/>
      <c r="H7" s="4"/>
      <c r="I7" s="4"/>
      <c r="J7" s="4"/>
      <c r="K7" s="4"/>
      <c r="L7" s="2"/>
      <c r="M7" s="4"/>
    </row>
    <row r="8" spans="1:13">
      <c r="A8" s="574"/>
      <c r="B8" s="473" t="s">
        <v>686</v>
      </c>
      <c r="C8" s="496"/>
      <c r="D8" s="473"/>
      <c r="E8" s="375">
        <f>1000000</f>
        <v>1000000</v>
      </c>
      <c r="F8" s="496"/>
      <c r="H8" s="4"/>
      <c r="J8" s="4"/>
      <c r="K8" s="4"/>
      <c r="M8" s="4"/>
    </row>
    <row r="9" spans="1:13">
      <c r="A9" s="574"/>
      <c r="B9" s="650" t="s">
        <v>687</v>
      </c>
      <c r="C9" s="650"/>
      <c r="D9" s="473"/>
      <c r="E9" s="579">
        <f>E11*2</f>
        <v>46231.330699583079</v>
      </c>
      <c r="F9" s="496"/>
      <c r="G9" s="651"/>
      <c r="H9" s="651"/>
      <c r="J9" s="266"/>
      <c r="K9" s="266"/>
      <c r="L9" s="651"/>
      <c r="M9" s="651"/>
    </row>
    <row r="10" spans="1:13">
      <c r="A10" s="574"/>
      <c r="B10" s="473"/>
      <c r="C10" s="473" t="s">
        <v>688</v>
      </c>
      <c r="D10" s="473"/>
      <c r="E10" s="579">
        <f>E11/6*2</f>
        <v>7705.2217832638462</v>
      </c>
      <c r="F10" s="496"/>
      <c r="G10" s="267"/>
      <c r="J10" s="266"/>
      <c r="K10" s="4"/>
      <c r="L10" s="267"/>
    </row>
    <row r="11" spans="1:13" ht="15">
      <c r="A11" s="574"/>
      <c r="B11" s="580"/>
      <c r="C11" s="473" t="s">
        <v>689</v>
      </c>
      <c r="D11" s="580"/>
      <c r="E11" s="579">
        <f>SUM([1]InfoInicial!E608:E613)</f>
        <v>23115.665349791539</v>
      </c>
      <c r="F11" s="580"/>
      <c r="G11" s="268"/>
      <c r="I11" s="268"/>
      <c r="J11" s="266"/>
      <c r="K11" s="4"/>
      <c r="L11" s="268"/>
    </row>
    <row r="12" spans="1:13">
      <c r="A12" s="26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</row>
    <row r="13" spans="1:13" ht="30">
      <c r="A13" s="264"/>
      <c r="B13" s="451" t="s">
        <v>690</v>
      </c>
      <c r="C13" s="451" t="s">
        <v>691</v>
      </c>
      <c r="D13" s="451" t="s">
        <v>242</v>
      </c>
      <c r="E13" s="451" t="s">
        <v>692</v>
      </c>
      <c r="F13" s="451" t="s">
        <v>693</v>
      </c>
      <c r="G13" s="451" t="s">
        <v>694</v>
      </c>
      <c r="H13" s="4"/>
      <c r="I13" s="4"/>
      <c r="J13" s="4"/>
      <c r="K13" s="4"/>
      <c r="L13" s="4"/>
      <c r="M13" s="4"/>
    </row>
    <row r="14" spans="1:13">
      <c r="A14" s="574"/>
      <c r="B14" s="575">
        <v>30</v>
      </c>
      <c r="C14" s="575">
        <v>6</v>
      </c>
      <c r="D14" s="575">
        <v>1</v>
      </c>
      <c r="E14" s="576">
        <f>$E$8</f>
        <v>1000000</v>
      </c>
      <c r="F14" s="576">
        <f>E10</f>
        <v>7705.2217832638462</v>
      </c>
      <c r="G14" s="575"/>
      <c r="H14" s="496"/>
      <c r="I14" s="496"/>
      <c r="J14" s="4"/>
      <c r="K14" s="4"/>
      <c r="L14" s="4"/>
      <c r="M14" s="4"/>
    </row>
    <row r="15" spans="1:13" ht="15">
      <c r="A15" s="574"/>
      <c r="B15" s="575">
        <v>31</v>
      </c>
      <c r="C15" s="575">
        <v>12</v>
      </c>
      <c r="D15" s="575">
        <v>1</v>
      </c>
      <c r="E15" s="576">
        <f t="shared" ref="E15:E23" si="0">$E$8</f>
        <v>1000000</v>
      </c>
      <c r="F15" s="576">
        <f>$E$11</f>
        <v>23115.665349791539</v>
      </c>
      <c r="G15" s="577">
        <f>F14+F15</f>
        <v>30820.887133055385</v>
      </c>
      <c r="H15" s="496"/>
      <c r="I15" s="496"/>
      <c r="J15" s="4"/>
      <c r="K15" s="4"/>
      <c r="L15" s="4"/>
      <c r="M15" s="4"/>
    </row>
    <row r="16" spans="1:13">
      <c r="A16" s="574"/>
      <c r="B16" s="575">
        <v>30</v>
      </c>
      <c r="C16" s="575">
        <v>6</v>
      </c>
      <c r="D16" s="575">
        <v>2</v>
      </c>
      <c r="E16" s="576">
        <f t="shared" si="0"/>
        <v>1000000</v>
      </c>
      <c r="F16" s="576">
        <f t="shared" ref="F16:F23" si="1">$E$11</f>
        <v>23115.665349791539</v>
      </c>
      <c r="G16" s="575"/>
      <c r="H16" s="496"/>
      <c r="I16" s="496"/>
      <c r="J16" s="4"/>
      <c r="K16" s="4"/>
      <c r="L16" s="4"/>
      <c r="M16" s="4"/>
    </row>
    <row r="17" spans="1:13" ht="15">
      <c r="A17" s="574"/>
      <c r="B17" s="575">
        <v>31</v>
      </c>
      <c r="C17" s="575">
        <v>12</v>
      </c>
      <c r="D17" s="575">
        <v>2</v>
      </c>
      <c r="E17" s="576">
        <f t="shared" si="0"/>
        <v>1000000</v>
      </c>
      <c r="F17" s="576">
        <f t="shared" si="1"/>
        <v>23115.665349791539</v>
      </c>
      <c r="G17" s="577">
        <f>F17+F16</f>
        <v>46231.330699583079</v>
      </c>
      <c r="H17" s="496"/>
      <c r="I17" s="496"/>
      <c r="J17" s="4"/>
      <c r="K17" s="4"/>
      <c r="L17" s="4"/>
      <c r="M17" s="4"/>
    </row>
    <row r="18" spans="1:13">
      <c r="A18" s="574"/>
      <c r="B18" s="575">
        <v>30</v>
      </c>
      <c r="C18" s="575">
        <v>6</v>
      </c>
      <c r="D18" s="575">
        <v>3</v>
      </c>
      <c r="E18" s="576">
        <f t="shared" si="0"/>
        <v>1000000</v>
      </c>
      <c r="F18" s="576">
        <f t="shared" si="1"/>
        <v>23115.665349791539</v>
      </c>
      <c r="G18" s="575"/>
      <c r="H18" s="496"/>
      <c r="I18" s="496"/>
      <c r="J18" s="4"/>
      <c r="K18" s="4"/>
      <c r="L18" s="4"/>
      <c r="M18" s="4"/>
    </row>
    <row r="19" spans="1:13" ht="15">
      <c r="A19" s="574"/>
      <c r="B19" s="575">
        <v>31</v>
      </c>
      <c r="C19" s="575">
        <v>12</v>
      </c>
      <c r="D19" s="575">
        <v>3</v>
      </c>
      <c r="E19" s="576">
        <f t="shared" si="0"/>
        <v>1000000</v>
      </c>
      <c r="F19" s="576">
        <f t="shared" si="1"/>
        <v>23115.665349791539</v>
      </c>
      <c r="G19" s="577">
        <f>F19+F18</f>
        <v>46231.330699583079</v>
      </c>
      <c r="H19" s="496"/>
      <c r="I19" s="496"/>
      <c r="J19" s="4"/>
      <c r="K19" s="4"/>
      <c r="L19" s="4"/>
      <c r="M19" s="4"/>
    </row>
    <row r="20" spans="1:13">
      <c r="A20" s="574"/>
      <c r="B20" s="575">
        <v>30</v>
      </c>
      <c r="C20" s="575">
        <v>6</v>
      </c>
      <c r="D20" s="575">
        <v>4</v>
      </c>
      <c r="E20" s="576">
        <f t="shared" si="0"/>
        <v>1000000</v>
      </c>
      <c r="F20" s="576">
        <f t="shared" si="1"/>
        <v>23115.665349791539</v>
      </c>
      <c r="G20" s="575"/>
      <c r="H20" s="496"/>
      <c r="I20" s="496"/>
      <c r="J20" s="4"/>
      <c r="K20" s="4"/>
      <c r="L20" s="4"/>
      <c r="M20" s="4"/>
    </row>
    <row r="21" spans="1:13" ht="15">
      <c r="A21" s="574"/>
      <c r="B21" s="575">
        <v>31</v>
      </c>
      <c r="C21" s="575">
        <v>12</v>
      </c>
      <c r="D21" s="575">
        <v>4</v>
      </c>
      <c r="E21" s="576">
        <f t="shared" si="0"/>
        <v>1000000</v>
      </c>
      <c r="F21" s="576">
        <f t="shared" si="1"/>
        <v>23115.665349791539</v>
      </c>
      <c r="G21" s="577">
        <f>F21+F20</f>
        <v>46231.330699583079</v>
      </c>
      <c r="H21" s="496"/>
      <c r="I21" s="496"/>
      <c r="J21" s="4"/>
      <c r="K21" s="4"/>
      <c r="L21" s="4"/>
      <c r="M21" s="4"/>
    </row>
    <row r="22" spans="1:13">
      <c r="A22" s="574"/>
      <c r="B22" s="575">
        <v>30</v>
      </c>
      <c r="C22" s="575">
        <v>6</v>
      </c>
      <c r="D22" s="575">
        <v>5</v>
      </c>
      <c r="E22" s="576">
        <f t="shared" si="0"/>
        <v>1000000</v>
      </c>
      <c r="F22" s="576">
        <f t="shared" si="1"/>
        <v>23115.665349791539</v>
      </c>
      <c r="G22" s="575"/>
      <c r="H22" s="496"/>
      <c r="I22" s="496"/>
      <c r="J22" s="4"/>
      <c r="K22" s="4"/>
      <c r="L22" s="4"/>
      <c r="M22" s="4"/>
    </row>
    <row r="23" spans="1:13" ht="15">
      <c r="A23" s="574"/>
      <c r="B23" s="575">
        <v>31</v>
      </c>
      <c r="C23" s="575">
        <v>12</v>
      </c>
      <c r="D23" s="575">
        <v>5</v>
      </c>
      <c r="E23" s="576">
        <f t="shared" si="0"/>
        <v>1000000</v>
      </c>
      <c r="F23" s="576">
        <f t="shared" si="1"/>
        <v>23115.665349791539</v>
      </c>
      <c r="G23" s="577">
        <f>F23+F22</f>
        <v>46231.330699583079</v>
      </c>
      <c r="H23" s="496"/>
      <c r="I23" s="496"/>
      <c r="J23" s="4"/>
      <c r="K23" s="4"/>
      <c r="L23" s="4"/>
      <c r="M23" s="4"/>
    </row>
    <row r="24" spans="1:13" ht="15">
      <c r="A24" s="574"/>
      <c r="B24" s="652" t="s">
        <v>283</v>
      </c>
      <c r="C24" s="653"/>
      <c r="D24" s="653"/>
      <c r="E24" s="654"/>
      <c r="F24" s="577">
        <f>+SUM($E$12:$E$21)</f>
        <v>8000000</v>
      </c>
      <c r="G24" s="577">
        <f>+SUM($F$12:$F$21)</f>
        <v>169514.87923180463</v>
      </c>
      <c r="H24" s="496"/>
      <c r="I24" s="496"/>
      <c r="J24" s="4"/>
      <c r="K24" s="4"/>
      <c r="L24" s="4"/>
      <c r="M24" s="4"/>
    </row>
    <row r="25" spans="1:13">
      <c r="A25" s="574"/>
      <c r="B25" s="574"/>
      <c r="C25" s="574"/>
      <c r="D25" s="574"/>
      <c r="E25" s="574"/>
      <c r="F25" s="574"/>
      <c r="G25" s="574"/>
      <c r="H25" s="574"/>
      <c r="I25" s="574"/>
      <c r="J25" s="264"/>
      <c r="K25" s="264"/>
      <c r="L25" s="264"/>
      <c r="M25" s="264"/>
    </row>
    <row r="26" spans="1:13">
      <c r="A26" s="574"/>
      <c r="B26" s="574"/>
      <c r="C26" s="574"/>
      <c r="D26" s="574"/>
      <c r="E26" s="574"/>
      <c r="F26" s="574"/>
      <c r="G26" s="574"/>
      <c r="H26" s="574"/>
      <c r="I26" s="574"/>
      <c r="J26" s="264"/>
      <c r="K26" s="264"/>
      <c r="L26" s="264"/>
      <c r="M26" s="264"/>
    </row>
    <row r="27" spans="1:13">
      <c r="A27" s="264"/>
      <c r="B27" s="264"/>
      <c r="C27" s="264"/>
      <c r="D27" s="264"/>
      <c r="E27" s="264"/>
      <c r="F27" s="264"/>
      <c r="G27" s="264"/>
      <c r="H27" s="264"/>
      <c r="I27" s="264"/>
      <c r="J27" s="264"/>
      <c r="K27" s="264"/>
      <c r="L27" s="264"/>
      <c r="M27" s="264"/>
    </row>
    <row r="28" spans="1:13">
      <c r="A28" s="264"/>
      <c r="B28" s="264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</row>
    <row r="29" spans="1:13">
      <c r="A29" s="264"/>
      <c r="B29" s="264"/>
      <c r="C29" s="264"/>
      <c r="D29" s="264"/>
      <c r="E29" s="264"/>
      <c r="F29" s="264"/>
      <c r="G29" s="264"/>
      <c r="H29" s="264"/>
      <c r="I29" s="264"/>
      <c r="J29" s="264"/>
      <c r="K29" s="264"/>
      <c r="L29" s="264"/>
      <c r="M29" s="264"/>
    </row>
    <row r="30" spans="1:13">
      <c r="A30" s="264"/>
      <c r="B30" s="264"/>
      <c r="C30" s="264"/>
      <c r="D30" s="264"/>
      <c r="E30" s="264"/>
      <c r="F30" s="264"/>
      <c r="G30" s="264"/>
      <c r="H30" s="264"/>
      <c r="I30" s="264"/>
      <c r="J30" s="264"/>
      <c r="K30" s="264"/>
      <c r="L30" s="264"/>
      <c r="M30" s="264"/>
    </row>
    <row r="31" spans="1:13">
      <c r="A31" s="264"/>
      <c r="B31" s="264"/>
      <c r="C31" s="264"/>
      <c r="D31" s="264"/>
      <c r="E31" s="264"/>
      <c r="F31" s="264"/>
      <c r="G31" s="264"/>
      <c r="H31" s="264"/>
      <c r="I31" s="264"/>
      <c r="J31" s="264"/>
      <c r="K31" s="264"/>
      <c r="L31" s="264"/>
      <c r="M31" s="264"/>
    </row>
    <row r="32" spans="1:13">
      <c r="A32" s="264"/>
      <c r="B32" s="264"/>
      <c r="C32" s="264"/>
      <c r="D32" s="264"/>
      <c r="E32" s="264"/>
      <c r="F32" s="264"/>
      <c r="G32" s="264"/>
      <c r="H32" s="264"/>
      <c r="I32" s="264"/>
      <c r="J32" s="264"/>
      <c r="K32" s="264"/>
      <c r="L32" s="264"/>
      <c r="M32" s="264"/>
    </row>
  </sheetData>
  <mergeCells count="5">
    <mergeCell ref="B5:D5"/>
    <mergeCell ref="B9:C9"/>
    <mergeCell ref="G9:H9"/>
    <mergeCell ref="L9:M9"/>
    <mergeCell ref="B24:E24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80"/>
  <sheetViews>
    <sheetView topLeftCell="A7" workbookViewId="0">
      <selection activeCell="H29" sqref="H29"/>
    </sheetView>
  </sheetViews>
  <sheetFormatPr baseColWidth="10" defaultColWidth="14.42578125" defaultRowHeight="15" customHeight="1"/>
  <cols>
    <col min="1" max="1" width="27.28515625" customWidth="1"/>
    <col min="2" max="2" width="14.85546875" bestFit="1" customWidth="1"/>
    <col min="3" max="9" width="15.140625" customWidth="1"/>
    <col min="10" max="10" width="11.42578125" customWidth="1"/>
    <col min="11" max="11" width="20.28515625" bestFit="1" customWidth="1"/>
    <col min="12" max="12" width="15.140625" bestFit="1" customWidth="1"/>
    <col min="13" max="19" width="11.42578125" customWidth="1"/>
  </cols>
  <sheetData>
    <row r="1" spans="1:26" ht="12.75" customHeight="1">
      <c r="A1" s="1" t="s">
        <v>0</v>
      </c>
      <c r="B1" s="2"/>
      <c r="C1" s="2"/>
      <c r="D1" s="2"/>
      <c r="E1" s="2"/>
      <c r="F1" s="99">
        <f>InfoInicial!E1</f>
        <v>7</v>
      </c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4"/>
      <c r="U1" s="4"/>
      <c r="V1" s="4"/>
      <c r="W1" s="4"/>
      <c r="X1" s="4"/>
      <c r="Y1" s="4"/>
      <c r="Z1" s="4"/>
    </row>
    <row r="2" spans="1:26" ht="15.75" customHeight="1">
      <c r="A2" s="460" t="s">
        <v>256</v>
      </c>
      <c r="B2" s="461"/>
      <c r="C2" s="461"/>
      <c r="D2" s="461"/>
      <c r="E2" s="461"/>
      <c r="F2" s="461"/>
      <c r="G2" s="46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4"/>
      <c r="U2" s="4"/>
      <c r="V2" s="4"/>
      <c r="W2" s="4"/>
      <c r="X2" s="4"/>
      <c r="Y2" s="4"/>
      <c r="Z2" s="4"/>
    </row>
    <row r="3" spans="1:26" ht="12.75" customHeight="1">
      <c r="A3" s="562" t="s">
        <v>164</v>
      </c>
      <c r="B3" s="655" t="s">
        <v>257</v>
      </c>
      <c r="C3" s="656"/>
      <c r="D3" s="655" t="s">
        <v>259</v>
      </c>
      <c r="E3" s="656"/>
      <c r="F3" s="655" t="s">
        <v>260</v>
      </c>
      <c r="G3" s="657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4"/>
      <c r="U3" s="4"/>
      <c r="V3" s="4"/>
      <c r="W3" s="4"/>
      <c r="X3" s="4"/>
      <c r="Y3" s="4"/>
      <c r="Z3" s="4"/>
    </row>
    <row r="4" spans="1:26" ht="12.75" customHeight="1">
      <c r="A4" s="562" t="s">
        <v>150</v>
      </c>
      <c r="B4" s="563" t="s">
        <v>261</v>
      </c>
      <c r="C4" s="563" t="s">
        <v>262</v>
      </c>
      <c r="D4" s="563" t="s">
        <v>261</v>
      </c>
      <c r="E4" s="563" t="s">
        <v>262</v>
      </c>
      <c r="F4" s="563" t="s">
        <v>261</v>
      </c>
      <c r="G4" s="564" t="s">
        <v>262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4"/>
      <c r="U4" s="4"/>
      <c r="V4" s="4"/>
      <c r="W4" s="4"/>
      <c r="X4" s="4"/>
      <c r="Y4" s="4"/>
      <c r="Z4" s="4"/>
    </row>
    <row r="5" spans="1:26" ht="12.75" customHeight="1">
      <c r="A5" s="361" t="s">
        <v>263</v>
      </c>
      <c r="B5" s="262">
        <f>'E-Cal Inv.'!I8</f>
        <v>2315431.9914654675</v>
      </c>
      <c r="C5" s="553">
        <f>B5/B8</f>
        <v>0.22898322418965039</v>
      </c>
      <c r="D5" s="262">
        <f>'Credito No Renovable'!F8</f>
        <v>1157715.9957327337</v>
      </c>
      <c r="E5" s="553">
        <f>D5/B8</f>
        <v>0.1144916120948252</v>
      </c>
      <c r="F5" s="262">
        <f>B5-D5</f>
        <v>1157715.9957327337</v>
      </c>
      <c r="G5" s="538">
        <f>C5-E5</f>
        <v>0.1144916120948252</v>
      </c>
      <c r="H5" s="256"/>
      <c r="I5" s="256"/>
      <c r="J5" s="256"/>
      <c r="K5" s="256"/>
      <c r="L5" s="256"/>
      <c r="M5" s="2"/>
      <c r="N5" s="2"/>
      <c r="O5" s="2"/>
      <c r="P5" s="2"/>
      <c r="Q5" s="2"/>
      <c r="R5" s="2"/>
      <c r="S5" s="2"/>
      <c r="T5" s="4"/>
      <c r="U5" s="4"/>
      <c r="V5" s="4"/>
      <c r="W5" s="4"/>
      <c r="X5" s="4"/>
      <c r="Y5" s="4"/>
      <c r="Z5" s="4"/>
    </row>
    <row r="6" spans="1:26" ht="12.75" customHeight="1">
      <c r="A6" s="506" t="s">
        <v>264</v>
      </c>
      <c r="B6" s="262">
        <f>'E-Cal Inv.'!C18+'E-Cal Inv.'!D18</f>
        <v>6446002.7685791738</v>
      </c>
      <c r="C6" s="553">
        <f>B6/B8</f>
        <v>0.63747348336086318</v>
      </c>
      <c r="D6" s="262">
        <f>'Crédito MP'!E8</f>
        <v>1000000</v>
      </c>
      <c r="E6" s="553">
        <f>D6/B8</f>
        <v>9.8894385597878817E-2</v>
      </c>
      <c r="F6" s="262">
        <f>B6-D6</f>
        <v>5446002.7685791738</v>
      </c>
      <c r="G6" s="538">
        <f t="shared" ref="G6:G7" si="0">C6-E6</f>
        <v>0.5385790977629844</v>
      </c>
      <c r="H6" s="251"/>
      <c r="I6" s="256"/>
      <c r="J6" s="256"/>
      <c r="K6" s="256"/>
      <c r="L6" s="256"/>
      <c r="M6" s="256"/>
      <c r="N6" s="256"/>
      <c r="O6" s="256"/>
      <c r="P6" s="2"/>
      <c r="Q6" s="2"/>
      <c r="R6" s="2"/>
      <c r="S6" s="2"/>
      <c r="T6" s="4"/>
      <c r="U6" s="4"/>
      <c r="V6" s="4"/>
      <c r="W6" s="4"/>
      <c r="X6" s="4"/>
      <c r="Y6" s="4"/>
      <c r="Z6" s="4"/>
    </row>
    <row r="7" spans="1:26" ht="12.75" customHeight="1">
      <c r="A7" s="506" t="s">
        <v>265</v>
      </c>
      <c r="B7" s="262">
        <f>'E-Cal Inv.'!B23+'E-Cal Inv.'!C23+'E-Cal Inv.'!D23</f>
        <v>1350362.729311002</v>
      </c>
      <c r="C7" s="553">
        <f>B7/B8</f>
        <v>0.13354329244948629</v>
      </c>
      <c r="D7" s="262"/>
      <c r="E7" s="554"/>
      <c r="F7" s="262">
        <f>B7</f>
        <v>1350362.729311002</v>
      </c>
      <c r="G7" s="538">
        <f t="shared" si="0"/>
        <v>0.13354329244948629</v>
      </c>
      <c r="H7" s="2"/>
      <c r="I7" s="2"/>
      <c r="J7" s="2"/>
      <c r="K7" s="256"/>
      <c r="L7" s="256"/>
      <c r="M7" s="256"/>
      <c r="N7" s="256"/>
      <c r="O7" s="256"/>
      <c r="P7" s="2"/>
      <c r="Q7" s="2"/>
      <c r="R7" s="2"/>
      <c r="S7" s="2"/>
      <c r="T7" s="4"/>
      <c r="U7" s="4"/>
      <c r="V7" s="4"/>
      <c r="W7" s="4"/>
      <c r="X7" s="4"/>
      <c r="Y7" s="4"/>
      <c r="Z7" s="4"/>
    </row>
    <row r="8" spans="1:26" ht="12.75" customHeight="1">
      <c r="A8" s="511" t="s">
        <v>174</v>
      </c>
      <c r="B8" s="555">
        <f>SUM(B5:B7)</f>
        <v>10111797.489355644</v>
      </c>
      <c r="C8" s="553">
        <f>B8/B8</f>
        <v>1</v>
      </c>
      <c r="D8" s="555">
        <f>D5+D6</f>
        <v>2157715.995732734</v>
      </c>
      <c r="E8" s="556">
        <f>E5+E6</f>
        <v>0.213385997692704</v>
      </c>
      <c r="F8" s="555">
        <f>F5+F6+F7</f>
        <v>7954081.4936229102</v>
      </c>
      <c r="G8" s="557">
        <f>G5+G7+G6</f>
        <v>0.78661400230729583</v>
      </c>
      <c r="H8" s="2"/>
      <c r="I8" s="2"/>
      <c r="J8" s="2"/>
      <c r="K8" s="256"/>
      <c r="L8" s="256"/>
      <c r="M8" s="256"/>
      <c r="N8" s="256"/>
      <c r="O8" s="256"/>
      <c r="P8" s="2"/>
      <c r="Q8" s="2"/>
      <c r="R8" s="2"/>
      <c r="S8" s="2"/>
      <c r="T8" s="4"/>
      <c r="U8" s="4"/>
      <c r="V8" s="4"/>
      <c r="W8" s="4"/>
      <c r="X8" s="4"/>
      <c r="Y8" s="4"/>
      <c r="Z8" s="4"/>
    </row>
    <row r="9" spans="1:26" ht="12.75" customHeight="1" thickTop="1" thickBot="1">
      <c r="A9" s="513"/>
      <c r="B9" s="558"/>
      <c r="C9" s="559"/>
      <c r="D9" s="558"/>
      <c r="E9" s="558"/>
      <c r="F9" s="558"/>
      <c r="G9" s="558"/>
      <c r="H9" s="2"/>
      <c r="I9" s="2"/>
      <c r="J9" s="2"/>
      <c r="K9" s="256"/>
      <c r="L9" s="256"/>
      <c r="M9" s="256"/>
      <c r="N9" s="256"/>
      <c r="O9" s="256"/>
      <c r="P9" s="2"/>
      <c r="Q9" s="2"/>
      <c r="R9" s="2"/>
      <c r="S9" s="2"/>
      <c r="T9" s="4"/>
      <c r="U9" s="4"/>
      <c r="V9" s="4"/>
      <c r="W9" s="4"/>
      <c r="X9" s="4"/>
      <c r="Y9" s="4"/>
      <c r="Z9" s="4"/>
    </row>
    <row r="10" spans="1:26" ht="15.75" customHeight="1" thickTop="1">
      <c r="A10" s="560" t="s">
        <v>268</v>
      </c>
      <c r="B10" s="561"/>
      <c r="C10" s="561"/>
      <c r="D10" s="561"/>
      <c r="E10" s="561"/>
      <c r="F10" s="561"/>
      <c r="G10" s="561"/>
      <c r="H10" s="452"/>
      <c r="I10" s="453"/>
      <c r="J10" s="2"/>
      <c r="K10" s="565"/>
      <c r="L10" s="565" t="s">
        <v>679</v>
      </c>
      <c r="M10" s="565" t="s">
        <v>262</v>
      </c>
      <c r="N10" s="256"/>
      <c r="O10" s="256"/>
      <c r="P10" s="2"/>
      <c r="Q10" s="2"/>
      <c r="R10" s="2"/>
      <c r="S10" s="2"/>
      <c r="T10" s="4"/>
      <c r="U10" s="4"/>
      <c r="V10" s="4"/>
      <c r="W10" s="4"/>
      <c r="X10" s="4"/>
      <c r="Y10" s="4"/>
      <c r="Z10" s="4"/>
    </row>
    <row r="11" spans="1:26" ht="12.75" customHeight="1">
      <c r="A11" s="454" t="s">
        <v>269</v>
      </c>
      <c r="B11" s="455" t="s">
        <v>270</v>
      </c>
      <c r="C11" s="455" t="s">
        <v>271</v>
      </c>
      <c r="D11" s="455" t="s">
        <v>272</v>
      </c>
      <c r="E11" s="455" t="s">
        <v>271</v>
      </c>
      <c r="F11" s="455" t="s">
        <v>273</v>
      </c>
      <c r="G11" s="455" t="s">
        <v>272</v>
      </c>
      <c r="H11" s="455"/>
      <c r="I11" s="456" t="s">
        <v>274</v>
      </c>
      <c r="J11" s="2"/>
      <c r="K11" s="566" t="s">
        <v>680</v>
      </c>
      <c r="L11" s="253">
        <f>D5</f>
        <v>1157715.9957327337</v>
      </c>
      <c r="M11" s="254">
        <f>L11/B8</f>
        <v>0.1144916120948252</v>
      </c>
      <c r="N11" s="256"/>
      <c r="O11" s="256"/>
      <c r="P11" s="2"/>
      <c r="Q11" s="2"/>
      <c r="R11" s="2"/>
      <c r="S11" s="2"/>
      <c r="T11" s="4"/>
      <c r="U11" s="4"/>
      <c r="V11" s="4"/>
      <c r="W11" s="4"/>
      <c r="X11" s="4"/>
      <c r="Y11" s="4"/>
      <c r="Z11" s="4"/>
    </row>
    <row r="12" spans="1:26" ht="12.75" customHeight="1" thickBot="1">
      <c r="A12" s="457"/>
      <c r="B12" s="458"/>
      <c r="C12" s="458" t="s">
        <v>275</v>
      </c>
      <c r="D12" s="458" t="s">
        <v>275</v>
      </c>
      <c r="E12" s="458" t="s">
        <v>55</v>
      </c>
      <c r="F12" s="458" t="s">
        <v>276</v>
      </c>
      <c r="G12" s="458" t="s">
        <v>55</v>
      </c>
      <c r="H12" s="458" t="s">
        <v>277</v>
      </c>
      <c r="I12" s="459" t="s">
        <v>278</v>
      </c>
      <c r="J12" s="2"/>
      <c r="K12" s="566" t="s">
        <v>681</v>
      </c>
      <c r="L12" s="253">
        <f>D6</f>
        <v>1000000</v>
      </c>
      <c r="M12" s="254">
        <f>L12/B8</f>
        <v>9.8894385597878817E-2</v>
      </c>
      <c r="N12" s="256"/>
      <c r="O12" s="256"/>
      <c r="P12" s="2"/>
      <c r="Q12" s="2"/>
      <c r="R12" s="2"/>
      <c r="S12" s="2"/>
      <c r="T12" s="4"/>
      <c r="U12" s="4"/>
      <c r="V12" s="4"/>
      <c r="W12" s="4"/>
      <c r="X12" s="4"/>
      <c r="Y12" s="4"/>
      <c r="Z12" s="4"/>
    </row>
    <row r="13" spans="1:26" ht="12.75" customHeight="1" thickTop="1" thickBot="1">
      <c r="A13" s="102" t="str">
        <f>'Credito No Renovable'!A16</f>
        <v>1/5/-1</v>
      </c>
      <c r="B13" s="201">
        <f>'Credito No Renovable'!B16</f>
        <v>385905.33191091125</v>
      </c>
      <c r="C13" s="201"/>
      <c r="D13" s="201">
        <f>'Credito No Renovable'!D16</f>
        <v>0</v>
      </c>
      <c r="E13" s="201"/>
      <c r="F13" s="201"/>
      <c r="G13" s="201"/>
      <c r="H13" s="201"/>
      <c r="I13" s="201">
        <f>'Credito No Renovable'!G16</f>
        <v>7718.1066382182253</v>
      </c>
      <c r="J13" s="2"/>
      <c r="K13" s="566" t="s">
        <v>551</v>
      </c>
      <c r="L13" s="253">
        <f>L11+L12</f>
        <v>2157715.995732734</v>
      </c>
      <c r="M13" s="254">
        <f>M11+M12</f>
        <v>0.213385997692704</v>
      </c>
      <c r="N13" s="256"/>
      <c r="O13" s="256"/>
      <c r="P13" s="2"/>
      <c r="Q13" s="2"/>
      <c r="R13" s="2"/>
      <c r="S13" s="2"/>
      <c r="T13" s="4"/>
      <c r="U13" s="4"/>
      <c r="V13" s="4"/>
      <c r="W13" s="4"/>
      <c r="X13" s="4"/>
      <c r="Y13" s="4"/>
      <c r="Z13" s="4"/>
    </row>
    <row r="14" spans="1:26" ht="12.75" customHeight="1" thickTop="1" thickBot="1">
      <c r="A14" s="102" t="str">
        <f>'Credito No Renovable'!A17</f>
        <v>1/8/-1</v>
      </c>
      <c r="B14" s="201">
        <f>'Credito No Renovable'!B17</f>
        <v>771810.6638218225</v>
      </c>
      <c r="C14" s="201"/>
      <c r="D14" s="201">
        <f>'Credito No Renovable'!D17</f>
        <v>27013.373233763788</v>
      </c>
      <c r="E14" s="201"/>
      <c r="F14" s="201"/>
      <c r="G14" s="201"/>
      <c r="H14" s="201"/>
      <c r="I14" s="201">
        <f>'Credito No Renovable'!G17</f>
        <v>7718.1066382182253</v>
      </c>
      <c r="J14" s="2"/>
      <c r="K14" s="566" t="s">
        <v>682</v>
      </c>
      <c r="L14" s="253">
        <f>B8-L13</f>
        <v>7954081.4936229102</v>
      </c>
      <c r="M14" s="254">
        <f>L14/B8</f>
        <v>0.78661400230729595</v>
      </c>
      <c r="N14" s="256"/>
      <c r="O14" s="256"/>
      <c r="P14" s="2"/>
      <c r="Q14" s="2"/>
      <c r="R14" s="2"/>
      <c r="S14" s="2"/>
      <c r="T14" s="4"/>
      <c r="U14" s="4"/>
      <c r="V14" s="4"/>
      <c r="W14" s="4"/>
      <c r="X14" s="4"/>
      <c r="Y14" s="4"/>
      <c r="Z14" s="4"/>
    </row>
    <row r="15" spans="1:26" ht="12.75" customHeight="1" thickTop="1" thickBot="1">
      <c r="A15" s="102" t="str">
        <f>'Credito No Renovable'!A18</f>
        <v>1/11/-1</v>
      </c>
      <c r="B15" s="201">
        <f>'Credito No Renovable'!B18</f>
        <v>1157715.9957327337</v>
      </c>
      <c r="C15" s="201"/>
      <c r="D15" s="201">
        <f>'Credito No Renovable'!D18</f>
        <v>54026.746467527577</v>
      </c>
      <c r="E15" s="201"/>
      <c r="F15" s="201"/>
      <c r="G15" s="201"/>
      <c r="H15" s="201"/>
      <c r="I15" s="201">
        <f>'Credito No Renovable'!G18</f>
        <v>7718.1066382182253</v>
      </c>
      <c r="J15" s="2"/>
      <c r="K15" s="256"/>
      <c r="L15" s="256"/>
      <c r="M15" s="256"/>
      <c r="N15" s="256"/>
      <c r="O15" s="256"/>
      <c r="P15" s="2"/>
      <c r="Q15" s="2"/>
      <c r="R15" s="2"/>
      <c r="S15" s="2"/>
      <c r="T15" s="4"/>
      <c r="U15" s="4"/>
      <c r="V15" s="4"/>
      <c r="W15" s="4"/>
      <c r="X15" s="4"/>
      <c r="Y15" s="4"/>
      <c r="Z15" s="4"/>
    </row>
    <row r="16" spans="1:26" ht="12.75" customHeight="1" thickTop="1" thickBot="1">
      <c r="A16" s="102" t="str">
        <f>'Credito No Renovable'!A19</f>
        <v>31/12/-1</v>
      </c>
      <c r="B16" s="201">
        <f>'Credito No Renovable'!B19</f>
        <v>1157715.9957327337</v>
      </c>
      <c r="C16" s="201"/>
      <c r="D16" s="201">
        <f>'Credito No Renovable'!D19</f>
        <v>54026.746467527577</v>
      </c>
      <c r="E16" s="201"/>
      <c r="F16" s="201"/>
      <c r="G16" s="201"/>
      <c r="H16" s="201"/>
      <c r="I16" s="201">
        <f>'Credito No Renovable'!G19</f>
        <v>0</v>
      </c>
      <c r="J16" s="2"/>
      <c r="K16" s="256"/>
      <c r="L16" s="256"/>
      <c r="M16" s="256"/>
      <c r="N16" s="256"/>
      <c r="O16" s="256"/>
      <c r="P16" s="2"/>
      <c r="Q16" s="2"/>
      <c r="R16" s="2"/>
      <c r="S16" s="2"/>
      <c r="T16" s="4"/>
      <c r="U16" s="4"/>
      <c r="V16" s="4"/>
      <c r="W16" s="4"/>
      <c r="X16" s="4"/>
      <c r="Y16" s="4"/>
      <c r="Z16" s="4"/>
    </row>
    <row r="17" spans="1:26" ht="12.75" customHeight="1" thickTop="1" thickBot="1">
      <c r="A17" s="102"/>
      <c r="B17" s="201"/>
      <c r="C17" s="201"/>
      <c r="D17" s="201"/>
      <c r="E17" s="201"/>
      <c r="F17" s="201"/>
      <c r="G17" s="201"/>
      <c r="H17" s="201"/>
      <c r="I17" s="201"/>
      <c r="J17" s="2"/>
      <c r="K17" s="256"/>
      <c r="L17" s="256"/>
      <c r="M17" s="256"/>
      <c r="N17" s="256"/>
      <c r="O17" s="256"/>
      <c r="P17" s="2"/>
      <c r="Q17" s="2"/>
      <c r="R17" s="2"/>
      <c r="S17" s="2"/>
      <c r="T17" s="4"/>
      <c r="U17" s="4"/>
      <c r="V17" s="4"/>
      <c r="W17" s="4"/>
      <c r="X17" s="4"/>
      <c r="Y17" s="4"/>
      <c r="Z17" s="4"/>
    </row>
    <row r="18" spans="1:26" ht="12.75" customHeight="1" thickTop="1" thickBot="1">
      <c r="A18" s="102"/>
      <c r="B18" s="201"/>
      <c r="C18" s="201"/>
      <c r="D18" s="201"/>
      <c r="E18" s="201"/>
      <c r="F18" s="201"/>
      <c r="G18" s="201"/>
      <c r="H18" s="201"/>
      <c r="I18" s="201"/>
      <c r="J18" s="2"/>
      <c r="K18" s="256"/>
      <c r="L18" s="256"/>
      <c r="M18" s="256"/>
      <c r="N18" s="256"/>
      <c r="O18" s="256"/>
      <c r="P18" s="2"/>
      <c r="Q18" s="2"/>
      <c r="R18" s="2"/>
      <c r="S18" s="2"/>
      <c r="T18" s="4"/>
      <c r="U18" s="4"/>
      <c r="V18" s="4"/>
      <c r="W18" s="4"/>
      <c r="X18" s="4"/>
      <c r="Y18" s="4"/>
      <c r="Z18" s="4"/>
    </row>
    <row r="19" spans="1:26" ht="12.75" customHeight="1" thickTop="1" thickBot="1">
      <c r="A19" s="102"/>
      <c r="B19" s="201"/>
      <c r="C19" s="201"/>
      <c r="D19" s="201"/>
      <c r="E19" s="201"/>
      <c r="F19" s="201"/>
      <c r="G19" s="201"/>
      <c r="H19" s="201"/>
      <c r="I19" s="201"/>
      <c r="J19" s="2"/>
      <c r="K19" s="256"/>
      <c r="L19" s="256"/>
      <c r="M19" s="256"/>
      <c r="N19" s="256"/>
      <c r="O19" s="256"/>
      <c r="P19" s="2"/>
      <c r="Q19" s="2"/>
      <c r="R19" s="2"/>
      <c r="S19" s="2"/>
      <c r="T19" s="4"/>
      <c r="U19" s="4"/>
      <c r="V19" s="4"/>
      <c r="W19" s="4"/>
      <c r="X19" s="4"/>
      <c r="Y19" s="4"/>
      <c r="Z19" s="4"/>
    </row>
    <row r="20" spans="1:26" ht="12.75" customHeight="1" thickTop="1" thickBot="1">
      <c r="A20" s="216"/>
      <c r="B20" s="203"/>
      <c r="C20" s="203"/>
      <c r="D20" s="203"/>
      <c r="E20" s="203"/>
      <c r="F20" s="203"/>
      <c r="G20" s="203"/>
      <c r="H20" s="203"/>
      <c r="I20" s="203"/>
      <c r="J20" s="2"/>
      <c r="K20" s="256"/>
      <c r="L20" s="256"/>
      <c r="M20" s="256"/>
      <c r="N20" s="256"/>
      <c r="O20" s="256"/>
      <c r="P20" s="2"/>
      <c r="Q20" s="2"/>
      <c r="R20" s="2"/>
      <c r="S20" s="2"/>
      <c r="T20" s="4"/>
      <c r="U20" s="4"/>
      <c r="V20" s="4"/>
      <c r="W20" s="4"/>
      <c r="X20" s="4"/>
      <c r="Y20" s="4"/>
      <c r="Z20" s="4"/>
    </row>
    <row r="21" spans="1:26" ht="12.75" customHeight="1" thickBot="1">
      <c r="A21" s="218" t="s">
        <v>280</v>
      </c>
      <c r="B21" s="217">
        <f>SUM(B13:B16)</f>
        <v>3473147.987198201</v>
      </c>
      <c r="C21" s="217">
        <f t="shared" ref="C21:I21" si="1">SUM(C13:C16)</f>
        <v>0</v>
      </c>
      <c r="D21" s="217">
        <f t="shared" si="1"/>
        <v>135066.86616881893</v>
      </c>
      <c r="E21" s="217"/>
      <c r="F21" s="217"/>
      <c r="G21" s="217">
        <f>D21</f>
        <v>135066.86616881893</v>
      </c>
      <c r="H21" s="217"/>
      <c r="I21" s="217">
        <f t="shared" si="1"/>
        <v>23154.319914654676</v>
      </c>
      <c r="J21" s="2"/>
      <c r="K21" s="256"/>
      <c r="L21" s="256"/>
      <c r="M21" s="256"/>
      <c r="N21" s="256"/>
      <c r="O21" s="256"/>
      <c r="P21" s="2"/>
      <c r="Q21" s="2"/>
      <c r="R21" s="2"/>
      <c r="S21" s="2"/>
      <c r="T21" s="4"/>
      <c r="U21" s="4"/>
      <c r="V21" s="4"/>
      <c r="W21" s="4"/>
      <c r="X21" s="4"/>
      <c r="Y21" s="4"/>
      <c r="Z21" s="4"/>
    </row>
    <row r="22" spans="1:26" ht="12.75" customHeight="1">
      <c r="A22" s="567"/>
      <c r="B22" s="568"/>
      <c r="C22" s="568"/>
      <c r="D22" s="568"/>
      <c r="E22" s="568"/>
      <c r="F22" s="568"/>
      <c r="G22" s="568"/>
      <c r="H22" s="568"/>
      <c r="I22" s="219"/>
      <c r="J22" s="2"/>
      <c r="K22" s="256"/>
      <c r="L22" s="256"/>
      <c r="M22" s="256"/>
      <c r="N22" s="256"/>
      <c r="O22" s="256"/>
      <c r="P22" s="2"/>
      <c r="Q22" s="2"/>
      <c r="R22" s="2"/>
      <c r="S22" s="2"/>
      <c r="T22" s="4"/>
      <c r="U22" s="4"/>
      <c r="V22" s="4"/>
      <c r="W22" s="4"/>
      <c r="X22" s="4"/>
      <c r="Y22" s="4"/>
      <c r="Z22" s="4"/>
    </row>
    <row r="23" spans="1:26" ht="12.75" customHeight="1">
      <c r="A23" s="569" t="str">
        <f>'Credito No Renovable'!A21</f>
        <v>1/1/1</v>
      </c>
      <c r="B23" s="570">
        <f>'Credito No Renovable'!B21</f>
        <v>1157715.9957327337</v>
      </c>
      <c r="C23" s="570"/>
      <c r="D23" s="570">
        <f>'Credito No Renovable'!D21</f>
        <v>0</v>
      </c>
      <c r="E23" s="570"/>
      <c r="F23" s="570"/>
      <c r="G23" s="570"/>
      <c r="H23" s="570"/>
      <c r="I23" s="220"/>
      <c r="J23" s="2"/>
      <c r="K23" s="256"/>
      <c r="L23" s="256"/>
      <c r="M23" s="256"/>
      <c r="N23" s="256"/>
      <c r="O23" s="256"/>
      <c r="P23" s="2"/>
      <c r="Q23" s="2"/>
      <c r="R23" s="2"/>
      <c r="S23" s="2"/>
      <c r="T23" s="4"/>
      <c r="U23" s="4"/>
      <c r="V23" s="4"/>
      <c r="W23" s="4"/>
      <c r="X23" s="4"/>
      <c r="Y23" s="4"/>
      <c r="Z23" s="4"/>
    </row>
    <row r="24" spans="1:26" ht="12.75" customHeight="1">
      <c r="A24" s="571" t="str">
        <f>'Credito No Renovable'!A22</f>
        <v>30/6/1</v>
      </c>
      <c r="B24" s="207">
        <f>'Credito No Renovable'!B22+'Crédito MP'!E14</f>
        <v>2157715.995732734</v>
      </c>
      <c r="C24" s="207"/>
      <c r="D24" s="207">
        <f>'Credito No Renovable'!D22+'Crédito MP'!F14</f>
        <v>169785.46118584659</v>
      </c>
      <c r="E24" s="207"/>
      <c r="F24" s="207"/>
      <c r="G24" s="207"/>
      <c r="H24" s="207"/>
      <c r="I24" s="206"/>
      <c r="J24" s="2"/>
      <c r="K24" s="2"/>
      <c r="L24" s="2"/>
      <c r="M24" s="2"/>
      <c r="N24" s="2"/>
      <c r="O24" s="2"/>
      <c r="P24" s="2"/>
      <c r="Q24" s="2"/>
      <c r="R24" s="2"/>
      <c r="S24" s="2"/>
      <c r="T24" s="4"/>
      <c r="U24" s="4"/>
      <c r="V24" s="4"/>
      <c r="W24" s="4"/>
      <c r="X24" s="4"/>
      <c r="Y24" s="4"/>
      <c r="Z24" s="4"/>
    </row>
    <row r="25" spans="1:26" ht="12.75" customHeight="1">
      <c r="A25" s="572" t="str">
        <f>'Credito No Renovable'!A23</f>
        <v>31/12/1</v>
      </c>
      <c r="B25" s="202">
        <f>'Credito No Renovable'!B23+'Crédito MP'!E15</f>
        <v>2157715.995732734</v>
      </c>
      <c r="C25" s="202"/>
      <c r="D25" s="202">
        <f>'Credito No Renovable'!D23+'Crédito MP'!F15</f>
        <v>185195.90475237428</v>
      </c>
      <c r="E25" s="202"/>
      <c r="F25" s="202">
        <f>'Credito No Renovable'!B23+'Crédito MP'!E15*8/12</f>
        <v>1824382.6623994005</v>
      </c>
      <c r="G25" s="202">
        <f>D25+D24</f>
        <v>354981.36593822087</v>
      </c>
      <c r="H25" s="202">
        <f>G25/F25</f>
        <v>0.19457615622774815</v>
      </c>
      <c r="I25" s="201"/>
      <c r="J25" s="2"/>
      <c r="K25" s="2"/>
      <c r="L25" s="2"/>
      <c r="M25" s="2"/>
      <c r="N25" s="2"/>
      <c r="O25" s="2"/>
      <c r="P25" s="2"/>
      <c r="Q25" s="2"/>
      <c r="R25" s="2"/>
      <c r="S25" s="2"/>
      <c r="T25" s="4"/>
      <c r="U25" s="4"/>
      <c r="V25" s="4"/>
      <c r="W25" s="4"/>
      <c r="X25" s="4"/>
      <c r="Y25" s="4"/>
      <c r="Z25" s="4"/>
    </row>
    <row r="26" spans="1:26" ht="12.75" customHeight="1">
      <c r="A26" s="572" t="str">
        <f>'Credito No Renovable'!A24</f>
        <v>30/6/2</v>
      </c>
      <c r="B26" s="202">
        <f>'Credito No Renovable'!B24+'Crédito MP'!E16</f>
        <v>2157715.995732734</v>
      </c>
      <c r="C26" s="202"/>
      <c r="D26" s="207">
        <f>'Credito No Renovable'!D24+'Crédito MP'!F16</f>
        <v>185195.90475237428</v>
      </c>
      <c r="E26" s="202"/>
      <c r="F26" s="202"/>
      <c r="G26" s="202"/>
      <c r="H26" s="202"/>
      <c r="I26" s="201"/>
      <c r="J26" s="2"/>
      <c r="K26" s="2"/>
      <c r="L26" s="2"/>
      <c r="M26" s="2"/>
      <c r="N26" s="2"/>
      <c r="O26" s="2"/>
      <c r="P26" s="2"/>
      <c r="Q26" s="2"/>
      <c r="R26" s="2"/>
      <c r="S26" s="2"/>
      <c r="T26" s="4"/>
      <c r="U26" s="4"/>
      <c r="V26" s="4"/>
      <c r="W26" s="4"/>
      <c r="X26" s="4"/>
      <c r="Y26" s="4"/>
      <c r="Z26" s="4"/>
    </row>
    <row r="27" spans="1:26" ht="12.75" customHeight="1">
      <c r="A27" s="572" t="str">
        <f>'Credito No Renovable'!A25</f>
        <v>31/12/2</v>
      </c>
      <c r="B27" s="202">
        <f>'Credito No Renovable'!B25+'Crédito MP'!E17</f>
        <v>1964763.329777278</v>
      </c>
      <c r="C27" s="202">
        <f>'Credito No Renovable'!C25</f>
        <v>192952.66595545562</v>
      </c>
      <c r="D27" s="202">
        <f>'Credito No Renovable'!D25+'Crédito MP'!F17</f>
        <v>185195.90475237428</v>
      </c>
      <c r="E27" s="202">
        <f>C27+C26</f>
        <v>192952.66595545562</v>
      </c>
      <c r="F27" s="202">
        <f>(B27+B26)/2</f>
        <v>2061239.662755006</v>
      </c>
      <c r="G27" s="202">
        <f>D27+D26</f>
        <v>370391.80950474855</v>
      </c>
      <c r="H27" s="202">
        <f t="shared" ref="H27:H31" si="2">G27/F27</f>
        <v>0.17969371354405789</v>
      </c>
      <c r="I27" s="201"/>
      <c r="J27" s="2"/>
      <c r="K27" s="2"/>
      <c r="L27" s="2"/>
      <c r="M27" s="2"/>
      <c r="N27" s="2"/>
      <c r="O27" s="2"/>
      <c r="P27" s="2"/>
      <c r="Q27" s="2"/>
      <c r="R27" s="2"/>
      <c r="S27" s="2"/>
      <c r="T27" s="4"/>
      <c r="U27" s="4"/>
      <c r="V27" s="4"/>
      <c r="W27" s="4"/>
      <c r="X27" s="4"/>
      <c r="Y27" s="4"/>
      <c r="Z27" s="4"/>
    </row>
    <row r="28" spans="1:26" ht="12.75" customHeight="1">
      <c r="A28" s="572" t="str">
        <f>'Credito No Renovable'!A26</f>
        <v>30/6/3</v>
      </c>
      <c r="B28" s="202">
        <f>'Credito No Renovable'!B26+'Crédito MP'!E18</f>
        <v>1771810.6638218225</v>
      </c>
      <c r="C28" s="202">
        <f>'Credito No Renovable'!C26</f>
        <v>192952.66595545562</v>
      </c>
      <c r="D28" s="207">
        <f>'Credito No Renovable'!D26+'Crédito MP'!F18</f>
        <v>158182.53151861049</v>
      </c>
      <c r="E28" s="202"/>
      <c r="F28" s="202"/>
      <c r="G28" s="202"/>
      <c r="H28" s="202"/>
      <c r="I28" s="201"/>
      <c r="J28" s="2"/>
      <c r="K28" s="2"/>
      <c r="L28" s="2"/>
      <c r="M28" s="2"/>
      <c r="N28" s="2"/>
      <c r="O28" s="2"/>
      <c r="P28" s="2"/>
      <c r="Q28" s="2"/>
      <c r="R28" s="2"/>
      <c r="S28" s="2"/>
      <c r="T28" s="4"/>
      <c r="U28" s="4"/>
      <c r="V28" s="4"/>
      <c r="W28" s="4"/>
      <c r="X28" s="4"/>
      <c r="Y28" s="4"/>
      <c r="Z28" s="4"/>
    </row>
    <row r="29" spans="1:26" ht="12.75" customHeight="1">
      <c r="A29" s="572" t="str">
        <f>'Credito No Renovable'!A27</f>
        <v>31/12/3</v>
      </c>
      <c r="B29" s="202">
        <f>'Credito No Renovable'!B27+'Crédito MP'!E19</f>
        <v>1578857.997866367</v>
      </c>
      <c r="C29" s="202">
        <f>'Credito No Renovable'!C27</f>
        <v>192952.66595545562</v>
      </c>
      <c r="D29" s="202">
        <f>'Credito No Renovable'!D27+'Crédito MP'!F19</f>
        <v>131169.15828484669</v>
      </c>
      <c r="E29" s="202">
        <f>C29+C28</f>
        <v>385905.33191091125</v>
      </c>
      <c r="F29" s="202">
        <f>(B29+B28)/2</f>
        <v>1675334.3308440947</v>
      </c>
      <c r="G29" s="202">
        <f>D29+D28</f>
        <v>289351.68980345718</v>
      </c>
      <c r="H29" s="202">
        <f t="shared" si="2"/>
        <v>0.17271280393190008</v>
      </c>
      <c r="I29" s="201"/>
      <c r="J29" s="2"/>
      <c r="K29" s="2"/>
      <c r="L29" s="2"/>
      <c r="M29" s="2"/>
      <c r="N29" s="2"/>
      <c r="O29" s="2"/>
      <c r="P29" s="2"/>
      <c r="Q29" s="2"/>
      <c r="R29" s="2"/>
      <c r="S29" s="2"/>
      <c r="T29" s="4"/>
      <c r="U29" s="4"/>
      <c r="V29" s="4"/>
      <c r="W29" s="4"/>
      <c r="X29" s="4"/>
      <c r="Y29" s="4"/>
      <c r="Z29" s="4"/>
    </row>
    <row r="30" spans="1:26" ht="12.75" customHeight="1">
      <c r="A30" s="572" t="str">
        <f>'Credito No Renovable'!A28</f>
        <v>30/6/4</v>
      </c>
      <c r="B30" s="202">
        <f>'Credito No Renovable'!B28+'Crédito MP'!E20</f>
        <v>1385905.3319109112</v>
      </c>
      <c r="C30" s="202">
        <f>'Credito No Renovable'!C28</f>
        <v>192952.66595545562</v>
      </c>
      <c r="D30" s="207">
        <f>'Credito No Renovable'!D28+'Crédito MP'!F20</f>
        <v>104155.78505108292</v>
      </c>
      <c r="E30" s="202"/>
      <c r="F30" s="202"/>
      <c r="G30" s="202"/>
      <c r="H30" s="202"/>
      <c r="I30" s="201"/>
      <c r="J30" s="2"/>
      <c r="K30" s="2"/>
      <c r="L30" s="2"/>
      <c r="M30" s="2"/>
      <c r="N30" s="2"/>
      <c r="O30" s="2"/>
      <c r="P30" s="2"/>
      <c r="Q30" s="2"/>
      <c r="R30" s="2"/>
      <c r="S30" s="2"/>
      <c r="T30" s="4"/>
      <c r="U30" s="4"/>
      <c r="V30" s="4"/>
      <c r="W30" s="4"/>
      <c r="X30" s="4"/>
      <c r="Y30" s="4"/>
      <c r="Z30" s="4"/>
    </row>
    <row r="31" spans="1:26" ht="12.75" customHeight="1">
      <c r="A31" s="572" t="str">
        <f>'Credito No Renovable'!A29</f>
        <v>31/12/4</v>
      </c>
      <c r="B31" s="202">
        <f>'Credito No Renovable'!B29+'Crédito MP'!E21</f>
        <v>1192952.6659554555</v>
      </c>
      <c r="C31" s="202">
        <f>'Credito No Renovable'!C29</f>
        <v>192952.66595545562</v>
      </c>
      <c r="D31" s="202">
        <f>'Credito No Renovable'!D29+'Crédito MP'!F21</f>
        <v>77142.411817319109</v>
      </c>
      <c r="E31" s="202">
        <f>C31+C30</f>
        <v>385905.33191091125</v>
      </c>
      <c r="F31" s="202">
        <f>(B31+B30)/2</f>
        <v>1289428.9989331835</v>
      </c>
      <c r="G31" s="202">
        <f>D31+D30</f>
        <v>181298.19686840201</v>
      </c>
      <c r="H31" s="202">
        <f t="shared" si="2"/>
        <v>0.14060347411016824</v>
      </c>
      <c r="I31" s="201"/>
      <c r="J31" s="2"/>
      <c r="K31" s="2"/>
      <c r="L31" s="2"/>
      <c r="M31" s="2"/>
      <c r="N31" s="2"/>
      <c r="O31" s="2"/>
      <c r="P31" s="2"/>
      <c r="Q31" s="2"/>
      <c r="R31" s="2"/>
      <c r="S31" s="2"/>
      <c r="T31" s="4"/>
      <c r="U31" s="4"/>
      <c r="V31" s="4"/>
      <c r="W31" s="4"/>
      <c r="X31" s="4"/>
      <c r="Y31" s="4"/>
      <c r="Z31" s="4"/>
    </row>
    <row r="32" spans="1:26" ht="12.75" customHeight="1">
      <c r="A32" s="572" t="str">
        <f>'Credito No Renovable'!A30</f>
        <v>30/6/5</v>
      </c>
      <c r="B32" s="202">
        <f>'Credito No Renovable'!B30+'Crédito MP'!E22</f>
        <v>1000000</v>
      </c>
      <c r="C32" s="202">
        <f>'Credito No Renovable'!C30</f>
        <v>192952.66595545562</v>
      </c>
      <c r="D32" s="207">
        <f>'Credito No Renovable'!D30+'Crédito MP'!F22</f>
        <v>50129.038583555332</v>
      </c>
      <c r="E32" s="202"/>
      <c r="F32" s="202"/>
      <c r="G32" s="202"/>
      <c r="H32" s="202"/>
      <c r="I32" s="201"/>
      <c r="J32" s="2"/>
      <c r="K32" s="2"/>
      <c r="L32" s="2"/>
      <c r="M32" s="2"/>
      <c r="N32" s="2"/>
      <c r="O32" s="2"/>
      <c r="P32" s="2"/>
      <c r="Q32" s="2"/>
      <c r="R32" s="2"/>
      <c r="S32" s="2"/>
      <c r="T32" s="4"/>
      <c r="U32" s="4"/>
      <c r="V32" s="4"/>
      <c r="W32" s="4"/>
      <c r="X32" s="4"/>
      <c r="Y32" s="4"/>
      <c r="Z32" s="4"/>
    </row>
    <row r="33" spans="1:26" ht="12.75" customHeight="1">
      <c r="A33" s="572" t="str">
        <f>'Credito No Renovable'!A31</f>
        <v>31/12/5</v>
      </c>
      <c r="B33" s="202">
        <f>'Credito No Renovable'!B31+'Crédito MP'!E23</f>
        <v>1000000</v>
      </c>
      <c r="C33" s="202">
        <f>'Credito No Renovable'!C31</f>
        <v>0</v>
      </c>
      <c r="D33" s="202">
        <f>'Credito No Renovable'!D31+'Crédito MP'!F23</f>
        <v>23115.665349791539</v>
      </c>
      <c r="E33" s="202">
        <f>C33+C32</f>
        <v>192952.66595545562</v>
      </c>
      <c r="F33" s="202">
        <f>(B33+B32)/2</f>
        <v>1000000</v>
      </c>
      <c r="G33" s="202">
        <f>D33+D32</f>
        <v>73244.703933346871</v>
      </c>
      <c r="H33" s="202"/>
      <c r="I33" s="201"/>
      <c r="J33" s="2"/>
      <c r="K33" s="2"/>
      <c r="L33" s="2"/>
      <c r="M33" s="2"/>
      <c r="N33" s="2"/>
      <c r="O33" s="2"/>
      <c r="P33" s="2"/>
      <c r="Q33" s="2"/>
      <c r="R33" s="2"/>
      <c r="S33" s="2"/>
      <c r="T33" s="4"/>
      <c r="U33" s="4"/>
      <c r="V33" s="4"/>
      <c r="W33" s="4"/>
      <c r="X33" s="4"/>
      <c r="Y33" s="4"/>
      <c r="Z33" s="4"/>
    </row>
    <row r="34" spans="1:26" ht="12.75" customHeight="1" thickBot="1">
      <c r="A34" s="573" t="s">
        <v>283</v>
      </c>
      <c r="B34" s="202"/>
      <c r="C34" s="202">
        <f>SUM(C23:C33)</f>
        <v>1157715.9957327337</v>
      </c>
      <c r="D34" s="202">
        <f>SUM(D23:D33)+D21</f>
        <v>1404334.6322169944</v>
      </c>
      <c r="E34" s="202">
        <f>SUM(E23:E33)</f>
        <v>1157715.9957327337</v>
      </c>
      <c r="F34" s="202">
        <f>SUM(F23:F33)</f>
        <v>7850385.654931685</v>
      </c>
      <c r="G34" s="202">
        <f>SUM(G21:G33)</f>
        <v>1404334.6322169942</v>
      </c>
      <c r="H34" s="202"/>
      <c r="I34" s="201">
        <f>I21</f>
        <v>23154.319914654676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4"/>
      <c r="U34" s="4"/>
      <c r="V34" s="4"/>
      <c r="W34" s="4"/>
      <c r="X34" s="4"/>
      <c r="Y34" s="4"/>
      <c r="Z34" s="4"/>
    </row>
    <row r="35" spans="1:26" ht="12.75" customHeight="1" thickTop="1">
      <c r="A35" s="256"/>
      <c r="B35" s="256"/>
      <c r="C35" s="256"/>
      <c r="D35" s="256"/>
      <c r="E35" s="256"/>
      <c r="F35" s="256"/>
      <c r="G35" s="256"/>
      <c r="H35" s="256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4"/>
      <c r="U35" s="4"/>
      <c r="V35" s="4"/>
      <c r="W35" s="4"/>
      <c r="X35" s="4"/>
      <c r="Y35" s="4"/>
      <c r="Z35" s="4"/>
    </row>
    <row r="36" spans="1:26" ht="12.75">
      <c r="A36" s="496"/>
      <c r="B36" s="473"/>
      <c r="C36" s="473"/>
      <c r="D36" s="473"/>
      <c r="E36" s="473"/>
      <c r="F36" s="473"/>
      <c r="G36" s="473"/>
      <c r="H36" s="496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>
      <c r="A37" s="496"/>
      <c r="B37" s="473"/>
      <c r="C37" s="473"/>
      <c r="D37" s="473"/>
      <c r="E37" s="473"/>
      <c r="F37" s="473"/>
      <c r="G37" s="473"/>
      <c r="H37" s="496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3.5" thickBot="1">
      <c r="A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3.5" thickBot="1">
      <c r="A39" s="221" t="s">
        <v>625</v>
      </c>
      <c r="B39" s="222">
        <v>1</v>
      </c>
      <c r="C39" s="223">
        <v>2</v>
      </c>
      <c r="D39" s="223">
        <v>3</v>
      </c>
      <c r="E39" s="223">
        <v>4</v>
      </c>
      <c r="F39" s="223">
        <v>5</v>
      </c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>
      <c r="A40" s="224" t="s">
        <v>626</v>
      </c>
      <c r="B40" s="225">
        <f>($D$21+$I$21)/5</f>
        <v>31644.237216694724</v>
      </c>
      <c r="C40" s="225">
        <f t="shared" ref="C40:F40" si="3">($D$21+$I$21)/5</f>
        <v>31644.237216694724</v>
      </c>
      <c r="D40" s="225">
        <f t="shared" si="3"/>
        <v>31644.237216694724</v>
      </c>
      <c r="E40" s="225">
        <f t="shared" si="3"/>
        <v>31644.237216694724</v>
      </c>
      <c r="F40" s="225">
        <f t="shared" si="3"/>
        <v>31644.237216694724</v>
      </c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>
      <c r="A41" s="224" t="s">
        <v>627</v>
      </c>
      <c r="B41" s="226">
        <f>G25</f>
        <v>354981.36593822087</v>
      </c>
      <c r="C41" s="226">
        <f>G27</f>
        <v>370391.80950474855</v>
      </c>
      <c r="D41" s="226">
        <f>G29</f>
        <v>289351.68980345718</v>
      </c>
      <c r="E41" s="226">
        <f>G31</f>
        <v>181298.19686840201</v>
      </c>
      <c r="F41" s="226">
        <f>G33</f>
        <v>73244.703933346871</v>
      </c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3.5" thickBot="1">
      <c r="A42" s="227" t="s">
        <v>628</v>
      </c>
      <c r="B42" s="228">
        <f>B40+B41</f>
        <v>386625.60315491562</v>
      </c>
      <c r="C42" s="228">
        <f>C40+C41</f>
        <v>402036.0467214433</v>
      </c>
      <c r="D42" s="228">
        <f>D40+D41</f>
        <v>320995.92702015192</v>
      </c>
      <c r="E42" s="228">
        <f>E40+E41</f>
        <v>212942.43408509673</v>
      </c>
      <c r="F42" s="228">
        <f>F40+F41</f>
        <v>104888.94115004159</v>
      </c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3.5" thickBot="1">
      <c r="A43" s="215"/>
      <c r="B43" s="229"/>
      <c r="C43" s="229"/>
      <c r="D43" s="229"/>
      <c r="E43" s="229"/>
      <c r="F43" s="229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3.5" thickBot="1">
      <c r="A44" s="222" t="s">
        <v>629</v>
      </c>
      <c r="B44" s="230">
        <f>0.21*B41</f>
        <v>74546.086847026381</v>
      </c>
      <c r="C44" s="230">
        <f>0.21*C41</f>
        <v>77782.279995997189</v>
      </c>
      <c r="D44" s="230">
        <f>0.21*D41</f>
        <v>60763.854858726008</v>
      </c>
      <c r="E44" s="230">
        <f>0.21*E41</f>
        <v>38072.621342364422</v>
      </c>
      <c r="F44" s="230">
        <f>0.21*F41</f>
        <v>15381.387826002843</v>
      </c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3.5" thickBot="1">
      <c r="A45" s="222" t="s">
        <v>630</v>
      </c>
      <c r="B45" s="230">
        <f>0.21*B40</f>
        <v>6645.289815505892</v>
      </c>
      <c r="C45" s="230">
        <f>0.21*C40</f>
        <v>6645.289815505892</v>
      </c>
      <c r="D45" s="230">
        <f>0.21*D40</f>
        <v>6645.289815505892</v>
      </c>
      <c r="E45" s="230">
        <f>0.21*E40</f>
        <v>6645.289815505892</v>
      </c>
      <c r="F45" s="230">
        <f>0.21*F40</f>
        <v>6645.289815505892</v>
      </c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>
      <c r="A51" s="263">
        <f>E22-D22</f>
        <v>0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</sheetData>
  <mergeCells count="3">
    <mergeCell ref="B3:C3"/>
    <mergeCell ref="D3:E3"/>
    <mergeCell ref="F3:G3"/>
  </mergeCells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>
      <selection activeCell="B25" sqref="B25"/>
    </sheetView>
  </sheetViews>
  <sheetFormatPr baseColWidth="10" defaultColWidth="14.42578125" defaultRowHeight="15" customHeight="1"/>
  <cols>
    <col min="1" max="1" width="32.140625" customWidth="1"/>
    <col min="2" max="6" width="15.42578125" bestFit="1" customWidth="1"/>
    <col min="7" max="7" width="16.42578125" bestFit="1" customWidth="1"/>
    <col min="8" max="8" width="17.42578125" customWidth="1"/>
    <col min="9" max="17" width="11.42578125" customWidth="1"/>
  </cols>
  <sheetData>
    <row r="1" spans="1:26" ht="12.75" customHeight="1">
      <c r="A1" s="1" t="s">
        <v>0</v>
      </c>
      <c r="B1" s="2"/>
      <c r="C1" s="2"/>
      <c r="D1" s="2"/>
      <c r="E1" s="99"/>
      <c r="F1" s="3">
        <f>[2]InfoInicial!E1</f>
        <v>7</v>
      </c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"/>
      <c r="S1" s="4"/>
      <c r="T1" s="4"/>
      <c r="U1" s="4"/>
      <c r="V1" s="4"/>
      <c r="W1" s="4"/>
      <c r="X1" s="4"/>
      <c r="Y1" s="4"/>
      <c r="Z1" s="4"/>
    </row>
    <row r="2" spans="1:26" ht="15.75" customHeight="1">
      <c r="A2" s="424" t="s">
        <v>334</v>
      </c>
      <c r="B2" s="425"/>
      <c r="C2" s="425"/>
      <c r="D2" s="425"/>
      <c r="E2" s="425"/>
      <c r="F2" s="425"/>
      <c r="G2" s="426"/>
      <c r="H2" s="2"/>
      <c r="I2" s="2"/>
      <c r="J2" s="2"/>
      <c r="K2" s="2"/>
      <c r="L2" s="2"/>
      <c r="M2" s="2"/>
      <c r="N2" s="2"/>
      <c r="O2" s="2"/>
      <c r="P2" s="2"/>
      <c r="Q2" s="2"/>
      <c r="R2" s="4"/>
      <c r="S2" s="4"/>
      <c r="T2" s="4"/>
      <c r="U2" s="4"/>
      <c r="V2" s="4"/>
      <c r="W2" s="4"/>
      <c r="X2" s="4"/>
      <c r="Y2" s="4"/>
      <c r="Z2" s="4"/>
    </row>
    <row r="3" spans="1:26" ht="12.75" customHeight="1">
      <c r="A3" s="438" t="s">
        <v>164</v>
      </c>
      <c r="B3" s="432" t="s">
        <v>8</v>
      </c>
      <c r="C3" s="432" t="s">
        <v>165</v>
      </c>
      <c r="D3" s="432" t="s">
        <v>166</v>
      </c>
      <c r="E3" s="432" t="s">
        <v>167</v>
      </c>
      <c r="F3" s="439" t="s">
        <v>168</v>
      </c>
      <c r="G3" s="433" t="s">
        <v>174</v>
      </c>
      <c r="H3" s="2"/>
      <c r="I3" s="2"/>
      <c r="J3" s="2"/>
      <c r="K3" s="2"/>
      <c r="L3" s="2"/>
      <c r="M3" s="2"/>
      <c r="N3" s="2"/>
      <c r="O3" s="2"/>
      <c r="P3" s="2"/>
      <c r="Q3" s="2"/>
      <c r="R3" s="4"/>
      <c r="S3" s="4"/>
      <c r="T3" s="4"/>
      <c r="U3" s="4"/>
      <c r="V3" s="4"/>
      <c r="W3" s="4"/>
      <c r="X3" s="4"/>
      <c r="Y3" s="4"/>
      <c r="Z3" s="4"/>
    </row>
    <row r="4" spans="1:26" ht="12.75" customHeight="1">
      <c r="A4" s="256" t="s">
        <v>335</v>
      </c>
      <c r="B4" s="262">
        <f>'E-Costos'!B94</f>
        <v>33703600</v>
      </c>
      <c r="C4" s="262">
        <f>'E-Costos'!C94</f>
        <v>38024883</v>
      </c>
      <c r="D4" s="262">
        <f>'E-Costos'!D94</f>
        <v>38024883</v>
      </c>
      <c r="E4" s="262">
        <f>'E-Costos'!E94</f>
        <v>38024883</v>
      </c>
      <c r="F4" s="262">
        <f>'E-Costos'!F94</f>
        <v>38024883</v>
      </c>
      <c r="G4" s="486">
        <f>SUM(B4:F4)</f>
        <v>185803132</v>
      </c>
      <c r="H4" s="256"/>
      <c r="I4" s="2"/>
      <c r="J4" s="2"/>
      <c r="K4" s="2"/>
      <c r="L4" s="2"/>
      <c r="M4" s="2"/>
      <c r="N4" s="2"/>
      <c r="O4" s="2"/>
      <c r="P4" s="2"/>
      <c r="Q4" s="2"/>
      <c r="R4" s="4"/>
      <c r="S4" s="4"/>
      <c r="T4" s="4"/>
      <c r="U4" s="4"/>
      <c r="V4" s="4"/>
      <c r="W4" s="4"/>
      <c r="X4" s="4"/>
      <c r="Y4" s="4"/>
      <c r="Z4" s="4"/>
    </row>
    <row r="5" spans="1:26" ht="12.75" customHeight="1">
      <c r="A5" s="256" t="s">
        <v>336</v>
      </c>
      <c r="B5" s="262">
        <f>'E-Costos'!B113</f>
        <v>7587707.3768447349</v>
      </c>
      <c r="C5" s="262">
        <f>'E-Costos'!C113</f>
        <v>8170059.9275240386</v>
      </c>
      <c r="D5" s="262">
        <f>'E-Costos'!D113</f>
        <v>8173939.6046240386</v>
      </c>
      <c r="E5" s="262">
        <f>'E-Costos'!E113</f>
        <v>8173939.6046240386</v>
      </c>
      <c r="F5" s="262">
        <f>'E-Costos'!F113</f>
        <v>8173939.6046240386</v>
      </c>
      <c r="G5" s="486">
        <f>SUM(B5:F5)</f>
        <v>40279586.118240893</v>
      </c>
      <c r="H5" s="256"/>
      <c r="I5" s="2"/>
      <c r="J5" s="2"/>
      <c r="K5" s="2"/>
      <c r="L5" s="2"/>
      <c r="M5" s="2"/>
      <c r="N5" s="2"/>
      <c r="O5" s="2"/>
      <c r="P5" s="2"/>
      <c r="Q5" s="2"/>
      <c r="R5" s="4"/>
      <c r="S5" s="4"/>
      <c r="T5" s="4"/>
      <c r="U5" s="4"/>
      <c r="V5" s="4"/>
      <c r="W5" s="4"/>
      <c r="X5" s="4"/>
      <c r="Y5" s="4"/>
      <c r="Z5" s="4"/>
    </row>
    <row r="6" spans="1:26" ht="12.75" customHeight="1">
      <c r="A6" s="256" t="s">
        <v>338</v>
      </c>
      <c r="B6" s="262">
        <f>B4-B5</f>
        <v>26115892.623155266</v>
      </c>
      <c r="C6" s="262">
        <f t="shared" ref="C6:F6" si="0">C4-C5</f>
        <v>29854823.072475962</v>
      </c>
      <c r="D6" s="262">
        <f t="shared" si="0"/>
        <v>29850943.39537596</v>
      </c>
      <c r="E6" s="262">
        <f t="shared" si="0"/>
        <v>29850943.39537596</v>
      </c>
      <c r="F6" s="262">
        <f t="shared" si="0"/>
        <v>29850943.39537596</v>
      </c>
      <c r="G6" s="486">
        <f t="shared" ref="G6:G14" si="1">SUM(B6:F6)</f>
        <v>145523545.88175911</v>
      </c>
      <c r="H6" s="256"/>
      <c r="I6" s="2"/>
      <c r="J6" s="2"/>
      <c r="K6" s="2"/>
      <c r="L6" s="2"/>
      <c r="M6" s="2"/>
      <c r="N6" s="2"/>
      <c r="O6" s="2"/>
      <c r="P6" s="2"/>
      <c r="Q6" s="2"/>
      <c r="R6" s="4"/>
      <c r="S6" s="4"/>
      <c r="T6" s="4"/>
      <c r="U6" s="4"/>
      <c r="V6" s="4"/>
      <c r="W6" s="4"/>
      <c r="X6" s="4"/>
      <c r="Y6" s="4"/>
      <c r="Z6" s="4"/>
    </row>
    <row r="7" spans="1:26" ht="12.75" customHeight="1">
      <c r="A7" s="256" t="s">
        <v>300</v>
      </c>
      <c r="B7" s="262"/>
      <c r="C7" s="262"/>
      <c r="D7" s="262"/>
      <c r="E7" s="262"/>
      <c r="F7" s="385"/>
      <c r="G7" s="486"/>
      <c r="H7" s="256"/>
      <c r="I7" s="2"/>
      <c r="J7" s="2"/>
      <c r="K7" s="2"/>
      <c r="L7" s="2"/>
      <c r="M7" s="2"/>
      <c r="N7" s="2"/>
      <c r="O7" s="2"/>
      <c r="P7" s="2"/>
      <c r="Q7" s="2"/>
      <c r="R7" s="4"/>
      <c r="S7" s="4"/>
      <c r="T7" s="4"/>
      <c r="U7" s="4"/>
      <c r="V7" s="4"/>
      <c r="W7" s="4"/>
      <c r="X7" s="4"/>
      <c r="Y7" s="4"/>
      <c r="Z7" s="4"/>
    </row>
    <row r="8" spans="1:26" ht="12.75" customHeight="1">
      <c r="A8" s="256" t="s">
        <v>340</v>
      </c>
      <c r="B8" s="262">
        <f>'E-Costos'!B115</f>
        <v>1836560.9181337226</v>
      </c>
      <c r="C8" s="262">
        <f>'E-Costos'!C115</f>
        <v>1836560.9181337226</v>
      </c>
      <c r="D8" s="262">
        <f>'E-Costos'!D115</f>
        <v>1836560.9181337226</v>
      </c>
      <c r="E8" s="262">
        <f>'E-Costos'!E115</f>
        <v>1836560.9181337226</v>
      </c>
      <c r="F8" s="262">
        <f>'E-Costos'!F115</f>
        <v>1836560.9181337226</v>
      </c>
      <c r="G8" s="486">
        <f t="shared" si="1"/>
        <v>9182804.5906686131</v>
      </c>
      <c r="H8" s="256"/>
      <c r="I8" s="2"/>
      <c r="J8" s="2"/>
      <c r="K8" s="2"/>
      <c r="L8" s="2"/>
      <c r="M8" s="2"/>
      <c r="N8" s="2"/>
      <c r="O8" s="2"/>
      <c r="P8" s="2"/>
      <c r="Q8" s="2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>
      <c r="A9" s="256" t="s">
        <v>341</v>
      </c>
      <c r="B9" s="262">
        <f>'E-Costos'!B116</f>
        <v>1228160.9181337226</v>
      </c>
      <c r="C9" s="262">
        <f>'E-Costos'!C116</f>
        <v>1228160.9181337226</v>
      </c>
      <c r="D9" s="262">
        <f>'E-Costos'!D116</f>
        <v>1228160.9181337226</v>
      </c>
      <c r="E9" s="262">
        <f>'E-Costos'!E116</f>
        <v>1228160.9181337226</v>
      </c>
      <c r="F9" s="262">
        <f>'E-Costos'!F116</f>
        <v>1228160.9181337226</v>
      </c>
      <c r="G9" s="486">
        <f t="shared" si="1"/>
        <v>6140804.5906686131</v>
      </c>
      <c r="H9" s="256"/>
      <c r="I9" s="2"/>
      <c r="J9" s="2"/>
      <c r="K9" s="2"/>
      <c r="L9" s="2"/>
      <c r="M9" s="2"/>
      <c r="N9" s="2"/>
      <c r="O9" s="2"/>
      <c r="P9" s="2"/>
      <c r="Q9" s="2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>
      <c r="A10" s="256" t="s">
        <v>342</v>
      </c>
      <c r="B10" s="262">
        <f>'F-Cred'!B42</f>
        <v>386625.60315491562</v>
      </c>
      <c r="C10" s="262">
        <f>'F-Cred'!C42</f>
        <v>402036.0467214433</v>
      </c>
      <c r="D10" s="262">
        <f>'F-Cred'!D42</f>
        <v>320995.92702015192</v>
      </c>
      <c r="E10" s="262">
        <f>'F-Cred'!E42</f>
        <v>212942.43408509673</v>
      </c>
      <c r="F10" s="262">
        <f>'F-Cred'!F42</f>
        <v>104888.94115004159</v>
      </c>
      <c r="G10" s="486">
        <f t="shared" si="1"/>
        <v>1427488.952131649</v>
      </c>
      <c r="H10" s="251"/>
      <c r="I10" s="2"/>
      <c r="J10" s="2"/>
      <c r="K10" s="2"/>
      <c r="L10" s="2"/>
      <c r="M10" s="2"/>
      <c r="N10" s="2"/>
      <c r="O10" s="2"/>
      <c r="P10" s="2"/>
      <c r="Q10" s="2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>
      <c r="A11" s="513" t="s">
        <v>343</v>
      </c>
      <c r="B11" s="262">
        <f>B6-B8-B9-B10</f>
        <v>22664545.183732908</v>
      </c>
      <c r="C11" s="262">
        <f t="shared" ref="C11:F11" si="2">C6-C8-C9-C10</f>
        <v>26388065.189487077</v>
      </c>
      <c r="D11" s="262">
        <f t="shared" si="2"/>
        <v>26465225.632088367</v>
      </c>
      <c r="E11" s="262">
        <f t="shared" si="2"/>
        <v>26573279.125023421</v>
      </c>
      <c r="F11" s="262">
        <f t="shared" si="2"/>
        <v>26681332.617958475</v>
      </c>
      <c r="G11" s="486">
        <f t="shared" si="1"/>
        <v>128772447.74829024</v>
      </c>
      <c r="H11" s="256"/>
      <c r="I11" s="2"/>
      <c r="J11" s="2"/>
      <c r="K11" s="2"/>
      <c r="L11" s="2"/>
      <c r="M11" s="2"/>
      <c r="N11" s="2"/>
      <c r="O11" s="2"/>
      <c r="P11" s="2"/>
      <c r="Q11" s="2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>
      <c r="A12" s="256" t="s">
        <v>344</v>
      </c>
      <c r="B12" s="262">
        <f>B11*InfoInicial!$B$5</f>
        <v>1813163.6146986326</v>
      </c>
      <c r="C12" s="262">
        <f>C11*InfoInicial!$B$5</f>
        <v>2111045.2151589664</v>
      </c>
      <c r="D12" s="262">
        <f>D11*InfoInicial!$B$5</f>
        <v>2117218.0505670696</v>
      </c>
      <c r="E12" s="262">
        <f>E11*InfoInicial!$B$5</f>
        <v>2125862.3300018739</v>
      </c>
      <c r="F12" s="262">
        <f>F11*InfoInicial!$B$5</f>
        <v>2134506.6094366782</v>
      </c>
      <c r="G12" s="486">
        <f t="shared" si="1"/>
        <v>10301795.819863221</v>
      </c>
      <c r="H12" s="256"/>
      <c r="I12" s="2"/>
      <c r="J12" s="2"/>
      <c r="K12" s="2"/>
      <c r="L12" s="2"/>
      <c r="M12" s="2"/>
      <c r="N12" s="2"/>
      <c r="O12" s="2"/>
      <c r="P12" s="2"/>
      <c r="Q12" s="2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>
      <c r="A13" s="261" t="s">
        <v>345</v>
      </c>
      <c r="B13" s="262">
        <f>B11*InfoInicial!$B$4</f>
        <v>7932590.8143065171</v>
      </c>
      <c r="C13" s="262">
        <f>C11*InfoInicial!$B$4</f>
        <v>9235822.8163204771</v>
      </c>
      <c r="D13" s="262">
        <f>D11*InfoInicial!$B$4</f>
        <v>9262828.9712309279</v>
      </c>
      <c r="E13" s="262">
        <f>E11*InfoInicial!$B$4</f>
        <v>9300647.6937581971</v>
      </c>
      <c r="F13" s="262">
        <f>F11*InfoInicial!$B$4</f>
        <v>9338466.4162854664</v>
      </c>
      <c r="G13" s="486">
        <f t="shared" si="1"/>
        <v>45070356.71190159</v>
      </c>
      <c r="H13" s="256"/>
      <c r="I13" s="2"/>
      <c r="J13" s="2"/>
      <c r="K13" s="2"/>
      <c r="L13" s="2"/>
      <c r="M13" s="2"/>
      <c r="N13" s="2"/>
      <c r="O13" s="2"/>
      <c r="P13" s="2"/>
      <c r="Q13" s="2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 thickBot="1">
      <c r="A14" s="539" t="s">
        <v>346</v>
      </c>
      <c r="B14" s="478">
        <f>B11-B12-B13</f>
        <v>12918790.754727758</v>
      </c>
      <c r="C14" s="478">
        <f t="shared" ref="C14:F14" si="3">C11-C12-C13</f>
        <v>15041197.158007635</v>
      </c>
      <c r="D14" s="478">
        <f t="shared" si="3"/>
        <v>15085178.610290371</v>
      </c>
      <c r="E14" s="478">
        <f t="shared" si="3"/>
        <v>15146769.101263352</v>
      </c>
      <c r="F14" s="551">
        <f t="shared" si="3"/>
        <v>15208359.592236329</v>
      </c>
      <c r="G14" s="552">
        <f t="shared" si="1"/>
        <v>73400295.21652545</v>
      </c>
      <c r="H14" s="256"/>
      <c r="I14" s="2"/>
      <c r="J14" s="2"/>
      <c r="K14" s="2"/>
      <c r="L14" s="2"/>
      <c r="M14" s="2"/>
      <c r="N14" s="2"/>
      <c r="O14" s="2"/>
      <c r="P14" s="2"/>
      <c r="Q14" s="2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 thickTop="1">
      <c r="A15" s="256"/>
      <c r="B15" s="256"/>
      <c r="C15" s="256"/>
      <c r="D15" s="256"/>
      <c r="E15" s="256"/>
      <c r="F15" s="256"/>
      <c r="G15" s="256"/>
      <c r="H15" s="256"/>
      <c r="I15" s="2"/>
      <c r="J15" s="2"/>
      <c r="K15" s="2"/>
      <c r="L15" s="2"/>
      <c r="M15" s="2"/>
      <c r="N15" s="2"/>
      <c r="O15" s="2"/>
      <c r="P15" s="2"/>
      <c r="Q15" s="2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>
      <c r="A16" s="256"/>
      <c r="B16" s="256"/>
      <c r="C16" s="256"/>
      <c r="D16" s="256"/>
      <c r="E16" s="256"/>
      <c r="F16" s="256"/>
      <c r="G16" s="256"/>
      <c r="H16" s="256"/>
      <c r="I16" s="2"/>
      <c r="J16" s="2"/>
      <c r="K16" s="2"/>
      <c r="L16" s="2"/>
      <c r="M16" s="2"/>
      <c r="N16" s="2"/>
      <c r="O16" s="2"/>
      <c r="P16" s="2"/>
      <c r="Q16" s="2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>
      <c r="A17" s="256"/>
      <c r="B17" s="256"/>
      <c r="C17" s="256"/>
      <c r="D17" s="256"/>
      <c r="E17" s="256"/>
      <c r="F17" s="256"/>
      <c r="G17" s="256"/>
      <c r="H17" s="256"/>
      <c r="I17" s="2"/>
      <c r="J17" s="2"/>
      <c r="K17" s="2"/>
      <c r="L17" s="2"/>
      <c r="M17" s="2"/>
      <c r="N17" s="2"/>
      <c r="O17" s="2"/>
      <c r="P17" s="2"/>
      <c r="Q17" s="2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>
      <c r="A18" s="256"/>
      <c r="B18" s="256"/>
      <c r="C18" s="256"/>
      <c r="D18" s="256"/>
      <c r="E18" s="256"/>
      <c r="F18" s="256"/>
      <c r="G18" s="256"/>
      <c r="H18" s="256"/>
      <c r="I18" s="2"/>
      <c r="J18" s="2"/>
      <c r="K18" s="2"/>
      <c r="L18" s="2"/>
      <c r="M18" s="2"/>
      <c r="N18" s="2"/>
      <c r="O18" s="2"/>
      <c r="P18" s="2"/>
      <c r="Q18" s="2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>
      <c r="A19" s="256"/>
      <c r="B19" s="256"/>
      <c r="C19" s="256"/>
      <c r="D19" s="256"/>
      <c r="E19" s="256"/>
      <c r="F19" s="256"/>
      <c r="G19" s="256"/>
      <c r="H19" s="256"/>
      <c r="I19" s="2"/>
      <c r="J19" s="2"/>
      <c r="K19" s="2"/>
      <c r="L19" s="2"/>
      <c r="M19" s="2"/>
      <c r="N19" s="2"/>
      <c r="O19" s="2"/>
      <c r="P19" s="2"/>
      <c r="Q19" s="2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4"/>
      <c r="S21" s="4"/>
      <c r="T21" s="4"/>
      <c r="U21" s="4"/>
      <c r="V21" s="4"/>
      <c r="W21" s="4"/>
      <c r="X21" s="4"/>
      <c r="Y21" s="4"/>
      <c r="Z21" s="4"/>
    </row>
    <row r="22" spans="1:26" ht="12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pageMargins left="0.75" right="0.75" top="1" bottom="1" header="0.5" footer="0.5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994"/>
  <sheetViews>
    <sheetView topLeftCell="A7" workbookViewId="0">
      <selection activeCell="C20" sqref="C20"/>
    </sheetView>
  </sheetViews>
  <sheetFormatPr baseColWidth="10" defaultColWidth="14.42578125" defaultRowHeight="15" customHeight="1"/>
  <cols>
    <col min="1" max="1" width="54.42578125" customWidth="1"/>
    <col min="2" max="6" width="14.85546875" bestFit="1" customWidth="1"/>
    <col min="7" max="7" width="15.140625" customWidth="1"/>
    <col min="8" max="9" width="14.85546875" bestFit="1" customWidth="1"/>
    <col min="10" max="10" width="17.42578125" customWidth="1"/>
    <col min="11" max="12" width="15.28515625" bestFit="1" customWidth="1"/>
    <col min="13" max="16" width="11.42578125" customWidth="1"/>
  </cols>
  <sheetData>
    <row r="1" spans="1:26" ht="12.75" customHeight="1">
      <c r="A1" s="1" t="s">
        <v>0</v>
      </c>
      <c r="B1" s="2"/>
      <c r="C1" s="2"/>
      <c r="D1" s="2">
        <f>InfoInicial!E1</f>
        <v>7</v>
      </c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5.75" customHeight="1">
      <c r="A2" s="424" t="s">
        <v>359</v>
      </c>
      <c r="B2" s="425"/>
      <c r="C2" s="425"/>
      <c r="D2" s="426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2.75" customHeight="1">
      <c r="A3" s="438" t="s">
        <v>164</v>
      </c>
      <c r="B3" s="465" t="s">
        <v>124</v>
      </c>
      <c r="C3" s="465" t="s">
        <v>8</v>
      </c>
      <c r="D3" s="433" t="s">
        <v>174</v>
      </c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2.75" customHeight="1">
      <c r="A4" s="28" t="s">
        <v>360</v>
      </c>
      <c r="B4" s="83"/>
      <c r="C4" s="83"/>
      <c r="D4" s="85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2.75" customHeight="1">
      <c r="A5" s="2"/>
      <c r="B5" s="83"/>
      <c r="C5" s="83"/>
      <c r="D5" s="85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 customHeight="1">
      <c r="A6" s="2" t="s">
        <v>361</v>
      </c>
      <c r="B6" s="83">
        <f>'E-Cal Inv.'!C6</f>
        <v>2061383.1404958677</v>
      </c>
      <c r="C6" s="83">
        <f>+'E-Cal Inv.'!D6</f>
        <v>50000</v>
      </c>
      <c r="D6" s="85">
        <f>B6+C6</f>
        <v>2111383.1404958675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 customHeight="1">
      <c r="A7" s="2" t="s">
        <v>362</v>
      </c>
      <c r="B7" s="83">
        <f>'F-Cred'!I21+'F-Cred'!G21+'E-Inv AF y Am'!B31</f>
        <v>293421.18608347361</v>
      </c>
      <c r="C7" s="83">
        <f>'E-Inv AF y Am'!C31</f>
        <v>68848.850969599996</v>
      </c>
      <c r="D7" s="85">
        <f>B7+C7</f>
        <v>362270.03705307364</v>
      </c>
      <c r="E7" s="251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ht="12.75" customHeight="1">
      <c r="A8" s="28" t="s">
        <v>363</v>
      </c>
      <c r="B8" s="83">
        <f>B6+B7</f>
        <v>2354804.3265793412</v>
      </c>
      <c r="C8" s="88">
        <f>C6+C7</f>
        <v>118848.8509696</v>
      </c>
      <c r="D8" s="85">
        <f>D6+D7</f>
        <v>2473653.1775489412</v>
      </c>
      <c r="E8" s="256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>
      <c r="A9" s="261" t="s">
        <v>364</v>
      </c>
      <c r="B9" s="262">
        <f>0.21*B8</f>
        <v>494508.90858166164</v>
      </c>
      <c r="C9" s="262">
        <f t="shared" ref="C9:D9" si="0">0.21*C8</f>
        <v>24958.258703615997</v>
      </c>
      <c r="D9" s="262">
        <f t="shared" si="0"/>
        <v>519467.16728527762</v>
      </c>
      <c r="E9" s="256"/>
      <c r="F9" s="256"/>
      <c r="G9" s="256"/>
      <c r="H9" s="2"/>
      <c r="I9" s="2"/>
      <c r="J9" s="2"/>
      <c r="K9" s="2"/>
      <c r="L9" s="2"/>
      <c r="M9" s="2"/>
      <c r="N9" s="2"/>
      <c r="O9" s="2"/>
      <c r="P9" s="2"/>
      <c r="Q9" s="4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>
      <c r="A10" s="513" t="s">
        <v>365</v>
      </c>
      <c r="B10" s="262">
        <f>B8+B9</f>
        <v>2849313.2351610027</v>
      </c>
      <c r="C10" s="262">
        <f t="shared" ref="C10:D10" si="1">C8+C9</f>
        <v>143807.10967321601</v>
      </c>
      <c r="D10" s="262">
        <f t="shared" si="1"/>
        <v>2993120.3448342187</v>
      </c>
      <c r="E10" s="256"/>
      <c r="F10" s="256"/>
      <c r="G10" s="256"/>
      <c r="H10" s="2"/>
      <c r="I10" s="2"/>
      <c r="J10" s="2"/>
      <c r="K10" s="2"/>
      <c r="L10" s="2"/>
      <c r="M10" s="2"/>
      <c r="N10" s="2"/>
      <c r="O10" s="2"/>
      <c r="P10" s="2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>
      <c r="A11" s="513" t="s">
        <v>366</v>
      </c>
      <c r="B11" s="262"/>
      <c r="C11" s="262"/>
      <c r="D11" s="383"/>
      <c r="E11" s="256"/>
      <c r="F11" s="256"/>
      <c r="G11" s="256"/>
      <c r="H11" s="2"/>
      <c r="I11" s="2"/>
      <c r="J11" s="2"/>
      <c r="K11" s="2"/>
      <c r="L11" s="2"/>
      <c r="M11" s="2"/>
      <c r="N11" s="2"/>
      <c r="O11" s="2"/>
      <c r="P11" s="2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>
      <c r="A12" s="261" t="s">
        <v>367</v>
      </c>
      <c r="B12" s="262">
        <f>'E-InvAT'!B6</f>
        <v>471850.39999999997</v>
      </c>
      <c r="C12" s="262">
        <f>'E-InvAT'!C6-B12</f>
        <v>202221.60000000003</v>
      </c>
      <c r="D12" s="383">
        <f>B12+C12</f>
        <v>674072</v>
      </c>
      <c r="E12" s="256"/>
      <c r="F12" s="256"/>
      <c r="G12" s="256"/>
      <c r="H12" s="2"/>
      <c r="I12" s="2"/>
      <c r="J12" s="2"/>
      <c r="K12" s="2"/>
      <c r="L12" s="2"/>
      <c r="M12" s="2"/>
      <c r="N12" s="2"/>
      <c r="O12" s="2"/>
      <c r="P12" s="2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>
      <c r="A13" s="256" t="s">
        <v>368</v>
      </c>
      <c r="B13" s="262">
        <v>0</v>
      </c>
      <c r="C13" s="262">
        <f>'E-InvAT'!C7</f>
        <v>2770158.9041095888</v>
      </c>
      <c r="D13" s="383">
        <f t="shared" ref="D13:D14" si="2">B13+C13</f>
        <v>2770158.9041095888</v>
      </c>
      <c r="E13" s="256"/>
      <c r="F13" s="256"/>
      <c r="G13" s="256"/>
      <c r="H13" s="2"/>
      <c r="I13" s="2"/>
      <c r="J13" s="2"/>
      <c r="K13" s="2"/>
      <c r="L13" s="2"/>
      <c r="M13" s="2"/>
      <c r="N13" s="2"/>
      <c r="O13" s="2"/>
      <c r="P13" s="2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>
      <c r="A14" s="256" t="s">
        <v>369</v>
      </c>
      <c r="B14" s="262">
        <f>'E-InvAT'!B10</f>
        <v>205380</v>
      </c>
      <c r="C14" s="262">
        <f>'E-InvAT'!C10+'E-InvAT'!C12+'E-InvAT'!C13</f>
        <v>4132856.3095393041</v>
      </c>
      <c r="D14" s="383">
        <f t="shared" si="2"/>
        <v>4338236.3095393041</v>
      </c>
      <c r="E14" s="256"/>
      <c r="F14" s="256"/>
      <c r="G14" s="256"/>
      <c r="H14" s="2"/>
      <c r="I14" s="2"/>
      <c r="J14" s="2"/>
      <c r="K14" s="2"/>
      <c r="L14" s="2"/>
      <c r="M14" s="2"/>
      <c r="N14" s="2"/>
      <c r="O14" s="2"/>
      <c r="P14" s="2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>
      <c r="A15" s="513" t="s">
        <v>370</v>
      </c>
      <c r="B15" s="262">
        <f>B12+B13+B14</f>
        <v>677230.39999999991</v>
      </c>
      <c r="C15" s="262">
        <f t="shared" ref="C15:D15" si="3">C12+C13+C14</f>
        <v>7105236.8136488926</v>
      </c>
      <c r="D15" s="262">
        <f t="shared" si="3"/>
        <v>7782467.2136488929</v>
      </c>
      <c r="E15" s="256"/>
      <c r="F15" s="256"/>
      <c r="G15" s="256"/>
      <c r="H15" s="2"/>
      <c r="I15" s="2"/>
      <c r="J15" s="2"/>
      <c r="K15" s="2"/>
      <c r="L15" s="2"/>
      <c r="M15" s="2"/>
      <c r="N15" s="2"/>
      <c r="O15" s="2"/>
      <c r="P15" s="2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>
      <c r="A16" s="256" t="s">
        <v>300</v>
      </c>
      <c r="B16" s="262"/>
      <c r="C16" s="262"/>
      <c r="D16" s="383"/>
      <c r="E16" s="256"/>
      <c r="F16" s="256"/>
      <c r="G16" s="256"/>
      <c r="H16" s="2"/>
      <c r="I16" s="2"/>
      <c r="J16" s="2"/>
      <c r="K16" s="2"/>
      <c r="L16" s="2"/>
      <c r="M16" s="2"/>
      <c r="N16" s="2"/>
      <c r="O16" s="2"/>
      <c r="P16" s="2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>
      <c r="A17" s="256" t="s">
        <v>371</v>
      </c>
      <c r="B17" s="262">
        <v>0</v>
      </c>
      <c r="C17" s="262">
        <f>'E-InvAT'!C17+'E-InvAT'!C18</f>
        <v>19310.873075748397</v>
      </c>
      <c r="D17" s="383">
        <f>B17+C17</f>
        <v>19310.873075748397</v>
      </c>
      <c r="E17" s="256"/>
      <c r="F17" s="535" t="s">
        <v>564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>
      <c r="A18" s="256" t="s">
        <v>372</v>
      </c>
      <c r="B18" s="262">
        <v>0</v>
      </c>
      <c r="C18" s="262">
        <f>(('E-Inv AF y Am'!D57-'E-InvAT'!C17-'E-InvAT'!C18)+('F-Cred'!G21+'F-Cred'!I21)/3)/365*30</f>
        <v>21316.377033849563</v>
      </c>
      <c r="D18" s="383">
        <f t="shared" ref="D18:D19" si="4">B18+C18</f>
        <v>21316.377033849563</v>
      </c>
      <c r="E18" s="256"/>
      <c r="F18" s="251" t="s">
        <v>696</v>
      </c>
      <c r="G18" s="2"/>
      <c r="H18" s="2"/>
      <c r="I18" s="2"/>
      <c r="J18" s="2"/>
      <c r="K18" s="2"/>
      <c r="L18" s="2"/>
      <c r="M18" s="2"/>
      <c r="N18" s="2"/>
      <c r="O18" s="2"/>
      <c r="P18" s="2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>
      <c r="A19" s="256" t="s">
        <v>373</v>
      </c>
      <c r="B19" s="262">
        <v>0</v>
      </c>
      <c r="C19" s="262">
        <f>'F-CRes'!B14/'F-CRes'!B4*'F-2 Estructura'!C13</f>
        <v>1061818.418196802</v>
      </c>
      <c r="D19" s="383">
        <f t="shared" si="4"/>
        <v>1061818.418196802</v>
      </c>
      <c r="E19" s="251"/>
      <c r="F19" s="256"/>
      <c r="G19" s="2"/>
      <c r="H19" s="2"/>
      <c r="I19" s="2"/>
      <c r="J19" s="2"/>
      <c r="K19" s="2"/>
      <c r="L19" s="2"/>
      <c r="M19" s="2"/>
      <c r="N19" s="2"/>
      <c r="O19" s="2"/>
      <c r="P19" s="2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>
      <c r="A20" s="513" t="s">
        <v>374</v>
      </c>
      <c r="B20" s="262">
        <f>B15-B17-B18-B19</f>
        <v>677230.39999999991</v>
      </c>
      <c r="C20" s="262">
        <f t="shared" ref="C20:D20" si="5">C15-C17-C18-C19</f>
        <v>6002791.1453424925</v>
      </c>
      <c r="D20" s="262">
        <f t="shared" si="5"/>
        <v>6680021.5453424929</v>
      </c>
      <c r="E20" s="256"/>
      <c r="F20" s="256"/>
      <c r="G20" s="256"/>
      <c r="H20" s="2"/>
      <c r="I20" s="2"/>
      <c r="J20" s="2"/>
      <c r="K20" s="2"/>
      <c r="L20" s="2"/>
      <c r="M20" s="2"/>
      <c r="N20" s="2"/>
      <c r="O20" s="2"/>
      <c r="P20" s="2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>
      <c r="A21" s="256" t="s">
        <v>375</v>
      </c>
      <c r="B21" s="262">
        <f>'E-InvAT'!B34</f>
        <v>43129.799999999996</v>
      </c>
      <c r="C21" s="262">
        <f>'E-InvAT'!C34</f>
        <v>820992.21110325388</v>
      </c>
      <c r="D21" s="383">
        <f>B21+C21</f>
        <v>864122.01110325393</v>
      </c>
      <c r="E21" s="256"/>
      <c r="F21" s="256"/>
      <c r="G21" s="256"/>
      <c r="H21" s="2"/>
      <c r="I21" s="2"/>
      <c r="J21" s="2"/>
      <c r="K21" s="2"/>
      <c r="L21" s="2"/>
      <c r="M21" s="2"/>
      <c r="N21" s="2"/>
      <c r="O21" s="2"/>
      <c r="P21" s="2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>
      <c r="A22" s="513" t="s">
        <v>376</v>
      </c>
      <c r="B22" s="262">
        <f>B15+B21</f>
        <v>720360.2</v>
      </c>
      <c r="C22" s="262">
        <f t="shared" ref="C22" si="6">C15+C21</f>
        <v>7926229.0247521466</v>
      </c>
      <c r="D22" s="262">
        <f>SUM(B22:C22)</f>
        <v>8646589.2247521468</v>
      </c>
      <c r="E22" s="256"/>
      <c r="F22" s="256"/>
      <c r="G22" s="256"/>
      <c r="H22" s="2"/>
      <c r="I22" s="2"/>
      <c r="J22" s="2"/>
      <c r="K22" s="2"/>
      <c r="L22" s="2"/>
      <c r="M22" s="2"/>
      <c r="N22" s="2"/>
      <c r="O22" s="2"/>
      <c r="P22" s="2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>
      <c r="A23" s="513" t="s">
        <v>377</v>
      </c>
      <c r="B23" s="262">
        <f>B20+B21</f>
        <v>720360.2</v>
      </c>
      <c r="C23" s="262">
        <f t="shared" ref="C23" si="7">C20+C21</f>
        <v>6823783.3564457465</v>
      </c>
      <c r="D23" s="262">
        <f>SUM(B23:C23)</f>
        <v>7544143.5564457467</v>
      </c>
      <c r="E23" s="256"/>
      <c r="F23" s="256"/>
      <c r="G23" s="256"/>
      <c r="H23" s="2"/>
      <c r="I23" s="2"/>
      <c r="J23" s="2"/>
      <c r="K23" s="2"/>
      <c r="L23" s="2"/>
      <c r="M23" s="2"/>
      <c r="N23" s="2"/>
      <c r="O23" s="2"/>
      <c r="P23" s="2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>
      <c r="A24" s="513" t="s">
        <v>378</v>
      </c>
      <c r="B24" s="262"/>
      <c r="C24" s="262"/>
      <c r="D24" s="383"/>
      <c r="E24" s="256"/>
      <c r="F24" s="256"/>
      <c r="G24" s="256"/>
      <c r="H24" s="2"/>
      <c r="I24" s="2"/>
      <c r="J24" s="2"/>
      <c r="K24" s="2"/>
      <c r="L24" s="2"/>
      <c r="M24" s="2"/>
      <c r="N24" s="2"/>
      <c r="O24" s="2"/>
      <c r="P24" s="2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>
      <c r="A25" s="256" t="s">
        <v>379</v>
      </c>
      <c r="B25" s="262">
        <f>B10</f>
        <v>2849313.2351610027</v>
      </c>
      <c r="C25" s="262">
        <f>C10</f>
        <v>143807.10967321601</v>
      </c>
      <c r="D25" s="262">
        <f>SUM(B25:C25)</f>
        <v>2993120.3448342187</v>
      </c>
      <c r="E25" s="256"/>
      <c r="F25" s="256"/>
      <c r="G25" s="256"/>
      <c r="H25" s="2"/>
      <c r="I25" s="2"/>
      <c r="J25" s="2"/>
      <c r="K25" s="2"/>
      <c r="L25" s="2"/>
      <c r="M25" s="2"/>
      <c r="N25" s="2"/>
      <c r="O25" s="2"/>
      <c r="P25" s="2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>
      <c r="A26" s="256" t="s">
        <v>380</v>
      </c>
      <c r="B26" s="262">
        <f>B23</f>
        <v>720360.2</v>
      </c>
      <c r="C26" s="262">
        <f t="shared" ref="C26:D26" si="8">C23</f>
        <v>6823783.3564457465</v>
      </c>
      <c r="D26" s="262">
        <f t="shared" si="8"/>
        <v>7544143.5564457467</v>
      </c>
      <c r="E26" s="256"/>
      <c r="F26" s="256"/>
      <c r="G26" s="256"/>
      <c r="H26" s="2"/>
      <c r="I26" s="2"/>
      <c r="J26" s="2"/>
      <c r="K26" s="2"/>
      <c r="L26" s="2"/>
      <c r="M26" s="2"/>
      <c r="N26" s="2"/>
      <c r="O26" s="2"/>
      <c r="P26" s="2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>
      <c r="A27" s="513" t="s">
        <v>381</v>
      </c>
      <c r="B27" s="262">
        <f>B25+B26</f>
        <v>3569673.4351610029</v>
      </c>
      <c r="C27" s="262">
        <f t="shared" ref="C27" si="9">C25+C26</f>
        <v>6967590.4661189625</v>
      </c>
      <c r="D27" s="262">
        <f>SUM(B27:C27)</f>
        <v>10537263.901279965</v>
      </c>
      <c r="E27" s="536"/>
      <c r="F27" s="256"/>
      <c r="G27" s="256"/>
      <c r="H27" s="2"/>
      <c r="I27" s="2"/>
      <c r="J27" s="2"/>
      <c r="K27" s="2"/>
      <c r="L27" s="2"/>
      <c r="M27" s="2"/>
      <c r="N27" s="2"/>
      <c r="O27" s="2"/>
      <c r="P27" s="2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>
      <c r="A28" s="513" t="s">
        <v>382</v>
      </c>
      <c r="B28" s="262"/>
      <c r="C28" s="262"/>
      <c r="D28" s="385"/>
      <c r="E28" s="537" t="s">
        <v>383</v>
      </c>
      <c r="F28" s="256"/>
      <c r="G28" s="256"/>
      <c r="H28" s="2"/>
      <c r="I28" s="2"/>
      <c r="J28" s="2"/>
      <c r="K28" s="2"/>
      <c r="L28" s="2"/>
      <c r="M28" s="2"/>
      <c r="N28" s="2"/>
      <c r="O28" s="2"/>
      <c r="P28" s="2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>
      <c r="A29" s="513" t="s">
        <v>384</v>
      </c>
      <c r="B29" s="262">
        <v>0</v>
      </c>
      <c r="C29" s="262">
        <f>'F-Cred'!D6</f>
        <v>1000000</v>
      </c>
      <c r="D29" s="385">
        <f>B29+C29</f>
        <v>1000000</v>
      </c>
      <c r="E29" s="538">
        <f>D29/D32</f>
        <v>9.4901295950130818E-2</v>
      </c>
      <c r="F29" s="256"/>
      <c r="G29" s="256"/>
      <c r="H29" s="2"/>
      <c r="I29" s="2"/>
      <c r="J29" s="2"/>
      <c r="K29" s="2"/>
      <c r="L29" s="2"/>
      <c r="M29" s="2"/>
      <c r="N29" s="2"/>
      <c r="O29" s="2"/>
      <c r="P29" s="2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>
      <c r="A30" s="513" t="s">
        <v>385</v>
      </c>
      <c r="B30" s="262">
        <f>'F-Cred'!D5</f>
        <v>1157715.9957327337</v>
      </c>
      <c r="C30" s="262">
        <v>0</v>
      </c>
      <c r="D30" s="385">
        <f>B30+C30</f>
        <v>1157715.9957327337</v>
      </c>
      <c r="E30" s="538">
        <f>D30/D32</f>
        <v>0.10986874833723255</v>
      </c>
      <c r="F30" s="256"/>
      <c r="G30" s="256"/>
      <c r="H30" s="2"/>
      <c r="I30" s="2"/>
      <c r="J30" s="2"/>
      <c r="K30" s="2"/>
      <c r="L30" s="2"/>
      <c r="M30" s="2"/>
      <c r="N30" s="2"/>
      <c r="O30" s="2"/>
      <c r="P30" s="2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>
      <c r="A31" s="513" t="s">
        <v>386</v>
      </c>
      <c r="B31" s="262">
        <f>B27-B30</f>
        <v>2411957.4394282689</v>
      </c>
      <c r="C31" s="262">
        <f>C27-C29</f>
        <v>5967590.4661189625</v>
      </c>
      <c r="D31" s="385">
        <f t="shared" ref="D31:D32" si="10">B31+C31</f>
        <v>8379547.9055472314</v>
      </c>
      <c r="E31" s="538">
        <f>+D31/D32</f>
        <v>0.79522995571263666</v>
      </c>
      <c r="F31" s="256"/>
      <c r="G31" s="256"/>
      <c r="H31" s="2"/>
      <c r="I31" s="2"/>
      <c r="J31" s="2"/>
      <c r="K31" s="2"/>
      <c r="L31" s="2"/>
      <c r="M31" s="2"/>
      <c r="N31" s="2"/>
      <c r="O31" s="2"/>
      <c r="P31" s="2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>
      <c r="A32" s="539" t="s">
        <v>174</v>
      </c>
      <c r="B32" s="478">
        <f>B29+B30+B31</f>
        <v>3569673.4351610029</v>
      </c>
      <c r="C32" s="478">
        <f>+C29+C30+C31</f>
        <v>6967590.4661189625</v>
      </c>
      <c r="D32" s="385">
        <f t="shared" si="10"/>
        <v>10537263.901279965</v>
      </c>
      <c r="E32" s="538">
        <f>D32/D32</f>
        <v>1</v>
      </c>
      <c r="F32" s="256"/>
      <c r="G32" s="256"/>
      <c r="H32" s="2"/>
      <c r="I32" s="2"/>
      <c r="J32" s="2"/>
      <c r="K32" s="2"/>
      <c r="L32" s="2"/>
      <c r="M32" s="2"/>
      <c r="N32" s="2"/>
      <c r="O32" s="2"/>
      <c r="P32" s="2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>
      <c r="A33" s="256"/>
      <c r="B33" s="256"/>
      <c r="C33" s="256"/>
      <c r="D33" s="256"/>
      <c r="E33" s="256"/>
      <c r="F33" s="256"/>
      <c r="G33" s="256"/>
      <c r="H33" s="2"/>
      <c r="I33" s="2"/>
      <c r="J33" s="2"/>
      <c r="K33" s="2"/>
      <c r="L33" s="2"/>
      <c r="M33" s="2"/>
      <c r="N33" s="2"/>
      <c r="O33" s="2"/>
      <c r="P33" s="2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5.75" customHeight="1">
      <c r="A34" s="540" t="s">
        <v>387</v>
      </c>
      <c r="B34" s="541"/>
      <c r="C34" s="541"/>
      <c r="D34" s="541"/>
      <c r="E34" s="541"/>
      <c r="F34" s="541"/>
      <c r="G34" s="256"/>
      <c r="H34" s="2"/>
      <c r="I34" s="2"/>
      <c r="J34" s="2"/>
      <c r="K34" s="2"/>
      <c r="L34" s="2"/>
      <c r="M34" s="2"/>
      <c r="N34" s="2"/>
      <c r="O34" s="2"/>
      <c r="P34" s="2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>
      <c r="A35" s="542" t="s">
        <v>164</v>
      </c>
      <c r="B35" s="543" t="s">
        <v>8</v>
      </c>
      <c r="C35" s="543" t="s">
        <v>165</v>
      </c>
      <c r="D35" s="543" t="s">
        <v>166</v>
      </c>
      <c r="E35" s="543" t="s">
        <v>167</v>
      </c>
      <c r="F35" s="543" t="s">
        <v>168</v>
      </c>
      <c r="G35" s="256"/>
      <c r="H35" s="2"/>
      <c r="I35" s="2"/>
      <c r="J35" s="2"/>
      <c r="K35" s="2"/>
      <c r="L35" s="2"/>
      <c r="M35" s="2"/>
      <c r="N35" s="2"/>
      <c r="O35" s="2"/>
      <c r="P35" s="2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>
      <c r="A36" s="505" t="s">
        <v>350</v>
      </c>
      <c r="B36" s="544">
        <f>'E-Costos'!B135</f>
        <v>5763000</v>
      </c>
      <c r="C36" s="544">
        <f>'E-Costos'!C135</f>
        <v>6201877.5</v>
      </c>
      <c r="D36" s="544">
        <f>'E-Costos'!D135</f>
        <v>6201877.5</v>
      </c>
      <c r="E36" s="544">
        <f>'E-Costos'!E135</f>
        <v>6201877.5</v>
      </c>
      <c r="F36" s="544">
        <f>'E-Costos'!F135</f>
        <v>6201877.5</v>
      </c>
      <c r="G36" s="256"/>
      <c r="H36" s="2"/>
      <c r="I36" s="2"/>
      <c r="J36" s="2"/>
      <c r="K36" s="2"/>
      <c r="L36" s="2"/>
      <c r="M36" s="2"/>
      <c r="N36" s="2"/>
      <c r="O36" s="2"/>
      <c r="P36" s="2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 customHeight="1">
      <c r="A37" s="358" t="s">
        <v>349</v>
      </c>
      <c r="B37" s="544">
        <f>'E-Costos'!B134</f>
        <v>1954507.0046240387</v>
      </c>
      <c r="C37" s="544">
        <f>'E-Costos'!C134</f>
        <v>1972062.1046240388</v>
      </c>
      <c r="D37" s="544">
        <f>+'E-Costos'!D134</f>
        <v>1972062.1046240388</v>
      </c>
      <c r="E37" s="544">
        <f>+'E-Costos'!E134</f>
        <v>1972062.1046240388</v>
      </c>
      <c r="F37" s="544">
        <f>+'E-Costos'!F134</f>
        <v>1972062.1046240388</v>
      </c>
      <c r="G37" s="256"/>
      <c r="H37" s="2"/>
      <c r="I37" s="2"/>
      <c r="J37" s="2"/>
      <c r="K37" s="2"/>
      <c r="L37" s="2"/>
      <c r="M37" s="2"/>
      <c r="N37" s="2"/>
      <c r="O37" s="2"/>
      <c r="P37" s="2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 customHeight="1">
      <c r="A38" s="505" t="s">
        <v>352</v>
      </c>
      <c r="B38" s="544">
        <f>'E-Costos'!B137</f>
        <v>0</v>
      </c>
      <c r="C38" s="544">
        <f>'E-Costos'!C137</f>
        <v>0</v>
      </c>
      <c r="D38" s="544">
        <f>'E-Costos'!D137</f>
        <v>0</v>
      </c>
      <c r="E38" s="544">
        <f>'E-Costos'!E137</f>
        <v>0</v>
      </c>
      <c r="F38" s="544">
        <f>'E-Costos'!F137</f>
        <v>0</v>
      </c>
      <c r="G38" s="256"/>
      <c r="H38" s="2"/>
      <c r="I38" s="2"/>
      <c r="J38" s="2"/>
      <c r="K38" s="2"/>
      <c r="L38" s="2"/>
      <c r="M38" s="2"/>
      <c r="N38" s="2"/>
      <c r="O38" s="2"/>
      <c r="P38" s="2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 customHeight="1">
      <c r="A39" s="358" t="s">
        <v>351</v>
      </c>
      <c r="B39" s="544">
        <f>+'E-Costos'!B136</f>
        <v>1836560.9181337226</v>
      </c>
      <c r="C39" s="544">
        <f>+'E-Costos'!C136</f>
        <v>1836560.9181337226</v>
      </c>
      <c r="D39" s="544">
        <f>+'E-Costos'!D136</f>
        <v>1836560.9181337226</v>
      </c>
      <c r="E39" s="544">
        <f>+'E-Costos'!E136</f>
        <v>1836560.9181337226</v>
      </c>
      <c r="F39" s="544">
        <f>+'E-Costos'!F136</f>
        <v>1836560.9181337226</v>
      </c>
      <c r="G39" s="256"/>
      <c r="H39" s="2"/>
      <c r="I39" s="2"/>
      <c r="J39" s="2"/>
      <c r="K39" s="2"/>
      <c r="L39" s="2"/>
      <c r="M39" s="2"/>
      <c r="N39" s="2"/>
      <c r="O39" s="2"/>
      <c r="P39" s="2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 customHeight="1">
      <c r="A40" s="505" t="s">
        <v>354</v>
      </c>
      <c r="B40" s="544">
        <f>+'E-Costos'!B139</f>
        <v>0</v>
      </c>
      <c r="C40" s="544">
        <f>+'E-Costos'!C139</f>
        <v>0</v>
      </c>
      <c r="D40" s="544">
        <f>+'E-Costos'!D139</f>
        <v>0</v>
      </c>
      <c r="E40" s="544">
        <f>+'E-Costos'!E139</f>
        <v>0</v>
      </c>
      <c r="F40" s="544">
        <f>+'E-Costos'!F139</f>
        <v>0</v>
      </c>
      <c r="G40" s="256"/>
      <c r="H40" s="2"/>
      <c r="I40" s="2"/>
      <c r="J40" s="2"/>
      <c r="K40" s="2"/>
      <c r="L40" s="2"/>
      <c r="M40" s="2"/>
      <c r="N40" s="2"/>
      <c r="O40" s="2"/>
      <c r="P40" s="2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 customHeight="1">
      <c r="A41" s="358" t="s">
        <v>353</v>
      </c>
      <c r="B41" s="544">
        <f>+'E-Costos'!B138</f>
        <v>1228160.9181337226</v>
      </c>
      <c r="C41" s="544">
        <f>+'E-Costos'!C138</f>
        <v>1228160.9181337226</v>
      </c>
      <c r="D41" s="544">
        <f>+'E-Costos'!D138</f>
        <v>1228160.9181337226</v>
      </c>
      <c r="E41" s="544">
        <f>+'E-Costos'!E138</f>
        <v>1228160.9181337226</v>
      </c>
      <c r="F41" s="544">
        <f>+'E-Costos'!F138</f>
        <v>1228160.9181337226</v>
      </c>
      <c r="G41" s="256"/>
      <c r="H41" s="2"/>
      <c r="I41" s="2"/>
      <c r="J41" s="2"/>
      <c r="K41" s="2"/>
      <c r="L41" s="2"/>
      <c r="M41" s="2"/>
      <c r="N41" s="2"/>
      <c r="O41" s="2"/>
      <c r="P41" s="2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 customHeight="1">
      <c r="A42" s="358" t="s">
        <v>388</v>
      </c>
      <c r="B42" s="544">
        <f>'F-Cred'!B42</f>
        <v>386625.60315491562</v>
      </c>
      <c r="C42" s="544">
        <f>'F-Cred'!C42</f>
        <v>402036.0467214433</v>
      </c>
      <c r="D42" s="544">
        <f>'F-Cred'!D42</f>
        <v>320995.92702015192</v>
      </c>
      <c r="E42" s="544">
        <f>'F-Cred'!E42</f>
        <v>212942.43408509673</v>
      </c>
      <c r="F42" s="544">
        <f>'F-Cred'!F42</f>
        <v>104888.94115004159</v>
      </c>
      <c r="G42" s="251"/>
      <c r="H42" s="2"/>
      <c r="I42" s="2"/>
      <c r="J42" s="2"/>
      <c r="K42" s="2"/>
      <c r="L42" s="2"/>
      <c r="M42" s="2"/>
      <c r="N42" s="2"/>
      <c r="O42" s="2"/>
      <c r="P42" s="2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 customHeight="1">
      <c r="A43" s="505" t="s">
        <v>355</v>
      </c>
      <c r="B43" s="544">
        <f>'E-Costos'!B94-'F-2 Estructura'!B36-'F-2 Estructura'!B38-'F-2 Estructura'!B40</f>
        <v>27940600</v>
      </c>
      <c r="C43" s="544">
        <f>'E-Costos'!C94-'F-2 Estructura'!C36-'F-2 Estructura'!C38-'F-2 Estructura'!C40</f>
        <v>31823005.5</v>
      </c>
      <c r="D43" s="544">
        <f>'E-Costos'!D94-'F-2 Estructura'!D36-'F-2 Estructura'!D38-'F-2 Estructura'!D40</f>
        <v>31823005.5</v>
      </c>
      <c r="E43" s="544">
        <f>'E-Costos'!E94-'F-2 Estructura'!E36-'F-2 Estructura'!E38-'F-2 Estructura'!E40</f>
        <v>31823005.5</v>
      </c>
      <c r="F43" s="544">
        <f>'E-Costos'!F94-'F-2 Estructura'!F36-'F-2 Estructura'!F38-'F-2 Estructura'!F40</f>
        <v>31823005.5</v>
      </c>
      <c r="G43" s="256"/>
      <c r="H43" s="2"/>
      <c r="I43" s="2"/>
      <c r="J43" s="2"/>
      <c r="K43" s="2"/>
      <c r="L43" s="2"/>
      <c r="M43" s="2"/>
      <c r="N43" s="2"/>
      <c r="O43" s="2"/>
      <c r="P43" s="2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 customHeight="1">
      <c r="A44" s="511" t="s">
        <v>356</v>
      </c>
      <c r="B44" s="545">
        <f>(B37+B39+B41+B42)/B43</f>
        <v>0.1934766770952091</v>
      </c>
      <c r="C44" s="545">
        <f t="shared" ref="C44:F44" si="11">(C37+C39+C41+C42)/C43</f>
        <v>0.17090843250531215</v>
      </c>
      <c r="D44" s="545">
        <f t="shared" si="11"/>
        <v>0.16836184338124932</v>
      </c>
      <c r="E44" s="545">
        <f t="shared" si="11"/>
        <v>0.16496639121583223</v>
      </c>
      <c r="F44" s="545">
        <f t="shared" si="11"/>
        <v>0.16157093905041511</v>
      </c>
      <c r="G44" s="256"/>
      <c r="H44" s="2"/>
      <c r="I44" s="2"/>
      <c r="J44" s="2"/>
      <c r="K44" s="2"/>
      <c r="L44" s="2"/>
      <c r="M44" s="2"/>
      <c r="N44" s="2"/>
      <c r="O44" s="2"/>
      <c r="P44" s="2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5.75" customHeight="1">
      <c r="A45" s="546" t="s">
        <v>389</v>
      </c>
      <c r="B45" s="256"/>
      <c r="C45" s="256"/>
      <c r="D45" s="256"/>
      <c r="E45" s="256"/>
      <c r="F45" s="256"/>
      <c r="G45" s="256"/>
      <c r="H45" s="2"/>
      <c r="I45" s="2"/>
      <c r="J45" s="2"/>
      <c r="K45" s="2"/>
      <c r="L45" s="2"/>
      <c r="M45" s="2"/>
      <c r="N45" s="2"/>
      <c r="O45" s="2"/>
      <c r="P45" s="2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 customHeight="1">
      <c r="A46" s="256"/>
      <c r="B46" s="256"/>
      <c r="C46" s="256"/>
      <c r="D46" s="256"/>
      <c r="E46" s="256"/>
      <c r="F46" s="256"/>
      <c r="G46" s="256"/>
      <c r="H46" s="2"/>
      <c r="I46" s="2"/>
      <c r="J46" s="2"/>
      <c r="K46" s="2"/>
      <c r="L46" s="2"/>
      <c r="M46" s="2"/>
      <c r="N46" s="2"/>
      <c r="O46" s="2"/>
      <c r="P46" s="2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>
      <c r="A47" s="496"/>
      <c r="B47" s="496"/>
      <c r="C47" s="496"/>
      <c r="D47" s="496"/>
      <c r="E47" s="496"/>
      <c r="F47" s="496"/>
      <c r="G47" s="496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>
      <c r="A48" s="547" t="s">
        <v>8</v>
      </c>
      <c r="B48" s="548"/>
      <c r="C48" s="548"/>
      <c r="D48" s="548"/>
      <c r="E48" s="548"/>
      <c r="F48" s="548"/>
      <c r="G48" s="548"/>
      <c r="H48" s="548"/>
      <c r="I48" s="548"/>
      <c r="J48" s="548"/>
      <c r="K48" s="548"/>
      <c r="L48" s="548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>
      <c r="A49" s="548" t="s">
        <v>631</v>
      </c>
      <c r="B49" s="549">
        <v>0</v>
      </c>
      <c r="C49" s="549">
        <v>0.1</v>
      </c>
      <c r="D49" s="549">
        <v>0.2</v>
      </c>
      <c r="E49" s="549">
        <v>0.3</v>
      </c>
      <c r="F49" s="549">
        <v>0.4</v>
      </c>
      <c r="G49" s="549">
        <v>0.5</v>
      </c>
      <c r="H49" s="549">
        <v>0.6</v>
      </c>
      <c r="I49" s="549">
        <v>0.7</v>
      </c>
      <c r="J49" s="549">
        <v>0.8</v>
      </c>
      <c r="K49" s="549">
        <v>0.9</v>
      </c>
      <c r="L49" s="549">
        <v>1</v>
      </c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>
      <c r="A50" s="548" t="s">
        <v>632</v>
      </c>
      <c r="B50" s="550">
        <f>B37+B39+B41+B42</f>
        <v>5405854.4440463996</v>
      </c>
      <c r="C50" s="550">
        <f>$B$50</f>
        <v>5405854.4440463996</v>
      </c>
      <c r="D50" s="550">
        <f t="shared" ref="D50:L50" si="12">$B$50</f>
        <v>5405854.4440463996</v>
      </c>
      <c r="E50" s="550">
        <f t="shared" si="12"/>
        <v>5405854.4440463996</v>
      </c>
      <c r="F50" s="550">
        <f t="shared" si="12"/>
        <v>5405854.4440463996</v>
      </c>
      <c r="G50" s="550">
        <f t="shared" si="12"/>
        <v>5405854.4440463996</v>
      </c>
      <c r="H50" s="550">
        <f t="shared" si="12"/>
        <v>5405854.4440463996</v>
      </c>
      <c r="I50" s="550">
        <f t="shared" si="12"/>
        <v>5405854.4440463996</v>
      </c>
      <c r="J50" s="550">
        <f t="shared" si="12"/>
        <v>5405854.4440463996</v>
      </c>
      <c r="K50" s="550">
        <f t="shared" si="12"/>
        <v>5405854.4440463996</v>
      </c>
      <c r="L50" s="550">
        <f t="shared" si="12"/>
        <v>5405854.4440463996</v>
      </c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>
      <c r="A51" s="548" t="s">
        <v>633</v>
      </c>
      <c r="B51" s="550">
        <f>($B$36+$B$38+$B$40)*B49</f>
        <v>0</v>
      </c>
      <c r="C51" s="550">
        <f t="shared" ref="C51:L51" si="13">($B$36+$B$38+$B$40)*C49</f>
        <v>576300</v>
      </c>
      <c r="D51" s="550">
        <f t="shared" si="13"/>
        <v>1152600</v>
      </c>
      <c r="E51" s="550">
        <f t="shared" si="13"/>
        <v>1728900</v>
      </c>
      <c r="F51" s="550">
        <f t="shared" si="13"/>
        <v>2305200</v>
      </c>
      <c r="G51" s="550">
        <f t="shared" si="13"/>
        <v>2881500</v>
      </c>
      <c r="H51" s="550">
        <f t="shared" si="13"/>
        <v>3457800</v>
      </c>
      <c r="I51" s="550">
        <f t="shared" si="13"/>
        <v>4034099.9999999995</v>
      </c>
      <c r="J51" s="550">
        <f t="shared" si="13"/>
        <v>4610400</v>
      </c>
      <c r="K51" s="550">
        <f t="shared" si="13"/>
        <v>5186700</v>
      </c>
      <c r="L51" s="550">
        <f t="shared" si="13"/>
        <v>5763000</v>
      </c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>
      <c r="A52" s="548" t="s">
        <v>634</v>
      </c>
      <c r="B52" s="550">
        <f>B50+B51</f>
        <v>5405854.4440463996</v>
      </c>
      <c r="C52" s="550">
        <f t="shared" ref="C52:L52" si="14">C50+C51</f>
        <v>5982154.4440463996</v>
      </c>
      <c r="D52" s="550">
        <f t="shared" si="14"/>
        <v>6558454.4440463996</v>
      </c>
      <c r="E52" s="550">
        <f t="shared" si="14"/>
        <v>7134754.4440463996</v>
      </c>
      <c r="F52" s="550">
        <f t="shared" si="14"/>
        <v>7711054.4440463996</v>
      </c>
      <c r="G52" s="550">
        <f t="shared" si="14"/>
        <v>8287354.4440463996</v>
      </c>
      <c r="H52" s="550">
        <f t="shared" si="14"/>
        <v>8863654.4440464005</v>
      </c>
      <c r="I52" s="550">
        <f t="shared" si="14"/>
        <v>9439954.4440463986</v>
      </c>
      <c r="J52" s="550">
        <f t="shared" si="14"/>
        <v>10016254.4440464</v>
      </c>
      <c r="K52" s="550">
        <f t="shared" si="14"/>
        <v>10592554.4440464</v>
      </c>
      <c r="L52" s="550">
        <f t="shared" si="14"/>
        <v>11168854.4440464</v>
      </c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>
      <c r="A53" s="548" t="s">
        <v>635</v>
      </c>
      <c r="B53" s="550">
        <f>'E-Costos'!B94*B49</f>
        <v>0</v>
      </c>
      <c r="C53" s="550">
        <f>'E-Costos'!B94*C49</f>
        <v>3370360</v>
      </c>
      <c r="D53" s="550">
        <f>'E-Costos'!B94*D49</f>
        <v>6740720</v>
      </c>
      <c r="E53" s="550">
        <f>'E-Costos'!B94*E49</f>
        <v>10111080</v>
      </c>
      <c r="F53" s="550">
        <f>'E-Costos'!B94*F49</f>
        <v>13481440</v>
      </c>
      <c r="G53" s="550">
        <f>'E-Costos'!B94*G49</f>
        <v>16851800</v>
      </c>
      <c r="H53" s="550">
        <f>'E-Costos'!B94*H49</f>
        <v>20222160</v>
      </c>
      <c r="I53" s="550">
        <f>'E-Costos'!B94*I49</f>
        <v>23592520</v>
      </c>
      <c r="J53" s="550">
        <f>'E-Costos'!B94*J49</f>
        <v>26962880</v>
      </c>
      <c r="K53" s="550">
        <f>'E-Costos'!B94*K49</f>
        <v>30333240</v>
      </c>
      <c r="L53" s="550">
        <f>'E-Costos'!B94*L49</f>
        <v>33703600</v>
      </c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>
      <c r="A60" s="4"/>
      <c r="B60" s="4"/>
      <c r="C60" s="4"/>
      <c r="D60" s="4"/>
      <c r="E60" s="4"/>
      <c r="F60" s="4"/>
      <c r="G60" s="4"/>
      <c r="H60" s="4"/>
      <c r="I60" s="4"/>
      <c r="J60" s="231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>
      <c r="A78" s="548" t="s">
        <v>168</v>
      </c>
      <c r="B78" s="548"/>
      <c r="C78" s="548"/>
      <c r="D78" s="548"/>
      <c r="E78" s="548"/>
      <c r="F78" s="548"/>
      <c r="G78" s="548"/>
      <c r="H78" s="548"/>
      <c r="I78" s="548"/>
      <c r="J78" s="548"/>
      <c r="K78" s="548"/>
      <c r="L78" s="548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>
      <c r="A79" s="548" t="s">
        <v>631</v>
      </c>
      <c r="B79" s="549">
        <v>0</v>
      </c>
      <c r="C79" s="549">
        <v>0.1</v>
      </c>
      <c r="D79" s="549">
        <v>0.2</v>
      </c>
      <c r="E79" s="549">
        <v>0.3</v>
      </c>
      <c r="F79" s="549">
        <v>0.4</v>
      </c>
      <c r="G79" s="549">
        <v>0.5</v>
      </c>
      <c r="H79" s="549">
        <v>0.6</v>
      </c>
      <c r="I79" s="549">
        <v>0.7</v>
      </c>
      <c r="J79" s="549">
        <v>0.8</v>
      </c>
      <c r="K79" s="549">
        <v>0.9</v>
      </c>
      <c r="L79" s="549">
        <v>1</v>
      </c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>
      <c r="A80" s="548" t="s">
        <v>632</v>
      </c>
      <c r="B80" s="550">
        <f>F37+F41+F39+F37</f>
        <v>7008846.0455155224</v>
      </c>
      <c r="C80" s="550">
        <f>B80</f>
        <v>7008846.0455155224</v>
      </c>
      <c r="D80" s="550">
        <f t="shared" ref="D80:L80" si="15">C80</f>
        <v>7008846.0455155224</v>
      </c>
      <c r="E80" s="550">
        <f t="shared" si="15"/>
        <v>7008846.0455155224</v>
      </c>
      <c r="F80" s="550">
        <f t="shared" si="15"/>
        <v>7008846.0455155224</v>
      </c>
      <c r="G80" s="550">
        <f t="shared" si="15"/>
        <v>7008846.0455155224</v>
      </c>
      <c r="H80" s="550">
        <f t="shared" si="15"/>
        <v>7008846.0455155224</v>
      </c>
      <c r="I80" s="550">
        <f t="shared" si="15"/>
        <v>7008846.0455155224</v>
      </c>
      <c r="J80" s="550">
        <f t="shared" si="15"/>
        <v>7008846.0455155224</v>
      </c>
      <c r="K80" s="550">
        <f t="shared" si="15"/>
        <v>7008846.0455155224</v>
      </c>
      <c r="L80" s="550">
        <f t="shared" si="15"/>
        <v>7008846.0455155224</v>
      </c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>
      <c r="A81" s="548" t="s">
        <v>633</v>
      </c>
      <c r="B81" s="550">
        <f>($F$36+$F$38+$F$40)*B79</f>
        <v>0</v>
      </c>
      <c r="C81" s="550">
        <f t="shared" ref="C81:L81" si="16">($F$36+$F$38+$F$40)*C79</f>
        <v>620187.75</v>
      </c>
      <c r="D81" s="550">
        <f t="shared" si="16"/>
        <v>1240375.5</v>
      </c>
      <c r="E81" s="550">
        <f t="shared" si="16"/>
        <v>1860563.25</v>
      </c>
      <c r="F81" s="550">
        <f t="shared" si="16"/>
        <v>2480751</v>
      </c>
      <c r="G81" s="550">
        <f t="shared" si="16"/>
        <v>3100938.75</v>
      </c>
      <c r="H81" s="550">
        <f t="shared" si="16"/>
        <v>3721126.5</v>
      </c>
      <c r="I81" s="550">
        <f t="shared" si="16"/>
        <v>4341314.25</v>
      </c>
      <c r="J81" s="550">
        <f t="shared" si="16"/>
        <v>4961502</v>
      </c>
      <c r="K81" s="550">
        <f t="shared" si="16"/>
        <v>5581689.75</v>
      </c>
      <c r="L81" s="550">
        <f t="shared" si="16"/>
        <v>6201877.5</v>
      </c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>
      <c r="A82" s="548" t="s">
        <v>634</v>
      </c>
      <c r="B82" s="550">
        <f>B80+B81</f>
        <v>7008846.0455155224</v>
      </c>
      <c r="C82" s="550">
        <f t="shared" ref="C82:L82" si="17">C80+C81</f>
        <v>7629033.7955155224</v>
      </c>
      <c r="D82" s="550">
        <f t="shared" si="17"/>
        <v>8249221.5455155224</v>
      </c>
      <c r="E82" s="550">
        <f t="shared" si="17"/>
        <v>8869409.2955155224</v>
      </c>
      <c r="F82" s="550">
        <f t="shared" si="17"/>
        <v>9489597.0455155224</v>
      </c>
      <c r="G82" s="550">
        <f t="shared" si="17"/>
        <v>10109784.795515522</v>
      </c>
      <c r="H82" s="550">
        <f t="shared" si="17"/>
        <v>10729972.545515522</v>
      </c>
      <c r="I82" s="550">
        <f t="shared" si="17"/>
        <v>11350160.295515522</v>
      </c>
      <c r="J82" s="550">
        <f t="shared" si="17"/>
        <v>11970348.045515522</v>
      </c>
      <c r="K82" s="550">
        <f t="shared" si="17"/>
        <v>12590535.795515522</v>
      </c>
      <c r="L82" s="550">
        <f t="shared" si="17"/>
        <v>13210723.545515522</v>
      </c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>
      <c r="A83" s="548" t="s">
        <v>635</v>
      </c>
      <c r="B83" s="550">
        <f>'E-Costos'!F94*B79</f>
        <v>0</v>
      </c>
      <c r="C83" s="550">
        <f>'E-Costos'!F94*C79</f>
        <v>3802488.3000000003</v>
      </c>
      <c r="D83" s="550">
        <f>'E-Costos'!F94*D79</f>
        <v>7604976.6000000006</v>
      </c>
      <c r="E83" s="550">
        <f>'E-Costos'!F94*E79</f>
        <v>11407464.9</v>
      </c>
      <c r="F83" s="550">
        <f>'E-Costos'!F94*F79</f>
        <v>15209953.200000001</v>
      </c>
      <c r="G83" s="550">
        <f>'E-Costos'!F94*G79</f>
        <v>19012441.5</v>
      </c>
      <c r="H83" s="550">
        <f>'E-Costos'!F94*H79</f>
        <v>22814929.800000001</v>
      </c>
      <c r="I83" s="550">
        <f>'E-Costos'!F94*I79</f>
        <v>26617418.099999998</v>
      </c>
      <c r="J83" s="550">
        <f>'E-Costos'!F94*J79</f>
        <v>30419906.400000002</v>
      </c>
      <c r="K83" s="550">
        <f>'E-Costos'!F94*K79</f>
        <v>34222394.700000003</v>
      </c>
      <c r="L83" s="550">
        <f>'E-Costos'!F94*L79</f>
        <v>38024883</v>
      </c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>
      <selection activeCell="J26" sqref="J26"/>
    </sheetView>
  </sheetViews>
  <sheetFormatPr baseColWidth="10" defaultColWidth="14.42578125" defaultRowHeight="15" customHeight="1"/>
  <cols>
    <col min="1" max="1" width="43" customWidth="1"/>
    <col min="2" max="2" width="14" customWidth="1"/>
    <col min="3" max="3" width="14.42578125" bestFit="1" customWidth="1"/>
    <col min="4" max="6" width="15.42578125" bestFit="1" customWidth="1"/>
    <col min="7" max="7" width="13.85546875" bestFit="1" customWidth="1"/>
    <col min="8" max="8" width="17.42578125" customWidth="1"/>
    <col min="9" max="17" width="11.42578125" customWidth="1"/>
  </cols>
  <sheetData>
    <row r="1" spans="1:26" ht="12.75" customHeight="1">
      <c r="A1" s="1" t="s">
        <v>0</v>
      </c>
      <c r="B1" s="2"/>
      <c r="C1" s="2"/>
      <c r="D1" s="2"/>
      <c r="E1" s="3">
        <f>InfoInicial!E1</f>
        <v>7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"/>
      <c r="S1" s="4"/>
      <c r="T1" s="4"/>
      <c r="U1" s="4"/>
      <c r="V1" s="4"/>
      <c r="W1" s="4"/>
      <c r="X1" s="4"/>
      <c r="Y1" s="4"/>
      <c r="Z1" s="4"/>
    </row>
    <row r="2" spans="1:26" ht="15.75" customHeight="1">
      <c r="A2" s="424" t="s">
        <v>217</v>
      </c>
      <c r="B2" s="425"/>
      <c r="C2" s="425"/>
      <c r="D2" s="425"/>
      <c r="E2" s="425"/>
      <c r="F2" s="425"/>
      <c r="G2" s="426"/>
      <c r="H2" s="2"/>
      <c r="I2" s="2"/>
      <c r="J2" s="2"/>
      <c r="K2" s="2"/>
      <c r="L2" s="2"/>
      <c r="M2" s="2"/>
      <c r="N2" s="2"/>
      <c r="O2" s="2"/>
      <c r="P2" s="2"/>
      <c r="Q2" s="2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>
      <c r="A3" s="427"/>
      <c r="B3" s="428" t="s">
        <v>218</v>
      </c>
      <c r="C3" s="428"/>
      <c r="D3" s="428"/>
      <c r="E3" s="428"/>
      <c r="F3" s="428"/>
      <c r="G3" s="429"/>
      <c r="H3" s="2"/>
      <c r="I3" s="2"/>
      <c r="J3" s="2"/>
      <c r="K3" s="2"/>
      <c r="L3" s="2"/>
      <c r="M3" s="2"/>
      <c r="N3" s="2"/>
      <c r="O3" s="2"/>
      <c r="P3" s="2"/>
      <c r="Q3" s="2"/>
      <c r="R3" s="4"/>
      <c r="S3" s="4"/>
      <c r="T3" s="4"/>
      <c r="U3" s="4"/>
      <c r="V3" s="4"/>
      <c r="W3" s="4"/>
      <c r="X3" s="4"/>
      <c r="Y3" s="4"/>
      <c r="Z3" s="4"/>
    </row>
    <row r="4" spans="1:26" ht="12.75" customHeight="1">
      <c r="A4" s="430" t="s">
        <v>164</v>
      </c>
      <c r="B4" s="431" t="s">
        <v>124</v>
      </c>
      <c r="C4" s="432" t="s">
        <v>8</v>
      </c>
      <c r="D4" s="432" t="s">
        <v>165</v>
      </c>
      <c r="E4" s="432" t="s">
        <v>166</v>
      </c>
      <c r="F4" s="432" t="s">
        <v>167</v>
      </c>
      <c r="G4" s="433" t="s">
        <v>168</v>
      </c>
      <c r="H4" s="2"/>
      <c r="I4" s="2"/>
      <c r="J4" s="2"/>
      <c r="K4" s="2"/>
      <c r="L4" s="2"/>
      <c r="M4" s="2"/>
      <c r="N4" s="2"/>
      <c r="O4" s="2"/>
      <c r="P4" s="2"/>
      <c r="Q4" s="2"/>
      <c r="R4" s="4"/>
      <c r="S4" s="4"/>
      <c r="T4" s="4"/>
      <c r="U4" s="4"/>
      <c r="V4" s="4"/>
      <c r="W4" s="4"/>
      <c r="X4" s="4"/>
      <c r="Y4" s="4"/>
      <c r="Z4" s="4"/>
    </row>
    <row r="5" spans="1:26" ht="12.75" customHeight="1">
      <c r="A5" s="529" t="s">
        <v>390</v>
      </c>
      <c r="B5" s="472"/>
      <c r="C5" s="387"/>
      <c r="D5" s="387"/>
      <c r="E5" s="387"/>
      <c r="F5" s="387"/>
      <c r="G5" s="475"/>
      <c r="H5" s="256"/>
      <c r="I5" s="2"/>
      <c r="J5" s="2"/>
      <c r="K5" s="2"/>
      <c r="L5" s="2"/>
      <c r="M5" s="2"/>
      <c r="N5" s="2"/>
      <c r="O5" s="2"/>
      <c r="P5" s="2"/>
      <c r="Q5" s="2"/>
      <c r="R5" s="4"/>
      <c r="S5" s="4"/>
      <c r="T5" s="4"/>
      <c r="U5" s="4"/>
      <c r="V5" s="4"/>
      <c r="W5" s="4"/>
      <c r="X5" s="4"/>
      <c r="Y5" s="4"/>
      <c r="Z5" s="4"/>
    </row>
    <row r="6" spans="1:26" ht="12.75" customHeight="1">
      <c r="A6" s="530" t="s">
        <v>391</v>
      </c>
      <c r="B6" s="476"/>
      <c r="C6" s="262">
        <f>'E-IVA '!C17</f>
        <v>223699.08361200802</v>
      </c>
      <c r="D6" s="262">
        <f>'E-IVA '!D17</f>
        <v>1145569.423092162</v>
      </c>
      <c r="E6" s="262">
        <f>'E-IVA '!E17</f>
        <v>1145600.7589456621</v>
      </c>
      <c r="F6" s="262">
        <f>'E-IVA '!F17</f>
        <v>1145600.7589456621</v>
      </c>
      <c r="G6" s="262">
        <f>'E-IVA '!G17</f>
        <v>1145600.7589456621</v>
      </c>
      <c r="H6" s="256"/>
      <c r="I6" s="2"/>
      <c r="J6" s="2"/>
      <c r="K6" s="2"/>
      <c r="L6" s="2"/>
      <c r="M6" s="2"/>
      <c r="N6" s="2"/>
      <c r="O6" s="2"/>
      <c r="P6" s="2"/>
      <c r="Q6" s="2"/>
      <c r="R6" s="4"/>
      <c r="S6" s="4"/>
      <c r="T6" s="4"/>
      <c r="U6" s="4"/>
      <c r="V6" s="4"/>
      <c r="W6" s="4"/>
      <c r="X6" s="4"/>
      <c r="Y6" s="4"/>
      <c r="Z6" s="4"/>
    </row>
    <row r="7" spans="1:26" ht="12.75" customHeight="1">
      <c r="A7" s="530" t="s">
        <v>392</v>
      </c>
      <c r="B7" s="476"/>
      <c r="C7" s="262">
        <f>'E-IVA '!C18</f>
        <v>91911.321261849298</v>
      </c>
      <c r="D7" s="262">
        <f>'E-IVA '!D18</f>
        <v>91911.321261849298</v>
      </c>
      <c r="E7" s="262">
        <f>'E-IVA '!E18</f>
        <v>91911.321261849298</v>
      </c>
      <c r="F7" s="262">
        <f>'E-IVA '!F18</f>
        <v>91911.321261849298</v>
      </c>
      <c r="G7" s="262">
        <f>'E-IVA '!G18</f>
        <v>91911.321261849298</v>
      </c>
      <c r="H7" s="256"/>
      <c r="I7" s="2"/>
      <c r="J7" s="2"/>
      <c r="K7" s="2"/>
      <c r="L7" s="2"/>
      <c r="M7" s="2"/>
      <c r="N7" s="2"/>
      <c r="O7" s="2"/>
      <c r="P7" s="2"/>
      <c r="Q7" s="2"/>
      <c r="R7" s="4"/>
      <c r="S7" s="4"/>
      <c r="T7" s="4"/>
      <c r="U7" s="4"/>
      <c r="V7" s="4"/>
      <c r="W7" s="4"/>
      <c r="X7" s="4"/>
      <c r="Y7" s="4"/>
      <c r="Z7" s="4"/>
    </row>
    <row r="8" spans="1:26" ht="12.75" customHeight="1">
      <c r="A8" s="531" t="s">
        <v>393</v>
      </c>
      <c r="B8" s="476"/>
      <c r="C8" s="262">
        <f>'E-IVA '!C19</f>
        <v>86997.321261849283</v>
      </c>
      <c r="D8" s="262">
        <f>'E-IVA '!D19</f>
        <v>86997.321261849283</v>
      </c>
      <c r="E8" s="262">
        <f>'E-IVA '!E19</f>
        <v>86997.321261849283</v>
      </c>
      <c r="F8" s="262">
        <f>'E-IVA '!F19</f>
        <v>86997.321261849283</v>
      </c>
      <c r="G8" s="262">
        <f>'E-IVA '!G19</f>
        <v>86997.321261849283</v>
      </c>
      <c r="H8" s="256"/>
      <c r="I8" s="2"/>
      <c r="J8" s="2"/>
      <c r="K8" s="2"/>
      <c r="L8" s="2"/>
      <c r="M8" s="2"/>
      <c r="N8" s="2"/>
      <c r="O8" s="2"/>
      <c r="P8" s="2"/>
      <c r="Q8" s="2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>
      <c r="A9" s="531" t="s">
        <v>394</v>
      </c>
      <c r="B9" s="476"/>
      <c r="C9" s="262">
        <f>'F-Cred'!B44</f>
        <v>74546.086847026381</v>
      </c>
      <c r="D9" s="262">
        <f>'F-Cred'!C44</f>
        <v>77782.279995997189</v>
      </c>
      <c r="E9" s="262">
        <f>'F-Cred'!D44</f>
        <v>60763.854858726008</v>
      </c>
      <c r="F9" s="262">
        <f>'F-Cred'!E44</f>
        <v>38072.621342364422</v>
      </c>
      <c r="G9" s="262">
        <f>'F-Cred'!F44</f>
        <v>15381.387826002843</v>
      </c>
      <c r="H9" s="251"/>
      <c r="I9" s="2"/>
      <c r="J9" s="2"/>
      <c r="K9" s="2"/>
      <c r="L9" s="2"/>
      <c r="M9" s="2"/>
      <c r="N9" s="2"/>
      <c r="O9" s="2"/>
      <c r="P9" s="2"/>
      <c r="Q9" s="2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>
      <c r="A10" s="532" t="s">
        <v>395</v>
      </c>
      <c r="B10" s="476"/>
      <c r="C10" s="262">
        <f>SUM(C6:C9)</f>
        <v>477153.81298273301</v>
      </c>
      <c r="D10" s="262">
        <f t="shared" ref="D10:F10" si="0">SUM(D6:D9)</f>
        <v>1402260.3456118577</v>
      </c>
      <c r="E10" s="262">
        <f t="shared" si="0"/>
        <v>1385273.2563280866</v>
      </c>
      <c r="F10" s="262">
        <f t="shared" si="0"/>
        <v>1362582.022811725</v>
      </c>
      <c r="G10" s="262">
        <f>SUM(G6:G9)</f>
        <v>1339890.7892953635</v>
      </c>
      <c r="H10" s="256"/>
      <c r="I10" s="2"/>
      <c r="J10" s="2"/>
      <c r="K10" s="2"/>
      <c r="L10" s="2"/>
      <c r="M10" s="2"/>
      <c r="N10" s="2"/>
      <c r="O10" s="2"/>
      <c r="P10" s="2"/>
      <c r="Q10" s="2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>
      <c r="A11" s="532"/>
      <c r="B11" s="476"/>
      <c r="C11" s="262"/>
      <c r="D11" s="262"/>
      <c r="E11" s="262"/>
      <c r="F11" s="262"/>
      <c r="G11" s="383"/>
      <c r="H11" s="256"/>
      <c r="I11" s="2"/>
      <c r="J11" s="2"/>
      <c r="K11" s="2"/>
      <c r="L11" s="2"/>
      <c r="M11" s="2"/>
      <c r="N11" s="2"/>
      <c r="O11" s="2"/>
      <c r="P11" s="2"/>
      <c r="Q11" s="2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>
      <c r="A12" s="530" t="s">
        <v>233</v>
      </c>
      <c r="B12" s="476"/>
      <c r="C12" s="262">
        <f>C10</f>
        <v>477153.81298273301</v>
      </c>
      <c r="D12" s="262">
        <f t="shared" ref="D12:G12" si="1">D10</f>
        <v>1402260.3456118577</v>
      </c>
      <c r="E12" s="262">
        <f t="shared" si="1"/>
        <v>1385273.2563280866</v>
      </c>
      <c r="F12" s="262">
        <f t="shared" si="1"/>
        <v>1362582.022811725</v>
      </c>
      <c r="G12" s="262">
        <f t="shared" si="1"/>
        <v>1339890.7892953635</v>
      </c>
      <c r="H12" s="256"/>
      <c r="I12" s="2"/>
      <c r="J12" s="2"/>
      <c r="K12" s="2"/>
      <c r="L12" s="2"/>
      <c r="M12" s="2"/>
      <c r="N12" s="2"/>
      <c r="O12" s="2"/>
      <c r="P12" s="2"/>
      <c r="Q12" s="2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>
      <c r="A13" s="530" t="s">
        <v>234</v>
      </c>
      <c r="B13" s="476"/>
      <c r="C13" s="262">
        <f>'E-IVA '!C22</f>
        <v>7077756</v>
      </c>
      <c r="D13" s="262">
        <f>'E-IVA '!D22</f>
        <v>7985225.4299999997</v>
      </c>
      <c r="E13" s="262">
        <f>'E-IVA '!E22</f>
        <v>7985225.4299999997</v>
      </c>
      <c r="F13" s="262">
        <f>'E-IVA '!F22</f>
        <v>7985225.4299999997</v>
      </c>
      <c r="G13" s="262">
        <f>'E-IVA '!G22</f>
        <v>7985225.4299999997</v>
      </c>
      <c r="H13" s="256"/>
      <c r="I13" s="2"/>
      <c r="J13" s="2"/>
      <c r="K13" s="2"/>
      <c r="L13" s="2"/>
      <c r="M13" s="2"/>
      <c r="N13" s="2"/>
      <c r="O13" s="2"/>
      <c r="P13" s="2"/>
      <c r="Q13" s="2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>
      <c r="A14" s="532" t="s">
        <v>396</v>
      </c>
      <c r="B14" s="476"/>
      <c r="C14" s="262">
        <f>C13-C12</f>
        <v>6600602.1870172666</v>
      </c>
      <c r="D14" s="262">
        <f t="shared" ref="D14:G14" si="2">D13-D12</f>
        <v>6582965.0843881425</v>
      </c>
      <c r="E14" s="262">
        <f t="shared" si="2"/>
        <v>6599952.1736719133</v>
      </c>
      <c r="F14" s="262">
        <f t="shared" si="2"/>
        <v>6622643.4071882749</v>
      </c>
      <c r="G14" s="262">
        <f t="shared" si="2"/>
        <v>6645334.6407046365</v>
      </c>
      <c r="H14" s="256"/>
      <c r="I14" s="2"/>
      <c r="J14" s="2"/>
      <c r="K14" s="2"/>
      <c r="L14" s="2"/>
      <c r="M14" s="2"/>
      <c r="N14" s="2"/>
      <c r="O14" s="2"/>
      <c r="P14" s="2"/>
      <c r="Q14" s="2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>
      <c r="A15" s="530"/>
      <c r="B15" s="476"/>
      <c r="C15" s="262"/>
      <c r="D15" s="262"/>
      <c r="E15" s="262"/>
      <c r="F15" s="262"/>
      <c r="G15" s="383"/>
      <c r="H15" s="256"/>
      <c r="I15" s="2"/>
      <c r="J15" s="2"/>
      <c r="K15" s="2"/>
      <c r="L15" s="2"/>
      <c r="M15" s="2"/>
      <c r="N15" s="2"/>
      <c r="O15" s="2"/>
      <c r="P15" s="2"/>
      <c r="Q15" s="2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>
      <c r="A16" s="533" t="s">
        <v>397</v>
      </c>
      <c r="B16" s="476">
        <v>0</v>
      </c>
      <c r="C16" s="262">
        <f>B18-B16</f>
        <v>537638.70858166169</v>
      </c>
      <c r="D16" s="262">
        <f>C18</f>
        <v>0</v>
      </c>
      <c r="E16" s="262">
        <f t="shared" ref="E16:G16" si="3">D18</f>
        <v>0</v>
      </c>
      <c r="F16" s="262">
        <f t="shared" si="3"/>
        <v>0</v>
      </c>
      <c r="G16" s="262">
        <f t="shared" si="3"/>
        <v>0</v>
      </c>
      <c r="H16" s="256"/>
      <c r="I16" s="2"/>
      <c r="J16" s="2"/>
      <c r="K16" s="2"/>
      <c r="L16" s="2"/>
      <c r="M16" s="2"/>
      <c r="N16" s="2"/>
      <c r="O16" s="2"/>
      <c r="P16" s="2"/>
      <c r="Q16" s="2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>
      <c r="A17" s="533" t="s">
        <v>398</v>
      </c>
      <c r="B17" s="476">
        <f>'F-2 Estructura'!B9+'F-2 Estructura'!B21</f>
        <v>537638.70858166169</v>
      </c>
      <c r="C17" s="476">
        <f>'F-2 Estructura'!C9+'F-2 Estructura'!C21</f>
        <v>845950.46980686986</v>
      </c>
      <c r="D17" s="262">
        <f>'E-IVA '!D26</f>
        <v>5561.1923535000014</v>
      </c>
      <c r="E17" s="262">
        <f>'E-IVA '!E26</f>
        <v>0</v>
      </c>
      <c r="F17" s="262">
        <f>'E-IVA '!F26</f>
        <v>0</v>
      </c>
      <c r="G17" s="262">
        <f>'E-IVA '!G26</f>
        <v>0</v>
      </c>
      <c r="H17" s="256"/>
      <c r="I17" s="2"/>
      <c r="J17" s="2"/>
      <c r="K17" s="2"/>
      <c r="L17" s="2"/>
      <c r="M17" s="2"/>
      <c r="N17" s="2"/>
      <c r="O17" s="2"/>
      <c r="P17" s="2"/>
      <c r="Q17" s="2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>
      <c r="A18" s="532" t="s">
        <v>399</v>
      </c>
      <c r="B18" s="476">
        <f>B17-B16</f>
        <v>537638.70858166169</v>
      </c>
      <c r="C18" s="392">
        <f t="shared" ref="C18:G18" si="4">IF((C16+C17-C14)&lt;0,0,(C16+C17-C14))</f>
        <v>0</v>
      </c>
      <c r="D18" s="392">
        <f t="shared" si="4"/>
        <v>0</v>
      </c>
      <c r="E18" s="392">
        <f t="shared" si="4"/>
        <v>0</v>
      </c>
      <c r="F18" s="392">
        <f t="shared" si="4"/>
        <v>0</v>
      </c>
      <c r="G18" s="392">
        <f t="shared" si="4"/>
        <v>0</v>
      </c>
      <c r="H18" s="256"/>
      <c r="I18" s="2"/>
      <c r="J18" s="2"/>
      <c r="K18" s="2"/>
      <c r="L18" s="2"/>
      <c r="M18" s="2"/>
      <c r="N18" s="2"/>
      <c r="O18" s="2"/>
      <c r="P18" s="2"/>
      <c r="Q18" s="2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>
      <c r="A19" s="532" t="s">
        <v>400</v>
      </c>
      <c r="B19" s="476"/>
      <c r="C19" s="392">
        <f>IF(C18&gt;0,C14,C16+C17)</f>
        <v>1383589.1783885316</v>
      </c>
      <c r="D19" s="392">
        <f t="shared" ref="D19:G19" si="5">IF(D18&gt;0,D14,D16+D17)</f>
        <v>5561.1923535000014</v>
      </c>
      <c r="E19" s="392">
        <f t="shared" si="5"/>
        <v>0</v>
      </c>
      <c r="F19" s="392">
        <f t="shared" si="5"/>
        <v>0</v>
      </c>
      <c r="G19" s="392">
        <f t="shared" si="5"/>
        <v>0</v>
      </c>
      <c r="H19" s="256"/>
      <c r="I19" s="2"/>
      <c r="J19" s="2"/>
      <c r="K19" s="2"/>
      <c r="L19" s="2"/>
      <c r="M19" s="2"/>
      <c r="N19" s="2"/>
      <c r="O19" s="2"/>
      <c r="P19" s="2"/>
      <c r="Q19" s="2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>
      <c r="A20" s="530"/>
      <c r="B20" s="476"/>
      <c r="C20" s="262"/>
      <c r="D20" s="262"/>
      <c r="E20" s="262"/>
      <c r="F20" s="262"/>
      <c r="G20" s="383"/>
      <c r="H20" s="256"/>
      <c r="I20" s="2"/>
      <c r="J20" s="2"/>
      <c r="K20" s="2"/>
      <c r="L20" s="2"/>
      <c r="M20" s="2"/>
      <c r="N20" s="2"/>
      <c r="O20" s="2"/>
      <c r="P20" s="2"/>
      <c r="Q20" s="2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>
      <c r="A21" s="534" t="s">
        <v>240</v>
      </c>
      <c r="B21" s="489">
        <f t="shared" ref="B21:F21" si="6">B14-B19</f>
        <v>0</v>
      </c>
      <c r="C21" s="489">
        <f t="shared" si="6"/>
        <v>5217013.0086287353</v>
      </c>
      <c r="D21" s="489">
        <f t="shared" si="6"/>
        <v>6577403.8920346424</v>
      </c>
      <c r="E21" s="489">
        <f t="shared" si="6"/>
        <v>6599952.1736719133</v>
      </c>
      <c r="F21" s="489">
        <f t="shared" si="6"/>
        <v>6622643.4071882749</v>
      </c>
      <c r="G21" s="489">
        <f>G14-G19</f>
        <v>6645334.6407046365</v>
      </c>
      <c r="H21" s="256"/>
      <c r="I21" s="2"/>
      <c r="J21" s="2"/>
      <c r="K21" s="2"/>
      <c r="L21" s="2"/>
      <c r="M21" s="2"/>
      <c r="N21" s="2"/>
      <c r="O21" s="2"/>
      <c r="P21" s="2"/>
      <c r="Q21" s="2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>
      <c r="A22" s="256"/>
      <c r="B22" s="256"/>
      <c r="C22" s="256"/>
      <c r="D22" s="256"/>
      <c r="E22" s="256"/>
      <c r="F22" s="256"/>
      <c r="G22" s="256"/>
      <c r="H22" s="256"/>
      <c r="I22" s="2"/>
      <c r="J22" s="2"/>
      <c r="K22" s="2"/>
      <c r="L22" s="2"/>
      <c r="M22" s="2"/>
      <c r="N22" s="2"/>
      <c r="O22" s="2"/>
      <c r="P22" s="2"/>
      <c r="Q22" s="2"/>
      <c r="R22" s="4"/>
      <c r="S22" s="4"/>
      <c r="T22" s="4"/>
      <c r="U22" s="4"/>
      <c r="V22" s="4"/>
      <c r="W22" s="4"/>
      <c r="X22" s="4"/>
      <c r="Y22" s="4"/>
      <c r="Z22" s="4"/>
    </row>
    <row r="23" spans="1:26" ht="12.75">
      <c r="A23" s="496"/>
      <c r="B23" s="496"/>
      <c r="C23" s="496"/>
      <c r="D23" s="496"/>
      <c r="E23" s="496"/>
      <c r="F23" s="496"/>
      <c r="G23" s="496"/>
      <c r="H23" s="496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 spans="1:26" ht="12.75">
      <c r="A24" s="496"/>
      <c r="B24" s="496"/>
      <c r="C24" s="496"/>
      <c r="D24" s="496"/>
      <c r="E24" s="496"/>
      <c r="F24" s="496"/>
      <c r="G24" s="496"/>
      <c r="H24" s="496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 spans="1:26" ht="12.75">
      <c r="A25" s="496"/>
      <c r="B25" s="496"/>
      <c r="C25" s="496"/>
      <c r="D25" s="496"/>
      <c r="E25" s="496"/>
      <c r="F25" s="496"/>
      <c r="G25" s="496"/>
      <c r="H25" s="496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 spans="1:26" ht="12.75">
      <c r="A26" s="496"/>
      <c r="B26" s="496"/>
      <c r="C26" s="496"/>
      <c r="D26" s="496"/>
      <c r="E26" s="496"/>
      <c r="F26" s="496"/>
      <c r="G26" s="496"/>
      <c r="H26" s="496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 spans="1:26" ht="12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topLeftCell="A4" workbookViewId="0">
      <selection activeCell="H16" sqref="H16"/>
    </sheetView>
  </sheetViews>
  <sheetFormatPr baseColWidth="10" defaultColWidth="14.42578125" defaultRowHeight="15" customHeight="1"/>
  <cols>
    <col min="1" max="1" width="39.42578125" customWidth="1"/>
    <col min="2" max="7" width="15.42578125" bestFit="1" customWidth="1"/>
    <col min="8" max="8" width="15.7109375" bestFit="1" customWidth="1"/>
    <col min="9" max="9" width="17.42578125" customWidth="1"/>
    <col min="10" max="18" width="11.42578125" customWidth="1"/>
  </cols>
  <sheetData>
    <row r="1" spans="1:26" ht="12.75" customHeight="1">
      <c r="A1" s="1" t="s">
        <v>0</v>
      </c>
      <c r="B1" s="2"/>
      <c r="C1" s="2"/>
      <c r="D1" s="2"/>
      <c r="E1" s="3">
        <f>InfoInicial!E1</f>
        <v>7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4"/>
      <c r="T1" s="4"/>
      <c r="U1" s="4"/>
      <c r="V1" s="4"/>
      <c r="W1" s="4"/>
      <c r="X1" s="4"/>
      <c r="Y1" s="4"/>
      <c r="Z1" s="4"/>
    </row>
    <row r="2" spans="1:26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4"/>
      <c r="T2" s="4"/>
      <c r="U2" s="4"/>
      <c r="V2" s="4"/>
      <c r="W2" s="4"/>
      <c r="X2" s="4"/>
      <c r="Y2" s="4"/>
      <c r="Z2" s="4"/>
    </row>
    <row r="3" spans="1:26" ht="15.75" customHeight="1">
      <c r="A3" s="460" t="s">
        <v>401</v>
      </c>
      <c r="B3" s="461"/>
      <c r="C3" s="461"/>
      <c r="D3" s="461"/>
      <c r="E3" s="461"/>
      <c r="F3" s="461"/>
      <c r="G3" s="466"/>
      <c r="H3" s="462"/>
      <c r="I3" s="2"/>
      <c r="J3" s="2"/>
      <c r="K3" s="2"/>
      <c r="L3" s="2"/>
      <c r="M3" s="2"/>
      <c r="N3" s="2"/>
      <c r="O3" s="2"/>
      <c r="P3" s="2"/>
      <c r="Q3" s="2"/>
      <c r="R3" s="2"/>
      <c r="S3" s="4"/>
      <c r="T3" s="4"/>
      <c r="U3" s="4"/>
      <c r="V3" s="4"/>
      <c r="W3" s="4"/>
      <c r="X3" s="4"/>
      <c r="Y3" s="4"/>
      <c r="Z3" s="4"/>
    </row>
    <row r="4" spans="1:26" ht="12.75" customHeight="1">
      <c r="A4" s="467"/>
      <c r="B4" s="463" t="s">
        <v>124</v>
      </c>
      <c r="C4" s="463" t="s">
        <v>8</v>
      </c>
      <c r="D4" s="463" t="s">
        <v>165</v>
      </c>
      <c r="E4" s="463" t="s">
        <v>166</v>
      </c>
      <c r="F4" s="463" t="s">
        <v>167</v>
      </c>
      <c r="G4" s="468" t="s">
        <v>168</v>
      </c>
      <c r="H4" s="464" t="s">
        <v>174</v>
      </c>
      <c r="I4" s="2"/>
      <c r="J4" s="2"/>
      <c r="K4" s="2"/>
      <c r="L4" s="2"/>
      <c r="M4" s="2"/>
      <c r="N4" s="2"/>
      <c r="O4" s="2"/>
      <c r="P4" s="2"/>
      <c r="Q4" s="2"/>
      <c r="R4" s="2"/>
      <c r="S4" s="4"/>
      <c r="T4" s="4"/>
      <c r="U4" s="4"/>
      <c r="V4" s="4"/>
      <c r="W4" s="4"/>
      <c r="X4" s="4"/>
      <c r="Y4" s="4"/>
      <c r="Z4" s="4"/>
    </row>
    <row r="5" spans="1:26" ht="12.75" customHeight="1">
      <c r="A5" s="513" t="s">
        <v>402</v>
      </c>
      <c r="B5" s="514">
        <f>SUM(B6:B12)</f>
        <v>3569673.4351610029</v>
      </c>
      <c r="C5" s="514">
        <f>SUM(C6:C12)</f>
        <v>42054779.64450749</v>
      </c>
      <c r="D5" s="514">
        <f t="shared" ref="D5:G5" si="0">SUM(D6:D12)</f>
        <v>51673100.2660065</v>
      </c>
      <c r="E5" s="514">
        <f t="shared" si="0"/>
        <v>66301535.602242813</v>
      </c>
      <c r="F5" s="514">
        <f t="shared" si="0"/>
        <v>81258372.8494654</v>
      </c>
      <c r="G5" s="514">
        <f t="shared" si="0"/>
        <v>96276800.587660968</v>
      </c>
      <c r="H5" s="508">
        <f>SUM(H6:H11)</f>
        <v>197729546.27202198</v>
      </c>
      <c r="I5" s="251"/>
      <c r="J5" s="2"/>
      <c r="K5" s="2"/>
      <c r="L5" s="2"/>
      <c r="M5" s="2"/>
      <c r="N5" s="2"/>
      <c r="O5" s="2"/>
      <c r="P5" s="2"/>
      <c r="Q5" s="2"/>
      <c r="R5" s="2"/>
      <c r="S5" s="4"/>
      <c r="T5" s="4"/>
      <c r="U5" s="4"/>
      <c r="V5" s="4"/>
      <c r="W5" s="4"/>
      <c r="X5" s="4"/>
      <c r="Y5" s="4"/>
      <c r="Z5" s="4"/>
    </row>
    <row r="6" spans="1:26" ht="12.75" customHeight="1">
      <c r="A6" s="256" t="s">
        <v>403</v>
      </c>
      <c r="B6" s="515"/>
      <c r="C6" s="515">
        <f>B28</f>
        <v>0</v>
      </c>
      <c r="D6" s="515">
        <f t="shared" ref="D6:G6" si="1">C28</f>
        <v>13642656.073653001</v>
      </c>
      <c r="E6" s="515">
        <f t="shared" si="1"/>
        <v>28276652.602242816</v>
      </c>
      <c r="F6" s="515">
        <f t="shared" si="1"/>
        <v>43233489.849465393</v>
      </c>
      <c r="G6" s="515">
        <f t="shared" si="1"/>
        <v>58251917.587660961</v>
      </c>
      <c r="H6" s="508">
        <v>0</v>
      </c>
      <c r="I6" s="256"/>
      <c r="J6" s="2"/>
      <c r="K6" s="2"/>
      <c r="L6" s="2"/>
      <c r="M6" s="2"/>
      <c r="N6" s="2"/>
      <c r="O6" s="2"/>
      <c r="P6" s="2"/>
      <c r="Q6" s="2"/>
      <c r="R6" s="2"/>
      <c r="S6" s="4"/>
      <c r="T6" s="4"/>
      <c r="U6" s="4"/>
      <c r="V6" s="4"/>
      <c r="W6" s="4"/>
      <c r="X6" s="4"/>
      <c r="Y6" s="4"/>
      <c r="Z6" s="4"/>
    </row>
    <row r="7" spans="1:26" ht="12.75" customHeight="1">
      <c r="A7" s="256" t="s">
        <v>404</v>
      </c>
      <c r="B7" s="516">
        <f>'F-2 Estructura'!B31</f>
        <v>2411957.4394282689</v>
      </c>
      <c r="C7" s="516">
        <f>'F-2 Estructura'!C31</f>
        <v>5967590.4661189625</v>
      </c>
      <c r="D7" s="517"/>
      <c r="E7" s="516"/>
      <c r="F7" s="516"/>
      <c r="G7" s="518">
        <v>0</v>
      </c>
      <c r="H7" s="508">
        <f>SUM(B7:G7)</f>
        <v>8379547.9055472314</v>
      </c>
      <c r="I7" s="256"/>
      <c r="J7" s="2"/>
      <c r="K7" s="2"/>
      <c r="L7" s="2"/>
      <c r="M7" s="2"/>
      <c r="N7" s="2"/>
      <c r="O7" s="2"/>
      <c r="P7" s="2"/>
      <c r="Q7" s="2"/>
      <c r="R7" s="2"/>
      <c r="S7" s="4"/>
      <c r="T7" s="4"/>
      <c r="U7" s="4"/>
      <c r="V7" s="4"/>
      <c r="W7" s="4"/>
      <c r="X7" s="4"/>
      <c r="Y7" s="4"/>
      <c r="Z7" s="4"/>
    </row>
    <row r="8" spans="1:26" ht="12.75" customHeight="1">
      <c r="A8" s="256" t="s">
        <v>405</v>
      </c>
      <c r="B8" s="515">
        <f>'F-2 Estructura'!B29</f>
        <v>0</v>
      </c>
      <c r="C8" s="515">
        <f>'F-2 Estructura'!C29</f>
        <v>1000000</v>
      </c>
      <c r="D8" s="515"/>
      <c r="E8" s="515"/>
      <c r="F8" s="515"/>
      <c r="G8" s="519"/>
      <c r="H8" s="508">
        <f>SUM(B8:G8)</f>
        <v>1000000</v>
      </c>
      <c r="I8" s="256"/>
      <c r="J8" s="2"/>
      <c r="K8" s="2"/>
      <c r="L8" s="2"/>
      <c r="M8" s="2"/>
      <c r="N8" s="2"/>
      <c r="O8" s="2"/>
      <c r="P8" s="2"/>
      <c r="Q8" s="2"/>
      <c r="R8" s="2"/>
      <c r="S8" s="4"/>
      <c r="T8" s="4"/>
      <c r="U8" s="4"/>
      <c r="V8" s="4"/>
      <c r="W8" s="4"/>
      <c r="X8" s="4"/>
      <c r="Y8" s="4"/>
      <c r="Z8" s="4"/>
    </row>
    <row r="9" spans="1:26" ht="12.75" customHeight="1">
      <c r="A9" s="256" t="s">
        <v>406</v>
      </c>
      <c r="B9" s="515">
        <f>'F-2 Estructura'!B30</f>
        <v>1157715.9957327337</v>
      </c>
      <c r="C9" s="515">
        <f>'F-2 Estructura'!C30</f>
        <v>0</v>
      </c>
      <c r="D9" s="516"/>
      <c r="E9" s="516"/>
      <c r="F9" s="516"/>
      <c r="G9" s="518"/>
      <c r="H9" s="508">
        <f>SUM(B9:G9)</f>
        <v>1157715.9957327337</v>
      </c>
      <c r="I9" s="256"/>
      <c r="J9" s="2"/>
      <c r="K9" s="2"/>
      <c r="L9" s="2"/>
      <c r="M9" s="2"/>
      <c r="N9" s="2"/>
      <c r="O9" s="2"/>
      <c r="P9" s="2"/>
      <c r="Q9" s="2"/>
      <c r="R9" s="2"/>
      <c r="S9" s="4"/>
      <c r="T9" s="4"/>
      <c r="U9" s="4"/>
      <c r="V9" s="4"/>
      <c r="W9" s="4"/>
      <c r="X9" s="4"/>
      <c r="Y9" s="4"/>
      <c r="Z9" s="4"/>
    </row>
    <row r="10" spans="1:26" ht="12.75" customHeight="1">
      <c r="A10" s="256" t="s">
        <v>407</v>
      </c>
      <c r="B10" s="515"/>
      <c r="C10" s="515">
        <f>'F-CRes'!B4</f>
        <v>33703600</v>
      </c>
      <c r="D10" s="515">
        <f>'F-CRes'!C4</f>
        <v>38024883</v>
      </c>
      <c r="E10" s="515">
        <f>'F-CRes'!D4</f>
        <v>38024883</v>
      </c>
      <c r="F10" s="515">
        <f>'F-CRes'!E4</f>
        <v>38024883</v>
      </c>
      <c r="G10" s="515">
        <f>'F-CRes'!F4</f>
        <v>38024883</v>
      </c>
      <c r="H10" s="508">
        <f>SUM(B10:G10)</f>
        <v>185803132</v>
      </c>
      <c r="I10" s="256"/>
      <c r="J10" s="2"/>
      <c r="K10" s="2"/>
      <c r="L10" s="2"/>
      <c r="M10" s="2"/>
      <c r="N10" s="2"/>
      <c r="O10" s="2"/>
      <c r="P10" s="2"/>
      <c r="Q10" s="2"/>
      <c r="R10" s="2"/>
      <c r="S10" s="4"/>
      <c r="T10" s="4"/>
      <c r="U10" s="4"/>
      <c r="V10" s="4"/>
      <c r="W10" s="4"/>
      <c r="X10" s="4"/>
      <c r="Y10" s="4"/>
      <c r="Z10" s="4"/>
    </row>
    <row r="11" spans="1:26" ht="12.75" customHeight="1">
      <c r="A11" s="256" t="s">
        <v>408</v>
      </c>
      <c r="B11" s="514"/>
      <c r="C11" s="514">
        <f>'F-IVA'!C19</f>
        <v>1383589.1783885316</v>
      </c>
      <c r="D11" s="514">
        <f>'F-IVA'!D19</f>
        <v>5561.1923535000014</v>
      </c>
      <c r="E11" s="514">
        <f>'F-IVA'!E19</f>
        <v>0</v>
      </c>
      <c r="F11" s="514">
        <f>'F-IVA'!F19</f>
        <v>0</v>
      </c>
      <c r="G11" s="514">
        <f>'F-IVA'!G19</f>
        <v>0</v>
      </c>
      <c r="H11" s="508">
        <f>SUM(B11:G11)</f>
        <v>1389150.3707420316</v>
      </c>
      <c r="I11" s="256"/>
      <c r="J11" s="2"/>
      <c r="K11" s="2"/>
      <c r="L11" s="2"/>
      <c r="M11" s="2"/>
      <c r="N11" s="2"/>
      <c r="O11" s="2"/>
      <c r="P11" s="2"/>
      <c r="Q11" s="2"/>
      <c r="R11" s="2"/>
      <c r="S11" s="4"/>
      <c r="T11" s="4"/>
      <c r="U11" s="4"/>
      <c r="V11" s="4"/>
      <c r="W11" s="4"/>
      <c r="X11" s="4"/>
      <c r="Y11" s="4"/>
      <c r="Z11" s="4"/>
    </row>
    <row r="12" spans="1:26" ht="12.75" customHeight="1">
      <c r="A12" s="473"/>
      <c r="B12" s="520"/>
      <c r="C12" s="520"/>
      <c r="D12" s="520"/>
      <c r="E12" s="520"/>
      <c r="F12" s="520"/>
      <c r="G12" s="520"/>
      <c r="H12" s="473"/>
      <c r="I12" s="256"/>
      <c r="J12" s="2"/>
      <c r="K12" s="2"/>
      <c r="L12" s="2"/>
      <c r="M12" s="2"/>
      <c r="N12" s="2"/>
      <c r="O12" s="2"/>
      <c r="P12" s="2"/>
      <c r="Q12" s="2"/>
      <c r="R12" s="2"/>
      <c r="S12" s="4"/>
      <c r="T12" s="4"/>
      <c r="U12" s="4"/>
      <c r="V12" s="4"/>
      <c r="W12" s="4"/>
      <c r="X12" s="4"/>
      <c r="Y12" s="4"/>
      <c r="Z12" s="4"/>
    </row>
    <row r="13" spans="1:26" ht="12.75" customHeight="1">
      <c r="A13" s="256"/>
      <c r="B13" s="515"/>
      <c r="C13" s="515"/>
      <c r="D13" s="515"/>
      <c r="E13" s="515"/>
      <c r="F13" s="515"/>
      <c r="G13" s="519"/>
      <c r="H13" s="521">
        <v>42138432.810000002</v>
      </c>
      <c r="I13" s="256"/>
      <c r="J13" s="2"/>
      <c r="K13" s="2"/>
      <c r="L13" s="2"/>
      <c r="M13" s="2"/>
      <c r="N13" s="2"/>
      <c r="O13" s="2"/>
      <c r="P13" s="2"/>
      <c r="Q13" s="2"/>
      <c r="R13" s="2"/>
      <c r="S13" s="4"/>
      <c r="T13" s="4"/>
      <c r="U13" s="4"/>
      <c r="V13" s="4"/>
      <c r="W13" s="4"/>
      <c r="X13" s="4"/>
      <c r="Y13" s="4"/>
      <c r="Z13" s="4"/>
    </row>
    <row r="14" spans="1:26" ht="12.75" customHeight="1">
      <c r="A14" s="513" t="s">
        <v>409</v>
      </c>
      <c r="B14" s="515">
        <f>SUM(B15:B23)</f>
        <v>3569673.4351610029</v>
      </c>
      <c r="C14" s="515">
        <f t="shared" ref="C14:E14" si="2">SUM(C15:C23)</f>
        <v>28669687.53969761</v>
      </c>
      <c r="D14" s="515">
        <f t="shared" si="2"/>
        <v>23654011.632606804</v>
      </c>
      <c r="E14" s="515">
        <f t="shared" si="2"/>
        <v>23325609.721620541</v>
      </c>
      <c r="F14" s="515">
        <f>SUM(F15:F23)</f>
        <v>23264019.230647564</v>
      </c>
      <c r="G14" s="515">
        <f t="shared" ref="G14" si="3">SUM(G15:G23)</f>
        <v>23009476.073719125</v>
      </c>
      <c r="H14" s="383">
        <f>SUM(H15:H23)</f>
        <v>125492477.63345267</v>
      </c>
      <c r="I14" s="256"/>
      <c r="J14" s="2"/>
      <c r="K14" s="2"/>
      <c r="L14" s="2"/>
      <c r="M14" s="2"/>
      <c r="N14" s="2"/>
      <c r="O14" s="2"/>
      <c r="P14" s="2"/>
      <c r="Q14" s="2"/>
      <c r="R14" s="2"/>
      <c r="S14" s="4"/>
      <c r="T14" s="4"/>
      <c r="U14" s="4"/>
      <c r="V14" s="4"/>
      <c r="W14" s="4"/>
      <c r="X14" s="4"/>
      <c r="Y14" s="4"/>
      <c r="Z14" s="4"/>
    </row>
    <row r="15" spans="1:26" ht="12.75" customHeight="1">
      <c r="A15" s="256" t="s">
        <v>410</v>
      </c>
      <c r="B15" s="516">
        <f>'F-2 Estructura'!B8</f>
        <v>2354804.3265793412</v>
      </c>
      <c r="C15" s="516">
        <f>'F-2 Estructura'!C8</f>
        <v>118848.8509696</v>
      </c>
      <c r="D15" s="516"/>
      <c r="E15" s="516"/>
      <c r="F15" s="516"/>
      <c r="G15" s="518"/>
      <c r="H15" s="383">
        <f>SUM(B15:G15)</f>
        <v>2473653.1775489412</v>
      </c>
      <c r="I15" s="256"/>
      <c r="J15" s="2"/>
      <c r="K15" s="2"/>
      <c r="L15" s="2"/>
      <c r="M15" s="2"/>
      <c r="N15" s="2"/>
      <c r="O15" s="2"/>
      <c r="P15" s="2"/>
      <c r="Q15" s="2"/>
      <c r="R15" s="2"/>
      <c r="S15" s="4"/>
      <c r="T15" s="4"/>
      <c r="U15" s="4"/>
      <c r="V15" s="4"/>
      <c r="W15" s="4"/>
      <c r="X15" s="4"/>
      <c r="Y15" s="4"/>
      <c r="Z15" s="4"/>
    </row>
    <row r="16" spans="1:26" ht="12.75" customHeight="1">
      <c r="A16" s="256" t="s">
        <v>264</v>
      </c>
      <c r="B16" s="515">
        <f>'E-InvAT'!B24</f>
        <v>677230.39999999991</v>
      </c>
      <c r="C16" s="515">
        <f>'E-InvAT'!C24</f>
        <v>6920078.9736488927</v>
      </c>
      <c r="D16" s="515">
        <f>'E-InvAT'!D24</f>
        <v>471811.93230547942</v>
      </c>
      <c r="E16" s="515">
        <f>'E-InvAT'!E24</f>
        <v>0</v>
      </c>
      <c r="F16" s="515">
        <f>'E-InvAT'!F24</f>
        <v>0</v>
      </c>
      <c r="G16" s="515">
        <f>'E-InvAT'!G24</f>
        <v>0</v>
      </c>
      <c r="H16" s="383">
        <f t="shared" ref="H16:H23" si="4">SUM(B16:G16)</f>
        <v>8069121.3059543725</v>
      </c>
      <c r="I16" s="256"/>
      <c r="J16" s="2"/>
      <c r="K16" s="2"/>
      <c r="L16" s="2"/>
      <c r="M16" s="2"/>
      <c r="N16" s="2"/>
      <c r="O16" s="2"/>
      <c r="P16" s="2"/>
      <c r="Q16" s="2"/>
      <c r="R16" s="2"/>
      <c r="S16" s="4"/>
      <c r="T16" s="4"/>
      <c r="U16" s="4"/>
      <c r="V16" s="4"/>
      <c r="W16" s="4"/>
      <c r="X16" s="4"/>
      <c r="Y16" s="4"/>
      <c r="Z16" s="4"/>
    </row>
    <row r="17" spans="1:26" ht="12.75" customHeight="1">
      <c r="A17" s="256" t="s">
        <v>411</v>
      </c>
      <c r="B17" s="515"/>
      <c r="C17" s="515">
        <f>'F-CRes'!B5+'F-CRes'!B8+'F-CRes'!B9+'F-CRes'!B10</f>
        <v>11039054.816267097</v>
      </c>
      <c r="D17" s="515">
        <f>'F-CRes'!C5+'F-CRes'!C8+'F-CRes'!C9+'F-CRes'!C10</f>
        <v>11636817.810512928</v>
      </c>
      <c r="E17" s="515">
        <f>'F-CRes'!D5+'F-CRes'!D8+'F-CRes'!D9+'F-CRes'!D10</f>
        <v>11559657.367911635</v>
      </c>
      <c r="F17" s="515">
        <f>'F-CRes'!E5+'F-CRes'!E8+'F-CRes'!E9+'F-CRes'!E10</f>
        <v>11451603.874976581</v>
      </c>
      <c r="G17" s="515">
        <f>'F-CRes'!F5+'F-CRes'!F8+'F-CRes'!F9+'F-CRes'!F10</f>
        <v>11343550.382041525</v>
      </c>
      <c r="H17" s="383">
        <f t="shared" si="4"/>
        <v>57030684.251709774</v>
      </c>
      <c r="I17" s="256"/>
      <c r="J17" s="2"/>
      <c r="K17" s="2"/>
      <c r="L17" s="2"/>
      <c r="M17" s="2"/>
      <c r="N17" s="2"/>
      <c r="O17" s="2"/>
      <c r="P17" s="2"/>
      <c r="Q17" s="2"/>
      <c r="R17" s="2"/>
      <c r="S17" s="4"/>
      <c r="T17" s="4"/>
      <c r="U17" s="4"/>
      <c r="V17" s="4"/>
      <c r="W17" s="4"/>
      <c r="X17" s="4"/>
      <c r="Y17" s="4"/>
      <c r="Z17" s="4"/>
    </row>
    <row r="18" spans="1:26" ht="12.75" customHeight="1">
      <c r="A18" s="256" t="s">
        <v>412</v>
      </c>
      <c r="B18" s="515"/>
      <c r="C18" s="515">
        <f>'F-CRes'!B13</f>
        <v>7932590.8143065171</v>
      </c>
      <c r="D18" s="515">
        <f>'F-CRes'!C13</f>
        <v>9235822.8163204771</v>
      </c>
      <c r="E18" s="515">
        <f>'F-CRes'!D13</f>
        <v>9262828.9712309279</v>
      </c>
      <c r="F18" s="515">
        <f>'F-CRes'!E13</f>
        <v>9300647.6937581971</v>
      </c>
      <c r="G18" s="515">
        <f>'F-CRes'!F13</f>
        <v>9338466.4162854664</v>
      </c>
      <c r="H18" s="383">
        <f t="shared" si="4"/>
        <v>45070356.71190159</v>
      </c>
      <c r="I18" s="256"/>
      <c r="J18" s="2"/>
      <c r="K18" s="2"/>
      <c r="L18" s="2"/>
      <c r="M18" s="2"/>
      <c r="N18" s="2"/>
      <c r="O18" s="2"/>
      <c r="P18" s="2"/>
      <c r="Q18" s="2"/>
      <c r="R18" s="2"/>
      <c r="S18" s="4"/>
      <c r="T18" s="4"/>
      <c r="U18" s="4"/>
      <c r="V18" s="4"/>
      <c r="W18" s="4"/>
      <c r="X18" s="4"/>
      <c r="Y18" s="4"/>
      <c r="Z18" s="4"/>
    </row>
    <row r="19" spans="1:26" ht="12.75" customHeight="1">
      <c r="A19" s="256" t="s">
        <v>413</v>
      </c>
      <c r="B19" s="516"/>
      <c r="C19" s="516">
        <f>'F-Cred'!E25</f>
        <v>0</v>
      </c>
      <c r="D19" s="516">
        <f>'F-Cred'!E27</f>
        <v>192952.66595545562</v>
      </c>
      <c r="E19" s="516">
        <f>'F-Cred'!E29</f>
        <v>385905.33191091125</v>
      </c>
      <c r="F19" s="516">
        <f>'F-Cred'!E31</f>
        <v>385905.33191091125</v>
      </c>
      <c r="G19" s="516">
        <f>'F-Cred'!E33</f>
        <v>192952.66595545562</v>
      </c>
      <c r="H19" s="383">
        <f t="shared" si="4"/>
        <v>1157715.9957327337</v>
      </c>
      <c r="I19" s="256"/>
      <c r="J19" s="2"/>
      <c r="K19" s="2"/>
      <c r="L19" s="2"/>
      <c r="M19" s="2"/>
      <c r="N19" s="2"/>
      <c r="O19" s="2"/>
      <c r="P19" s="2"/>
      <c r="Q19" s="2"/>
      <c r="R19" s="2"/>
      <c r="S19" s="4"/>
      <c r="T19" s="4"/>
      <c r="U19" s="4"/>
      <c r="V19" s="4"/>
      <c r="W19" s="4"/>
      <c r="X19" s="4"/>
      <c r="Y19" s="4"/>
      <c r="Z19" s="4"/>
    </row>
    <row r="20" spans="1:26" ht="12.75" customHeight="1">
      <c r="A20" s="256" t="s">
        <v>414</v>
      </c>
      <c r="B20" s="515"/>
      <c r="C20" s="515">
        <f>'F-CRes'!B12</f>
        <v>1813163.6146986326</v>
      </c>
      <c r="D20" s="515">
        <f>'F-CRes'!C12</f>
        <v>2111045.2151589664</v>
      </c>
      <c r="E20" s="515">
        <f>'F-CRes'!D12</f>
        <v>2117218.0505670696</v>
      </c>
      <c r="F20" s="515">
        <f>'F-CRes'!E12</f>
        <v>2125862.3300018739</v>
      </c>
      <c r="G20" s="515">
        <f>'F-CRes'!F12</f>
        <v>2134506.6094366782</v>
      </c>
      <c r="H20" s="383">
        <f t="shared" si="4"/>
        <v>10301795.819863221</v>
      </c>
      <c r="I20" s="256"/>
      <c r="J20" s="2"/>
      <c r="K20" s="2"/>
      <c r="L20" s="2"/>
      <c r="M20" s="2"/>
      <c r="N20" s="2"/>
      <c r="O20" s="2"/>
      <c r="P20" s="2"/>
      <c r="Q20" s="2"/>
      <c r="R20" s="2"/>
      <c r="S20" s="4"/>
      <c r="T20" s="4"/>
      <c r="U20" s="4"/>
      <c r="V20" s="4"/>
      <c r="W20" s="4"/>
      <c r="X20" s="4"/>
      <c r="Y20" s="4"/>
      <c r="Z20" s="4"/>
    </row>
    <row r="21" spans="1:26" ht="12.75" customHeight="1">
      <c r="A21" s="256" t="s">
        <v>415</v>
      </c>
      <c r="B21" s="516"/>
      <c r="C21" s="516"/>
      <c r="D21" s="516"/>
      <c r="E21" s="516"/>
      <c r="F21" s="516"/>
      <c r="G21" s="518"/>
      <c r="H21" s="383">
        <f t="shared" si="4"/>
        <v>0</v>
      </c>
      <c r="I21" s="256"/>
      <c r="J21" s="2"/>
      <c r="K21" s="2"/>
      <c r="L21" s="2"/>
      <c r="M21" s="2"/>
      <c r="N21" s="2"/>
      <c r="O21" s="2"/>
      <c r="P21" s="2"/>
      <c r="Q21" s="2"/>
      <c r="R21" s="2"/>
      <c r="S21" s="4"/>
      <c r="T21" s="4"/>
      <c r="U21" s="4"/>
      <c r="V21" s="4"/>
      <c r="W21" s="4"/>
      <c r="X21" s="4"/>
      <c r="Y21" s="4"/>
      <c r="Z21" s="4"/>
    </row>
    <row r="22" spans="1:26" ht="12.75" customHeight="1">
      <c r="A22" s="256" t="s">
        <v>416</v>
      </c>
      <c r="B22" s="515">
        <f>'F-IVA'!B17</f>
        <v>537638.70858166169</v>
      </c>
      <c r="C22" s="515">
        <f>'F-IVA'!C17</f>
        <v>845950.46980686986</v>
      </c>
      <c r="D22" s="515">
        <f>'F-IVA'!D17</f>
        <v>5561.1923535000014</v>
      </c>
      <c r="E22" s="515">
        <f>'F-IVA'!E17</f>
        <v>0</v>
      </c>
      <c r="F22" s="515">
        <f>'F-IVA'!F17</f>
        <v>0</v>
      </c>
      <c r="G22" s="515">
        <f>'F-IVA'!G17</f>
        <v>0</v>
      </c>
      <c r="H22" s="383">
        <f t="shared" si="4"/>
        <v>1389150.3707420316</v>
      </c>
      <c r="I22" s="256"/>
      <c r="J22" s="2"/>
      <c r="K22" s="2"/>
      <c r="L22" s="2"/>
      <c r="M22" s="2"/>
      <c r="N22" s="2"/>
      <c r="O22" s="2"/>
      <c r="P22" s="2"/>
      <c r="Q22" s="2"/>
      <c r="R22" s="2"/>
      <c r="S22" s="4"/>
      <c r="T22" s="4"/>
      <c r="U22" s="4"/>
      <c r="V22" s="4"/>
      <c r="W22" s="4"/>
      <c r="X22" s="4"/>
      <c r="Y22" s="4"/>
      <c r="Z22" s="4"/>
    </row>
    <row r="23" spans="1:26" ht="12.75" customHeight="1">
      <c r="A23" s="256" t="s">
        <v>417</v>
      </c>
      <c r="B23" s="514"/>
      <c r="C23" s="514"/>
      <c r="D23" s="514"/>
      <c r="E23" s="514"/>
      <c r="F23" s="514"/>
      <c r="G23" s="522"/>
      <c r="H23" s="383">
        <f t="shared" si="4"/>
        <v>0</v>
      </c>
      <c r="I23" s="256"/>
      <c r="J23" s="2"/>
      <c r="K23" s="2"/>
      <c r="L23" s="2"/>
      <c r="M23" s="2"/>
      <c r="N23" s="2"/>
      <c r="O23" s="2"/>
      <c r="P23" s="2"/>
      <c r="Q23" s="2"/>
      <c r="R23" s="2"/>
      <c r="S23" s="4"/>
      <c r="T23" s="4"/>
      <c r="U23" s="4"/>
      <c r="V23" s="4"/>
      <c r="W23" s="4"/>
      <c r="X23" s="4"/>
      <c r="Y23" s="4"/>
      <c r="Z23" s="4"/>
    </row>
    <row r="24" spans="1:26" ht="12.75" customHeight="1">
      <c r="A24" s="256"/>
      <c r="B24" s="515"/>
      <c r="C24" s="515"/>
      <c r="D24" s="515"/>
      <c r="E24" s="515"/>
      <c r="F24" s="515"/>
      <c r="G24" s="519"/>
      <c r="H24" s="383"/>
      <c r="I24" s="256"/>
      <c r="J24" s="2"/>
      <c r="K24" s="2"/>
      <c r="L24" s="2"/>
      <c r="M24" s="2"/>
      <c r="N24" s="2"/>
      <c r="O24" s="2"/>
      <c r="P24" s="2"/>
      <c r="Q24" s="2"/>
      <c r="R24" s="2"/>
      <c r="S24" s="4"/>
      <c r="T24" s="4"/>
      <c r="U24" s="4"/>
      <c r="V24" s="4"/>
      <c r="W24" s="4"/>
      <c r="X24" s="4"/>
      <c r="Y24" s="4"/>
      <c r="Z24" s="4"/>
    </row>
    <row r="25" spans="1:26" ht="12.75" customHeight="1">
      <c r="A25" s="513" t="s">
        <v>418</v>
      </c>
      <c r="B25" s="515">
        <f>B5-B14</f>
        <v>0</v>
      </c>
      <c r="C25" s="515">
        <f t="shared" ref="C25:G25" si="5">C5-C14</f>
        <v>13385092.10480988</v>
      </c>
      <c r="D25" s="515">
        <f t="shared" si="5"/>
        <v>28019088.633399695</v>
      </c>
      <c r="E25" s="515">
        <f t="shared" si="5"/>
        <v>42975925.880622268</v>
      </c>
      <c r="F25" s="515">
        <f t="shared" si="5"/>
        <v>57994353.618817836</v>
      </c>
      <c r="G25" s="515">
        <f t="shared" si="5"/>
        <v>73267324.513941839</v>
      </c>
      <c r="H25" s="383">
        <f>H5-H14</f>
        <v>72237068.63856931</v>
      </c>
      <c r="I25" s="256"/>
      <c r="J25" s="2"/>
      <c r="K25" s="2"/>
      <c r="L25" s="2"/>
      <c r="M25" s="2"/>
      <c r="N25" s="2"/>
      <c r="O25" s="2"/>
      <c r="P25" s="2"/>
      <c r="Q25" s="2"/>
      <c r="R25" s="2"/>
      <c r="S25" s="4"/>
      <c r="T25" s="4"/>
      <c r="U25" s="4"/>
      <c r="V25" s="4"/>
      <c r="W25" s="4"/>
      <c r="X25" s="4"/>
      <c r="Y25" s="4"/>
      <c r="Z25" s="4"/>
    </row>
    <row r="26" spans="1:26" ht="12.75" customHeight="1">
      <c r="A26" s="513" t="s">
        <v>419</v>
      </c>
      <c r="B26" s="515">
        <v>0</v>
      </c>
      <c r="C26" s="515">
        <f>'E-Inv AF y Am'!$D$57+'F-Cred'!B40</f>
        <v>257563.96884312158</v>
      </c>
      <c r="D26" s="515">
        <f>'E-Inv AF y Am'!$D$57+'F-Cred'!C40</f>
        <v>257563.96884312158</v>
      </c>
      <c r="E26" s="515">
        <f>'E-Inv AF y Am'!$D$57+'F-Cred'!D40</f>
        <v>257563.96884312158</v>
      </c>
      <c r="F26" s="515">
        <f>'E-Inv AF y Am'!$D$57+'F-Cred'!E40</f>
        <v>257563.96884312158</v>
      </c>
      <c r="G26" s="515">
        <f>'E-Inv AF y Am'!$D$57+'F-Cred'!F40</f>
        <v>257563.96884312158</v>
      </c>
      <c r="H26" s="523">
        <f>SUM(B26:G26)</f>
        <v>1287819.844215608</v>
      </c>
      <c r="I26" s="256"/>
      <c r="J26" s="2"/>
      <c r="K26" s="2"/>
      <c r="L26" s="2"/>
      <c r="M26" s="2"/>
      <c r="N26" s="2"/>
      <c r="O26" s="2"/>
      <c r="P26" s="2"/>
      <c r="Q26" s="2"/>
      <c r="R26" s="2"/>
      <c r="S26" s="4"/>
      <c r="T26" s="4"/>
      <c r="U26" s="4"/>
      <c r="V26" s="4"/>
      <c r="W26" s="4"/>
      <c r="X26" s="4"/>
      <c r="Y26" s="4"/>
      <c r="Z26" s="4"/>
    </row>
    <row r="27" spans="1:26" ht="12.75" customHeight="1">
      <c r="A27" s="513"/>
      <c r="B27" s="515"/>
      <c r="C27" s="515"/>
      <c r="D27" s="515"/>
      <c r="E27" s="515"/>
      <c r="F27" s="515"/>
      <c r="G27" s="519"/>
      <c r="H27" s="383"/>
      <c r="I27" s="256"/>
      <c r="J27" s="2"/>
      <c r="K27" s="2"/>
      <c r="L27" s="2"/>
      <c r="M27" s="2"/>
      <c r="N27" s="2"/>
      <c r="O27" s="2"/>
      <c r="P27" s="2"/>
      <c r="Q27" s="2"/>
      <c r="R27" s="2"/>
      <c r="S27" s="4"/>
      <c r="T27" s="4"/>
      <c r="U27" s="4"/>
      <c r="V27" s="4"/>
      <c r="W27" s="4"/>
      <c r="X27" s="4"/>
      <c r="Y27" s="4"/>
      <c r="Z27" s="4"/>
    </row>
    <row r="28" spans="1:26" ht="12.75" customHeight="1">
      <c r="A28" s="513" t="s">
        <v>420</v>
      </c>
      <c r="B28" s="524">
        <f>B25+B26</f>
        <v>0</v>
      </c>
      <c r="C28" s="524">
        <f t="shared" ref="C28:G28" si="6">C25+C26</f>
        <v>13642656.073653001</v>
      </c>
      <c r="D28" s="524">
        <f t="shared" si="6"/>
        <v>28276652.602242816</v>
      </c>
      <c r="E28" s="524">
        <f t="shared" si="6"/>
        <v>43233489.849465393</v>
      </c>
      <c r="F28" s="524">
        <f t="shared" si="6"/>
        <v>58251917.587660961</v>
      </c>
      <c r="G28" s="524">
        <f t="shared" si="6"/>
        <v>73524888.482784957</v>
      </c>
      <c r="H28" s="260">
        <f>SUM(H25:H27)</f>
        <v>73524888.482784912</v>
      </c>
      <c r="I28" s="256"/>
      <c r="J28" s="2"/>
      <c r="K28" s="2"/>
      <c r="L28" s="2"/>
      <c r="M28" s="2"/>
      <c r="N28" s="2"/>
      <c r="O28" s="2"/>
      <c r="P28" s="2"/>
      <c r="Q28" s="2"/>
      <c r="R28" s="2"/>
      <c r="S28" s="4"/>
      <c r="T28" s="4"/>
      <c r="U28" s="4"/>
      <c r="V28" s="4"/>
      <c r="W28" s="4"/>
      <c r="X28" s="4"/>
      <c r="Y28" s="4"/>
      <c r="Z28" s="4"/>
    </row>
    <row r="29" spans="1:26" ht="12.75" customHeight="1" thickBot="1">
      <c r="A29" s="511" t="s">
        <v>421</v>
      </c>
      <c r="B29" s="512">
        <f>B25+B26</f>
        <v>0</v>
      </c>
      <c r="C29" s="512">
        <f>C28-B28</f>
        <v>13642656.073653001</v>
      </c>
      <c r="D29" s="512">
        <f t="shared" ref="D29:G29" si="7">D28-C28</f>
        <v>14633996.528589815</v>
      </c>
      <c r="E29" s="512">
        <f t="shared" si="7"/>
        <v>14956837.247222576</v>
      </c>
      <c r="F29" s="512">
        <f t="shared" si="7"/>
        <v>15018427.738195568</v>
      </c>
      <c r="G29" s="512">
        <f t="shared" si="7"/>
        <v>15272970.895123996</v>
      </c>
      <c r="H29" s="260">
        <f>SUM(B29:G29)</f>
        <v>73524888.482784957</v>
      </c>
      <c r="I29" s="256"/>
      <c r="J29" s="2"/>
      <c r="K29" s="2"/>
      <c r="L29" s="2"/>
      <c r="M29" s="2"/>
      <c r="N29" s="2"/>
      <c r="O29" s="2"/>
      <c r="P29" s="2"/>
      <c r="Q29" s="2"/>
      <c r="R29" s="2"/>
      <c r="S29" s="4"/>
      <c r="T29" s="4"/>
      <c r="U29" s="4"/>
      <c r="V29" s="4"/>
      <c r="W29" s="4"/>
      <c r="X29" s="4"/>
      <c r="Y29" s="4"/>
      <c r="Z29" s="4"/>
    </row>
    <row r="30" spans="1:26" ht="13.5" thickTop="1">
      <c r="A30" s="496"/>
      <c r="B30" s="496"/>
      <c r="C30" s="496"/>
      <c r="D30" s="496"/>
      <c r="E30" s="496"/>
      <c r="F30" s="496"/>
      <c r="G30" s="496"/>
      <c r="H30" s="496"/>
      <c r="I30" s="496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>
      <c r="A31" s="496"/>
      <c r="B31" s="496"/>
      <c r="C31" s="496"/>
      <c r="D31" s="496"/>
      <c r="E31" s="496"/>
      <c r="F31" s="496"/>
      <c r="G31" s="496"/>
      <c r="H31" s="525"/>
      <c r="I31" s="496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>
      <c r="A32" s="496"/>
      <c r="B32" s="496"/>
      <c r="C32" s="496"/>
      <c r="D32" s="526" t="s">
        <v>565</v>
      </c>
      <c r="E32" s="526" t="s">
        <v>566</v>
      </c>
      <c r="F32" s="526" t="s">
        <v>567</v>
      </c>
      <c r="G32" s="496"/>
      <c r="H32" s="496"/>
      <c r="I32" s="496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>
      <c r="A33" s="496"/>
      <c r="B33" s="473"/>
      <c r="C33" s="473"/>
      <c r="D33" s="527">
        <f>H28+H15+H16-H26-H8-H7</f>
        <v>73400295.216525391</v>
      </c>
      <c r="E33" s="382">
        <f>'F- Form'!D44</f>
        <v>73400295.21652545</v>
      </c>
      <c r="F33" s="528">
        <f>'F-CRes'!G14</f>
        <v>73400295.21652545</v>
      </c>
      <c r="G33" s="496"/>
      <c r="H33" s="496"/>
      <c r="I33" s="496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>
      <c r="A34" s="496"/>
      <c r="B34" s="496"/>
      <c r="C34" s="496"/>
      <c r="D34" s="502"/>
      <c r="E34" s="496"/>
      <c r="F34" s="496"/>
      <c r="G34" s="496"/>
      <c r="H34" s="496"/>
      <c r="I34" s="496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>
      <c r="A35" s="496"/>
      <c r="B35" s="496"/>
      <c r="C35" s="496"/>
      <c r="D35" s="496"/>
      <c r="E35" s="496"/>
      <c r="F35" s="496"/>
      <c r="G35" s="496"/>
      <c r="H35" s="496"/>
      <c r="I35" s="496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>
      <c r="A36" s="496"/>
      <c r="B36" s="496"/>
      <c r="C36" s="496"/>
      <c r="D36" s="496"/>
      <c r="E36" s="496"/>
      <c r="F36" s="496"/>
      <c r="G36" s="496"/>
      <c r="H36" s="496"/>
      <c r="I36" s="496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>
      <c r="A37" s="496"/>
      <c r="B37" s="496"/>
      <c r="C37" s="496"/>
      <c r="D37" s="496"/>
      <c r="E37" s="496"/>
      <c r="F37" s="496"/>
      <c r="G37" s="496"/>
      <c r="H37" s="496"/>
      <c r="I37" s="496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>
      <c r="A61" s="263">
        <v>42138432.810000002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>
      <c r="A62" s="263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pageMargins left="0.75" right="0.75" top="1" bottom="1" header="0.5" footer="0.5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>
      <selection activeCell="H11" sqref="H11"/>
    </sheetView>
  </sheetViews>
  <sheetFormatPr baseColWidth="10" defaultColWidth="14.42578125" defaultRowHeight="15" customHeight="1"/>
  <cols>
    <col min="1" max="1" width="37.7109375" customWidth="1"/>
    <col min="2" max="2" width="14.85546875" customWidth="1"/>
    <col min="3" max="3" width="17.85546875" bestFit="1" customWidth="1"/>
    <col min="4" max="5" width="15.42578125" bestFit="1" customWidth="1"/>
    <col min="6" max="7" width="14.85546875" customWidth="1"/>
    <col min="8" max="8" width="20.42578125" bestFit="1" customWidth="1"/>
    <col min="9" max="9" width="13.85546875" bestFit="1" customWidth="1"/>
    <col min="10" max="17" width="11.42578125" customWidth="1"/>
  </cols>
  <sheetData>
    <row r="1" spans="1:26" ht="12.75" customHeight="1">
      <c r="A1" s="1" t="s">
        <v>0</v>
      </c>
      <c r="B1" s="2"/>
      <c r="C1" s="2"/>
      <c r="D1" s="2"/>
      <c r="E1" s="3">
        <f>[3]InfoInicial!E1</f>
        <v>7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4"/>
      <c r="S1" s="4"/>
      <c r="T1" s="4"/>
      <c r="U1" s="4"/>
      <c r="V1" s="4"/>
      <c r="W1" s="4"/>
      <c r="X1" s="4"/>
      <c r="Y1" s="4"/>
      <c r="Z1" s="4"/>
    </row>
    <row r="2" spans="1:26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>
      <c r="A3" s="460" t="s">
        <v>422</v>
      </c>
      <c r="B3" s="461"/>
      <c r="C3" s="461"/>
      <c r="D3" s="461"/>
      <c r="E3" s="461"/>
      <c r="F3" s="461"/>
      <c r="G3" s="462"/>
      <c r="H3" s="2"/>
      <c r="I3" s="2"/>
      <c r="J3" s="2"/>
      <c r="K3" s="2"/>
      <c r="L3" s="2"/>
      <c r="M3" s="2"/>
      <c r="N3" s="2"/>
      <c r="O3" s="2"/>
      <c r="P3" s="2"/>
      <c r="Q3" s="2"/>
      <c r="R3" s="4"/>
      <c r="S3" s="4"/>
      <c r="T3" s="4"/>
      <c r="U3" s="4"/>
      <c r="V3" s="4"/>
      <c r="W3" s="4"/>
      <c r="X3" s="4"/>
      <c r="Y3" s="4"/>
      <c r="Z3" s="4"/>
    </row>
    <row r="4" spans="1:26" ht="12.75" customHeight="1">
      <c r="A4" s="469"/>
      <c r="B4" s="470" t="s">
        <v>124</v>
      </c>
      <c r="C4" s="470" t="s">
        <v>8</v>
      </c>
      <c r="D4" s="470" t="s">
        <v>165</v>
      </c>
      <c r="E4" s="470" t="s">
        <v>166</v>
      </c>
      <c r="F4" s="470" t="s">
        <v>167</v>
      </c>
      <c r="G4" s="471" t="s">
        <v>168</v>
      </c>
      <c r="H4" s="2"/>
      <c r="I4" s="2"/>
      <c r="J4" s="2"/>
      <c r="K4" s="2"/>
      <c r="L4" s="2"/>
      <c r="M4" s="2"/>
      <c r="N4" s="2"/>
      <c r="O4" s="2"/>
      <c r="P4" s="2"/>
      <c r="Q4" s="2"/>
      <c r="R4" s="4"/>
      <c r="S4" s="4"/>
      <c r="T4" s="4"/>
      <c r="U4" s="4"/>
      <c r="V4" s="4"/>
      <c r="W4" s="4"/>
      <c r="X4" s="4"/>
      <c r="Y4" s="4"/>
      <c r="Z4" s="4"/>
    </row>
    <row r="5" spans="1:26" ht="12.75" customHeight="1">
      <c r="A5" s="503" t="s">
        <v>423</v>
      </c>
      <c r="B5" s="504">
        <f>SUM(B7:B11)</f>
        <v>2060819.5783885315</v>
      </c>
      <c r="C5" s="504">
        <f>SUM(C7:C11)</f>
        <v>21245526.639655393</v>
      </c>
      <c r="D5" s="504">
        <f t="shared" ref="D5:G5" si="0">SUM(D7:D11)</f>
        <v>36345773.908197194</v>
      </c>
      <c r="E5" s="504">
        <f t="shared" si="0"/>
        <v>51302611.155419767</v>
      </c>
      <c r="F5" s="504">
        <f t="shared" si="0"/>
        <v>66321038.893615335</v>
      </c>
      <c r="G5" s="504">
        <f t="shared" si="0"/>
        <v>82983160.159481362</v>
      </c>
      <c r="H5" s="2"/>
      <c r="I5" s="2"/>
      <c r="J5" s="2"/>
      <c r="K5" s="2"/>
      <c r="L5" s="2"/>
      <c r="M5" s="2"/>
      <c r="N5" s="2"/>
      <c r="O5" s="2"/>
      <c r="P5" s="2"/>
      <c r="Q5" s="2"/>
      <c r="R5" s="4"/>
      <c r="S5" s="4"/>
      <c r="T5" s="4"/>
      <c r="U5" s="4"/>
      <c r="V5" s="4"/>
      <c r="W5" s="4"/>
      <c r="X5" s="4"/>
      <c r="Y5" s="4"/>
      <c r="Z5" s="4"/>
    </row>
    <row r="6" spans="1:26" ht="12.75" customHeight="1">
      <c r="A6" s="505" t="s">
        <v>424</v>
      </c>
      <c r="B6" s="262"/>
      <c r="C6" s="262"/>
      <c r="D6" s="262"/>
      <c r="E6" s="262"/>
      <c r="F6" s="262"/>
      <c r="G6" s="383"/>
      <c r="H6" s="2"/>
      <c r="I6" s="242"/>
      <c r="J6" s="2"/>
      <c r="K6" s="2"/>
      <c r="L6" s="2"/>
      <c r="M6" s="2"/>
      <c r="N6" s="2"/>
      <c r="O6" s="2"/>
      <c r="P6" s="2"/>
      <c r="Q6" s="2"/>
      <c r="R6" s="4"/>
      <c r="S6" s="4"/>
      <c r="T6" s="4"/>
      <c r="U6" s="4"/>
      <c r="V6" s="4"/>
      <c r="W6" s="4"/>
      <c r="X6" s="4"/>
      <c r="Y6" s="4"/>
      <c r="Z6" s="4"/>
    </row>
    <row r="7" spans="1:26" ht="12.75" customHeight="1">
      <c r="A7" s="506" t="s">
        <v>425</v>
      </c>
      <c r="B7" s="269">
        <f>'E-InvAT'!B6</f>
        <v>471850.39999999997</v>
      </c>
      <c r="C7" s="269">
        <f>'E-InvAT'!C6</f>
        <v>674072</v>
      </c>
      <c r="D7" s="269">
        <f>'E-InvAT'!D6</f>
        <v>760497.66</v>
      </c>
      <c r="E7" s="269">
        <f>'E-InvAT'!E6</f>
        <v>760497.66</v>
      </c>
      <c r="F7" s="269">
        <f>'E-InvAT'!F6</f>
        <v>760497.66</v>
      </c>
      <c r="G7" s="269">
        <f>'E-InvAT'!G6</f>
        <v>760497.66</v>
      </c>
      <c r="H7" s="2"/>
      <c r="I7" s="2"/>
      <c r="J7" s="2"/>
      <c r="K7" s="2"/>
      <c r="L7" s="2"/>
      <c r="M7" s="2"/>
      <c r="N7" s="2"/>
      <c r="O7" s="2"/>
      <c r="P7" s="2"/>
      <c r="Q7" s="2"/>
      <c r="R7" s="4"/>
      <c r="S7" s="4"/>
      <c r="T7" s="4"/>
      <c r="U7" s="4"/>
      <c r="V7" s="4"/>
      <c r="W7" s="4"/>
      <c r="X7" s="4"/>
      <c r="Y7" s="4"/>
      <c r="Z7" s="4"/>
    </row>
    <row r="8" spans="1:26" ht="12.75" customHeight="1">
      <c r="A8" s="506" t="s">
        <v>426</v>
      </c>
      <c r="B8" s="262"/>
      <c r="C8" s="262">
        <f>'F- CFyU'!C28</f>
        <v>13642656.073653001</v>
      </c>
      <c r="D8" s="262">
        <f>'F- CFyU'!D28</f>
        <v>28276652.602242816</v>
      </c>
      <c r="E8" s="262">
        <f>'F- CFyU'!E28</f>
        <v>43233489.849465393</v>
      </c>
      <c r="F8" s="262">
        <f>'F- CFyU'!F28</f>
        <v>58251917.587660961</v>
      </c>
      <c r="G8" s="262">
        <f>'F- CFyU'!G28</f>
        <v>73524888.482784957</v>
      </c>
      <c r="H8" s="2"/>
      <c r="I8" s="2"/>
      <c r="J8" s="2"/>
      <c r="K8" s="2"/>
      <c r="L8" s="2"/>
      <c r="M8" s="2"/>
      <c r="N8" s="2"/>
      <c r="O8" s="2"/>
      <c r="P8" s="2"/>
      <c r="Q8" s="2"/>
      <c r="R8" s="4"/>
      <c r="S8" s="4"/>
      <c r="T8" s="4"/>
      <c r="U8" s="4"/>
      <c r="V8" s="4"/>
      <c r="W8" s="4"/>
      <c r="X8" s="4"/>
      <c r="Y8" s="4"/>
      <c r="Z8" s="4"/>
    </row>
    <row r="9" spans="1:26" ht="12.75" customHeight="1">
      <c r="A9" s="505" t="s">
        <v>427</v>
      </c>
      <c r="B9" s="269"/>
      <c r="C9" s="269">
        <f>'E-InvAT'!C7</f>
        <v>2770158.9041095888</v>
      </c>
      <c r="D9" s="269">
        <f>'E-InvAT'!D7</f>
        <v>3125332.8493150682</v>
      </c>
      <c r="E9" s="269">
        <f>'E-InvAT'!E7</f>
        <v>3125332.8493150682</v>
      </c>
      <c r="F9" s="269">
        <f>'E-InvAT'!F7</f>
        <v>3125332.8493150682</v>
      </c>
      <c r="G9" s="269">
        <f>'E-InvAT'!G7</f>
        <v>3125332.8493150682</v>
      </c>
      <c r="H9" s="2"/>
      <c r="I9" s="2"/>
      <c r="J9" s="2"/>
      <c r="K9" s="2"/>
      <c r="L9" s="2"/>
      <c r="M9" s="2"/>
      <c r="N9" s="2"/>
      <c r="O9" s="2"/>
      <c r="P9" s="2"/>
      <c r="Q9" s="2"/>
      <c r="R9" s="4"/>
      <c r="S9" s="4"/>
      <c r="T9" s="4"/>
      <c r="U9" s="4"/>
      <c r="V9" s="4"/>
      <c r="W9" s="4"/>
      <c r="X9" s="4"/>
      <c r="Y9" s="4"/>
      <c r="Z9" s="4"/>
    </row>
    <row r="10" spans="1:26" ht="12.75" customHeight="1">
      <c r="A10" s="505" t="s">
        <v>428</v>
      </c>
      <c r="B10" s="262">
        <f>SUM('E-InvAT'!B10:B13)</f>
        <v>205380</v>
      </c>
      <c r="C10" s="262">
        <f>SUM('E-InvAT'!C10:C13)</f>
        <v>4153078.4695393043</v>
      </c>
      <c r="D10" s="262">
        <f>SUM('E-InvAT'!D10:D13)</f>
        <v>4183290.7966393046</v>
      </c>
      <c r="E10" s="262">
        <f>SUM('E-InvAT'!E10:E13)</f>
        <v>4183290.7966393046</v>
      </c>
      <c r="F10" s="262">
        <f>SUM('E-InvAT'!F10:F13)</f>
        <v>4183290.7966393046</v>
      </c>
      <c r="G10" s="262">
        <f>SUM('E-InvAT'!G10:G13)</f>
        <v>4183290.7966393046</v>
      </c>
      <c r="H10" s="256"/>
      <c r="I10" s="256"/>
      <c r="J10" s="2"/>
      <c r="K10" s="2"/>
      <c r="L10" s="2"/>
      <c r="M10" s="2"/>
      <c r="N10" s="2"/>
      <c r="O10" s="2"/>
      <c r="P10" s="2"/>
      <c r="Q10" s="2"/>
      <c r="R10" s="4"/>
      <c r="S10" s="4"/>
      <c r="T10" s="4"/>
      <c r="U10" s="4"/>
      <c r="V10" s="4"/>
      <c r="W10" s="4"/>
      <c r="X10" s="4"/>
      <c r="Y10" s="4"/>
      <c r="Z10" s="4"/>
    </row>
    <row r="11" spans="1:26" ht="12.75" customHeight="1">
      <c r="A11" s="505" t="s">
        <v>429</v>
      </c>
      <c r="B11" s="507">
        <f>'F-IVA'!C19</f>
        <v>1383589.1783885316</v>
      </c>
      <c r="C11" s="507">
        <f>'F-IVA'!D19</f>
        <v>5561.1923535000014</v>
      </c>
      <c r="D11" s="507">
        <f>'F-IVA'!E19</f>
        <v>0</v>
      </c>
      <c r="E11" s="507">
        <f>'F-IVA'!F19</f>
        <v>0</v>
      </c>
      <c r="F11" s="507">
        <f>'F-IVA'!G19</f>
        <v>0</v>
      </c>
      <c r="G11" s="508">
        <f>SUM(B11:F11)</f>
        <v>1389150.3707420316</v>
      </c>
      <c r="H11" s="256"/>
      <c r="I11" s="2"/>
      <c r="J11" s="2"/>
      <c r="K11" s="2"/>
      <c r="L11" s="2"/>
      <c r="M11" s="2"/>
      <c r="N11" s="2"/>
      <c r="O11" s="2"/>
      <c r="P11" s="2"/>
      <c r="Q11" s="2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>
      <c r="A12" s="505" t="s">
        <v>430</v>
      </c>
      <c r="B12" s="507">
        <f>B17+B22+B23</f>
        <v>1508853.8567724712</v>
      </c>
      <c r="C12" s="507">
        <f t="shared" ref="C12:G12" si="1">C17+C22+C23</f>
        <v>2210528.0163523196</v>
      </c>
      <c r="D12" s="507">
        <f t="shared" si="1"/>
        <v>1958525.2398626981</v>
      </c>
      <c r="E12" s="507">
        <f t="shared" si="1"/>
        <v>1700961.2710195766</v>
      </c>
      <c r="F12" s="507">
        <f t="shared" si="1"/>
        <v>1443397.302176455</v>
      </c>
      <c r="G12" s="507">
        <f t="shared" si="1"/>
        <v>-203317.03740869812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4"/>
      <c r="S12" s="4"/>
      <c r="T12" s="4"/>
      <c r="U12" s="4"/>
      <c r="V12" s="4"/>
      <c r="W12" s="4"/>
      <c r="X12" s="4"/>
      <c r="Y12" s="4"/>
      <c r="Z12" s="4"/>
    </row>
    <row r="13" spans="1:26" ht="12.75" customHeight="1">
      <c r="A13" s="505" t="s">
        <v>431</v>
      </c>
      <c r="B13" s="508"/>
      <c r="C13" s="508"/>
      <c r="D13" s="508"/>
      <c r="E13" s="508"/>
      <c r="F13" s="508"/>
      <c r="G13" s="509"/>
      <c r="H13" s="2"/>
      <c r="I13" s="2"/>
      <c r="J13" s="2"/>
      <c r="K13" s="2"/>
      <c r="L13" s="2"/>
      <c r="M13" s="2"/>
      <c r="N13" s="2"/>
      <c r="O13" s="2"/>
      <c r="P13" s="2"/>
      <c r="Q13" s="2"/>
      <c r="R13" s="4"/>
      <c r="S13" s="4"/>
      <c r="T13" s="4"/>
      <c r="U13" s="4"/>
      <c r="V13" s="4"/>
      <c r="W13" s="4"/>
      <c r="X13" s="4"/>
      <c r="Y13" s="4"/>
      <c r="Z13" s="4"/>
    </row>
    <row r="14" spans="1:26" ht="12.75" customHeight="1">
      <c r="A14" s="506" t="s">
        <v>432</v>
      </c>
      <c r="B14" s="262">
        <f>'F-2 Estructura'!B7</f>
        <v>293421.18608347361</v>
      </c>
      <c r="C14" s="262">
        <f>B17</f>
        <v>293421.18608347361</v>
      </c>
      <c r="D14" s="262">
        <f t="shared" ref="D14:G14" si="2">C17</f>
        <v>289816.02964245889</v>
      </c>
      <c r="E14" s="262">
        <f t="shared" si="2"/>
        <v>217362.02223184417</v>
      </c>
      <c r="F14" s="262">
        <f t="shared" si="2"/>
        <v>144908.01482122944</v>
      </c>
      <c r="G14" s="262">
        <f t="shared" si="2"/>
        <v>72454.007410614722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4"/>
      <c r="S14" s="4"/>
      <c r="T14" s="4"/>
      <c r="U14" s="4"/>
      <c r="V14" s="4"/>
      <c r="W14" s="4"/>
      <c r="X14" s="4"/>
      <c r="Y14" s="4"/>
      <c r="Z14" s="4"/>
    </row>
    <row r="15" spans="1:26" ht="12.75" customHeight="1">
      <c r="A15" s="506" t="s">
        <v>433</v>
      </c>
      <c r="B15" s="269"/>
      <c r="C15" s="269">
        <f>'F-2 Estructura'!C7</f>
        <v>68848.850969599996</v>
      </c>
      <c r="D15" s="269">
        <v>0</v>
      </c>
      <c r="E15" s="269">
        <v>0</v>
      </c>
      <c r="F15" s="269">
        <v>0</v>
      </c>
      <c r="G15" s="269">
        <v>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4"/>
      <c r="S15" s="4"/>
      <c r="T15" s="4"/>
      <c r="U15" s="4"/>
      <c r="V15" s="4"/>
      <c r="W15" s="4"/>
      <c r="X15" s="4"/>
      <c r="Y15" s="4"/>
      <c r="Z15" s="4"/>
    </row>
    <row r="16" spans="1:26" ht="12.75" customHeight="1">
      <c r="A16" s="506" t="s">
        <v>434</v>
      </c>
      <c r="B16" s="262"/>
      <c r="C16" s="262">
        <f>'E-Inv AF y Am'!$D$54+'F-Cred'!B40</f>
        <v>72454.007410614722</v>
      </c>
      <c r="D16" s="262">
        <f>'E-Inv AF y Am'!$D$54+'F-Cred'!C40</f>
        <v>72454.007410614722</v>
      </c>
      <c r="E16" s="262">
        <f>'E-Inv AF y Am'!$D$54+'F-Cred'!D40</f>
        <v>72454.007410614722</v>
      </c>
      <c r="F16" s="262">
        <f>'E-Inv AF y Am'!$E$54+'F-Cred'!E40</f>
        <v>72454.007410614722</v>
      </c>
      <c r="G16" s="262">
        <f>'E-Inv AF y Am'!$E$54+'F-Cred'!F40</f>
        <v>72454.007410614722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4"/>
      <c r="S16" s="4"/>
      <c r="T16" s="4"/>
      <c r="U16" s="4"/>
      <c r="V16" s="4"/>
      <c r="W16" s="4"/>
      <c r="X16" s="4"/>
      <c r="Y16" s="4"/>
      <c r="Z16" s="4"/>
    </row>
    <row r="17" spans="1:26" ht="12.75" customHeight="1">
      <c r="A17" s="506" t="s">
        <v>435</v>
      </c>
      <c r="B17" s="262">
        <f>B14+B15-B16</f>
        <v>293421.18608347361</v>
      </c>
      <c r="C17" s="262">
        <f t="shared" ref="C17:G17" si="3">C14+C15-C16</f>
        <v>289816.02964245889</v>
      </c>
      <c r="D17" s="262">
        <f t="shared" si="3"/>
        <v>217362.02223184417</v>
      </c>
      <c r="E17" s="262">
        <f t="shared" si="3"/>
        <v>144908.01482122944</v>
      </c>
      <c r="F17" s="262">
        <f t="shared" si="3"/>
        <v>72454.007410614722</v>
      </c>
      <c r="G17" s="262">
        <f t="shared" si="3"/>
        <v>0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>
      <c r="A18" s="505" t="s">
        <v>157</v>
      </c>
      <c r="B18" s="269"/>
      <c r="C18" s="269"/>
      <c r="D18" s="269"/>
      <c r="E18" s="269"/>
      <c r="F18" s="269"/>
      <c r="G18" s="510"/>
      <c r="H18" s="2"/>
      <c r="I18" s="2"/>
      <c r="J18" s="2"/>
      <c r="K18" s="2"/>
      <c r="L18" s="2"/>
      <c r="M18" s="2"/>
      <c r="N18" s="2"/>
      <c r="O18" s="2"/>
      <c r="P18" s="2"/>
      <c r="Q18" s="2"/>
      <c r="R18" s="4"/>
      <c r="S18" s="4"/>
      <c r="T18" s="4"/>
      <c r="U18" s="4"/>
      <c r="V18" s="4"/>
      <c r="W18" s="4"/>
      <c r="X18" s="4"/>
      <c r="Y18" s="4"/>
      <c r="Z18" s="4"/>
    </row>
    <row r="19" spans="1:26" ht="12.75" customHeight="1">
      <c r="A19" s="506" t="s">
        <v>432</v>
      </c>
      <c r="B19" s="262">
        <f>'F-2 Estructura'!B6</f>
        <v>2061383.1404958677</v>
      </c>
      <c r="C19" s="262">
        <f>B22</f>
        <v>2061383.1404958677</v>
      </c>
      <c r="D19" s="262">
        <f t="shared" ref="D19:G19" si="4">C22</f>
        <v>1926273.1790633607</v>
      </c>
      <c r="E19" s="262">
        <f t="shared" si="4"/>
        <v>1741163.2176308539</v>
      </c>
      <c r="F19" s="262">
        <f t="shared" si="4"/>
        <v>1556053.2561983471</v>
      </c>
      <c r="G19" s="262">
        <f t="shared" si="4"/>
        <v>1370943.2947658403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4"/>
      <c r="S19" s="4"/>
      <c r="T19" s="4"/>
      <c r="U19" s="4"/>
      <c r="V19" s="4"/>
      <c r="W19" s="4"/>
      <c r="X19" s="4"/>
      <c r="Y19" s="4"/>
      <c r="Z19" s="4"/>
    </row>
    <row r="20" spans="1:26" ht="12.75" customHeight="1">
      <c r="A20" s="506" t="s">
        <v>436</v>
      </c>
      <c r="B20" s="262">
        <v>0</v>
      </c>
      <c r="C20" s="262">
        <v>50000</v>
      </c>
      <c r="D20" s="262"/>
      <c r="E20" s="262"/>
      <c r="F20" s="262"/>
      <c r="G20" s="383"/>
      <c r="H20" s="2"/>
      <c r="I20" s="2"/>
      <c r="J20" s="2"/>
      <c r="K20" s="2"/>
      <c r="L20" s="2"/>
      <c r="M20" s="2"/>
      <c r="N20" s="2"/>
      <c r="O20" s="2"/>
      <c r="P20" s="2"/>
      <c r="Q20" s="2"/>
      <c r="R20" s="4"/>
      <c r="S20" s="4"/>
      <c r="T20" s="4"/>
      <c r="U20" s="4"/>
      <c r="V20" s="4"/>
      <c r="W20" s="4"/>
      <c r="X20" s="4"/>
      <c r="Y20" s="4"/>
      <c r="Z20" s="4"/>
    </row>
    <row r="21" spans="1:26" ht="12.75" customHeight="1">
      <c r="A21" s="506" t="s">
        <v>437</v>
      </c>
      <c r="B21" s="262">
        <v>0</v>
      </c>
      <c r="C21" s="262">
        <f>'E-Inv AF y Am'!D52</f>
        <v>185109.96143250685</v>
      </c>
      <c r="D21" s="262">
        <f>'E-Inv AF y Am'!D52</f>
        <v>185109.96143250685</v>
      </c>
      <c r="E21" s="262">
        <f>'E-Inv AF y Am'!D52</f>
        <v>185109.96143250685</v>
      </c>
      <c r="F21" s="262">
        <f>'E-Inv AF y Am'!E52</f>
        <v>185109.96143250685</v>
      </c>
      <c r="G21" s="262">
        <f>'E-Inv AF y Am'!E52</f>
        <v>185109.96143250685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4"/>
      <c r="S21" s="4"/>
      <c r="T21" s="4"/>
      <c r="U21" s="4"/>
      <c r="V21" s="4"/>
      <c r="W21" s="4"/>
      <c r="X21" s="4"/>
      <c r="Y21" s="4"/>
      <c r="Z21" s="4"/>
    </row>
    <row r="22" spans="1:26" ht="12.75" customHeight="1">
      <c r="A22" s="506" t="s">
        <v>435</v>
      </c>
      <c r="B22" s="269">
        <f>B19+B20-B21</f>
        <v>2061383.1404958677</v>
      </c>
      <c r="C22" s="269">
        <f t="shared" ref="C22:G22" si="5">C19+C20-C21</f>
        <v>1926273.1790633607</v>
      </c>
      <c r="D22" s="269">
        <f t="shared" si="5"/>
        <v>1741163.2176308539</v>
      </c>
      <c r="E22" s="269">
        <f t="shared" si="5"/>
        <v>1556053.2561983471</v>
      </c>
      <c r="F22" s="269">
        <f t="shared" si="5"/>
        <v>1370943.2947658403</v>
      </c>
      <c r="G22" s="269">
        <f t="shared" si="5"/>
        <v>1185833.3333333335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4"/>
      <c r="S22" s="4"/>
      <c r="T22" s="4"/>
      <c r="U22" s="4"/>
      <c r="V22" s="4"/>
      <c r="W22" s="4"/>
      <c r="X22" s="4"/>
      <c r="Y22" s="4"/>
      <c r="Z22" s="4"/>
    </row>
    <row r="23" spans="1:26" ht="12.75" customHeight="1">
      <c r="A23" s="505" t="s">
        <v>438</v>
      </c>
      <c r="B23" s="269">
        <f>'F-IVA'!B18-'F-Balance'!B11</f>
        <v>-845950.46980686986</v>
      </c>
      <c r="C23" s="269">
        <f>'F-IVA'!C18-'F-Balance'!C11</f>
        <v>-5561.1923535000014</v>
      </c>
      <c r="D23" s="269">
        <f>'F-IVA'!D18-'F-Balance'!D11</f>
        <v>0</v>
      </c>
      <c r="E23" s="269">
        <f>'F-IVA'!E18-'F-Balance'!E11</f>
        <v>0</v>
      </c>
      <c r="F23" s="269">
        <f>'F-IVA'!F18-'F-Balance'!F11</f>
        <v>0</v>
      </c>
      <c r="G23" s="269">
        <f>'F-IVA'!G18-'F-Balance'!G11</f>
        <v>-1389150.3707420316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4"/>
      <c r="S23" s="4"/>
      <c r="T23" s="4"/>
      <c r="U23" s="4"/>
      <c r="V23" s="4"/>
      <c r="W23" s="4"/>
      <c r="X23" s="4"/>
      <c r="Y23" s="4"/>
      <c r="Z23" s="4"/>
    </row>
    <row r="24" spans="1:26" ht="12.75" customHeight="1">
      <c r="A24" s="676" t="s">
        <v>439</v>
      </c>
      <c r="B24" s="677">
        <f>B5+B12</f>
        <v>3569673.4351610029</v>
      </c>
      <c r="C24" s="677">
        <f t="shared" ref="C24:G24" si="6">C5+C12</f>
        <v>23456054.656007711</v>
      </c>
      <c r="D24" s="677">
        <f t="shared" si="6"/>
        <v>38304299.14805989</v>
      </c>
      <c r="E24" s="677">
        <f t="shared" si="6"/>
        <v>53003572.426439345</v>
      </c>
      <c r="F24" s="677">
        <f t="shared" si="6"/>
        <v>67764436.195791796</v>
      </c>
      <c r="G24" s="677">
        <f t="shared" si="6"/>
        <v>82779843.122072667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4"/>
      <c r="S24" s="4"/>
      <c r="T24" s="4"/>
      <c r="U24" s="4"/>
      <c r="V24" s="4"/>
      <c r="W24" s="4"/>
      <c r="X24" s="4"/>
      <c r="Y24" s="4"/>
      <c r="Z24" s="4"/>
    </row>
    <row r="25" spans="1:26" ht="12.75" customHeight="1">
      <c r="A25" s="505" t="s">
        <v>440</v>
      </c>
      <c r="B25" s="269">
        <f>B26+B27</f>
        <v>0</v>
      </c>
      <c r="C25" s="269">
        <f t="shared" ref="C25:G25" si="7">C26+C27</f>
        <v>1192952.6659554555</v>
      </c>
      <c r="D25" s="269">
        <f t="shared" si="7"/>
        <v>1385905.3319109112</v>
      </c>
      <c r="E25" s="269">
        <f t="shared" si="7"/>
        <v>1385905.3319109112</v>
      </c>
      <c r="F25" s="269">
        <f>F26+F27</f>
        <v>1192952.6659554555</v>
      </c>
      <c r="G25" s="269">
        <f t="shared" si="7"/>
        <v>1000000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4"/>
      <c r="S25" s="4"/>
      <c r="T25" s="4"/>
      <c r="U25" s="4"/>
      <c r="V25" s="4"/>
      <c r="W25" s="4"/>
      <c r="X25" s="4"/>
      <c r="Y25" s="4"/>
      <c r="Z25" s="4"/>
    </row>
    <row r="26" spans="1:26" ht="12.75" customHeight="1">
      <c r="A26" s="505" t="s">
        <v>441</v>
      </c>
      <c r="B26" s="269">
        <v>0</v>
      </c>
      <c r="C26" s="269">
        <f>'Crédito MP'!$E15</f>
        <v>1000000</v>
      </c>
      <c r="D26" s="269">
        <f>'Crédito MP'!$E17</f>
        <v>1000000</v>
      </c>
      <c r="E26" s="269">
        <f>'Crédito MP'!$E19</f>
        <v>1000000</v>
      </c>
      <c r="F26" s="269">
        <f>'Crédito MP'!$E21</f>
        <v>1000000</v>
      </c>
      <c r="G26" s="269">
        <f>'Crédito MP'!$E23</f>
        <v>1000000</v>
      </c>
      <c r="H26" s="251"/>
      <c r="I26" s="2"/>
      <c r="J26" s="2"/>
      <c r="K26" s="2"/>
      <c r="L26" s="2"/>
      <c r="M26" s="2"/>
      <c r="N26" s="2"/>
      <c r="O26" s="2"/>
      <c r="P26" s="2"/>
      <c r="Q26" s="2"/>
      <c r="R26" s="4"/>
      <c r="S26" s="4"/>
      <c r="T26" s="4"/>
      <c r="U26" s="4"/>
      <c r="V26" s="4"/>
      <c r="W26" s="4"/>
      <c r="X26" s="4"/>
      <c r="Y26" s="4"/>
      <c r="Z26" s="4"/>
    </row>
    <row r="27" spans="1:26" ht="12.75" customHeight="1">
      <c r="A27" s="505" t="s">
        <v>442</v>
      </c>
      <c r="B27" s="262">
        <v>0</v>
      </c>
      <c r="C27" s="262">
        <f>'F-Cred'!E27</f>
        <v>192952.66595545562</v>
      </c>
      <c r="D27" s="262">
        <f>'F-Cred'!E29</f>
        <v>385905.33191091125</v>
      </c>
      <c r="E27" s="262">
        <f>'F-Cred'!E31</f>
        <v>385905.33191091125</v>
      </c>
      <c r="F27" s="262">
        <f>'F-Cred'!E33</f>
        <v>192952.66595545562</v>
      </c>
      <c r="G27" s="262">
        <f>'F-Cred'!I27</f>
        <v>0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4"/>
      <c r="S27" s="4"/>
      <c r="T27" s="4"/>
      <c r="U27" s="4"/>
      <c r="V27" s="4"/>
      <c r="W27" s="4"/>
      <c r="X27" s="4"/>
      <c r="Y27" s="4"/>
      <c r="Z27" s="4"/>
    </row>
    <row r="28" spans="1:26" ht="12.75" customHeight="1">
      <c r="A28" s="505" t="s">
        <v>443</v>
      </c>
      <c r="B28" s="262">
        <f>B29</f>
        <v>1157715.9957327337</v>
      </c>
      <c r="C28" s="262">
        <f t="shared" ref="C28:G28" si="8">C29</f>
        <v>964763.32977727812</v>
      </c>
      <c r="D28" s="262">
        <f t="shared" si="8"/>
        <v>578857.99786636687</v>
      </c>
      <c r="E28" s="262">
        <f t="shared" si="8"/>
        <v>192952.66595545562</v>
      </c>
      <c r="F28" s="262">
        <f t="shared" si="8"/>
        <v>0</v>
      </c>
      <c r="G28" s="262">
        <f t="shared" si="8"/>
        <v>0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4"/>
      <c r="S28" s="4"/>
      <c r="T28" s="4"/>
      <c r="U28" s="4"/>
      <c r="V28" s="4"/>
      <c r="W28" s="4"/>
      <c r="X28" s="4"/>
      <c r="Y28" s="4"/>
      <c r="Z28" s="4"/>
    </row>
    <row r="29" spans="1:26" ht="12.75" customHeight="1">
      <c r="A29" s="505" t="s">
        <v>442</v>
      </c>
      <c r="B29" s="269">
        <f>'F-Cred'!E34-'F-Cred'!E25</f>
        <v>1157715.9957327337</v>
      </c>
      <c r="C29" s="269">
        <f>B29-'F-Cred'!$E27</f>
        <v>964763.32977727812</v>
      </c>
      <c r="D29" s="269">
        <f>C29-'F-Cred'!$E29</f>
        <v>578857.99786636687</v>
      </c>
      <c r="E29" s="269">
        <f>D29-'F-Cred'!$E31</f>
        <v>192952.66595545562</v>
      </c>
      <c r="F29" s="269">
        <f>E29-'F-Cred'!$E33</f>
        <v>0</v>
      </c>
      <c r="G29" s="269">
        <f>F29-'F-Cred'!$E28</f>
        <v>0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4"/>
      <c r="S29" s="4"/>
      <c r="T29" s="4"/>
      <c r="U29" s="4"/>
      <c r="V29" s="4"/>
      <c r="W29" s="4"/>
      <c r="X29" s="4"/>
      <c r="Y29" s="4"/>
      <c r="Z29" s="4"/>
    </row>
    <row r="30" spans="1:26" ht="12.75" customHeight="1">
      <c r="A30" s="676" t="s">
        <v>444</v>
      </c>
      <c r="B30" s="678">
        <f>B28+B25</f>
        <v>1157715.9957327337</v>
      </c>
      <c r="C30" s="678">
        <f t="shared" ref="C30:G30" si="9">C28+C25</f>
        <v>2157715.9957327335</v>
      </c>
      <c r="D30" s="678">
        <f t="shared" si="9"/>
        <v>1964763.329777278</v>
      </c>
      <c r="E30" s="678">
        <f t="shared" si="9"/>
        <v>1578857.997866367</v>
      </c>
      <c r="F30" s="678">
        <f t="shared" si="9"/>
        <v>1192952.6659554555</v>
      </c>
      <c r="G30" s="678">
        <f t="shared" si="9"/>
        <v>1000000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4"/>
      <c r="S30" s="4"/>
      <c r="T30" s="4"/>
      <c r="U30" s="4"/>
      <c r="V30" s="4"/>
      <c r="W30" s="4"/>
      <c r="X30" s="4"/>
      <c r="Y30" s="4"/>
      <c r="Z30" s="4"/>
    </row>
    <row r="31" spans="1:26" ht="12.75" customHeight="1">
      <c r="A31" s="676" t="s">
        <v>445</v>
      </c>
      <c r="B31" s="678">
        <f>SUM(B32:B34)</f>
        <v>2411957.4394282689</v>
      </c>
      <c r="C31" s="678">
        <f t="shared" ref="C31:G31" si="10">SUM(C32:C34)</f>
        <v>21298338.66027499</v>
      </c>
      <c r="D31" s="678">
        <f t="shared" si="10"/>
        <v>36339535.818282627</v>
      </c>
      <c r="E31" s="678">
        <f t="shared" si="10"/>
        <v>51424714.428572997</v>
      </c>
      <c r="F31" s="678">
        <f t="shared" si="10"/>
        <v>66571483.529836349</v>
      </c>
      <c r="G31" s="678">
        <f t="shared" si="10"/>
        <v>81779843.122072682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4"/>
      <c r="S31" s="4"/>
      <c r="T31" s="4"/>
      <c r="U31" s="4"/>
      <c r="V31" s="4"/>
      <c r="W31" s="4"/>
      <c r="X31" s="4"/>
      <c r="Y31" s="4"/>
      <c r="Z31" s="4"/>
    </row>
    <row r="32" spans="1:26" ht="12.75" customHeight="1">
      <c r="A32" s="505" t="s">
        <v>446</v>
      </c>
      <c r="B32" s="262">
        <f>'F-2 Estructura'!B31</f>
        <v>2411957.4394282689</v>
      </c>
      <c r="C32" s="262">
        <f>'F-2 Estructura'!B31+'F-2 Estructura'!C31</f>
        <v>8379547.9055472314</v>
      </c>
      <c r="D32" s="262">
        <f>$C$32</f>
        <v>8379547.9055472314</v>
      </c>
      <c r="E32" s="262">
        <f t="shared" ref="E32:G32" si="11">$C$32</f>
        <v>8379547.9055472314</v>
      </c>
      <c r="F32" s="262">
        <f t="shared" si="11"/>
        <v>8379547.9055472314</v>
      </c>
      <c r="G32" s="262">
        <f t="shared" si="11"/>
        <v>8379547.9055472314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4"/>
      <c r="S32" s="4"/>
      <c r="T32" s="4"/>
      <c r="U32" s="4"/>
      <c r="V32" s="4"/>
      <c r="W32" s="4"/>
      <c r="X32" s="4"/>
      <c r="Y32" s="4"/>
      <c r="Z32" s="4"/>
    </row>
    <row r="33" spans="1:26" ht="12.75" customHeight="1">
      <c r="A33" s="505" t="s">
        <v>447</v>
      </c>
      <c r="B33" s="269">
        <v>0</v>
      </c>
      <c r="C33" s="269">
        <f>'F-CRes'!B14</f>
        <v>12918790.754727758</v>
      </c>
      <c r="D33" s="269">
        <f>'F-CRes'!C14</f>
        <v>15041197.158007635</v>
      </c>
      <c r="E33" s="269">
        <f>'F-CRes'!D14</f>
        <v>15085178.610290371</v>
      </c>
      <c r="F33" s="269">
        <f>'F-CRes'!E14</f>
        <v>15146769.101263352</v>
      </c>
      <c r="G33" s="269">
        <f>'F-CRes'!F14</f>
        <v>15208359.592236329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4"/>
      <c r="S33" s="4"/>
      <c r="T33" s="4"/>
      <c r="U33" s="4"/>
      <c r="V33" s="4"/>
      <c r="W33" s="4"/>
      <c r="X33" s="4"/>
      <c r="Y33" s="4"/>
      <c r="Z33" s="4"/>
    </row>
    <row r="34" spans="1:26" ht="12.75" customHeight="1">
      <c r="A34" s="505" t="s">
        <v>448</v>
      </c>
      <c r="B34" s="262"/>
      <c r="C34" s="262"/>
      <c r="D34" s="262">
        <f>C33+C34</f>
        <v>12918790.754727758</v>
      </c>
      <c r="E34" s="262">
        <f>D33+D34</f>
        <v>27959987.912735395</v>
      </c>
      <c r="F34" s="262">
        <f>E33+E34</f>
        <v>43045166.523025766</v>
      </c>
      <c r="G34" s="262">
        <f>F33+F34</f>
        <v>58191935.624289118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4"/>
      <c r="S34" s="4"/>
      <c r="T34" s="4"/>
      <c r="U34" s="4"/>
      <c r="V34" s="4"/>
      <c r="W34" s="4"/>
      <c r="X34" s="4"/>
      <c r="Y34" s="4"/>
      <c r="Z34" s="4"/>
    </row>
    <row r="35" spans="1:26" ht="12.75" customHeight="1">
      <c r="A35" s="679" t="s">
        <v>449</v>
      </c>
      <c r="B35" s="680">
        <f>B30+B31</f>
        <v>3569673.4351610029</v>
      </c>
      <c r="C35" s="680">
        <f t="shared" ref="C35:G35" si="12">C30+C31</f>
        <v>23456054.656007722</v>
      </c>
      <c r="D35" s="680">
        <f t="shared" si="12"/>
        <v>38304299.148059905</v>
      </c>
      <c r="E35" s="680">
        <f t="shared" si="12"/>
        <v>53003572.426439367</v>
      </c>
      <c r="F35" s="680">
        <f t="shared" si="12"/>
        <v>67764436.195791811</v>
      </c>
      <c r="G35" s="680">
        <f t="shared" si="12"/>
        <v>82779843.122072682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4"/>
      <c r="S35" s="4"/>
      <c r="T35" s="4"/>
      <c r="U35" s="4"/>
      <c r="V35" s="4"/>
      <c r="W35" s="4"/>
      <c r="X35" s="4"/>
      <c r="Y35" s="4"/>
      <c r="Z35" s="4"/>
    </row>
    <row r="36" spans="1:26" ht="12.75" customHeight="1">
      <c r="A36" s="256"/>
      <c r="B36" s="256"/>
      <c r="C36" s="256"/>
      <c r="D36" s="256"/>
      <c r="E36" s="256"/>
      <c r="F36" s="256"/>
      <c r="G36" s="256"/>
      <c r="H36" s="2"/>
      <c r="I36" s="2"/>
      <c r="J36" s="2"/>
      <c r="K36" s="2"/>
      <c r="L36" s="2"/>
      <c r="M36" s="2"/>
      <c r="N36" s="2"/>
      <c r="O36" s="2"/>
      <c r="P36" s="2"/>
      <c r="Q36" s="2"/>
      <c r="R36" s="4"/>
      <c r="S36" s="4"/>
      <c r="T36" s="4"/>
      <c r="U36" s="4"/>
      <c r="V36" s="4"/>
      <c r="W36" s="4"/>
      <c r="X36" s="4"/>
      <c r="Y36" s="4"/>
      <c r="Z36" s="4"/>
    </row>
    <row r="37" spans="1:26" ht="12.75">
      <c r="A37" s="258" t="s">
        <v>642</v>
      </c>
      <c r="B37" s="237">
        <f>B24-B35</f>
        <v>0</v>
      </c>
      <c r="C37" s="237">
        <f t="shared" ref="C37" si="13">C24-C35</f>
        <v>0</v>
      </c>
      <c r="D37" s="237">
        <f>D24-D35</f>
        <v>0</v>
      </c>
      <c r="E37" s="237">
        <f>E24-E35</f>
        <v>0</v>
      </c>
      <c r="F37" s="237">
        <f>F24-F35</f>
        <v>0</v>
      </c>
      <c r="G37" s="237">
        <f>G24-G35</f>
        <v>0</v>
      </c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>
      <c r="A38" s="236"/>
      <c r="B38" s="236"/>
      <c r="C38" s="237"/>
      <c r="D38" s="237">
        <f>D37-C37</f>
        <v>0</v>
      </c>
      <c r="E38" s="237">
        <f>E37-D37</f>
        <v>0</v>
      </c>
      <c r="F38" s="237">
        <f>F37-E37</f>
        <v>0</v>
      </c>
      <c r="G38" s="237">
        <f>G37-F37</f>
        <v>0</v>
      </c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>
      <c r="A39" s="496"/>
      <c r="B39" s="496"/>
      <c r="C39" s="496"/>
      <c r="D39" s="496"/>
      <c r="E39" s="496"/>
      <c r="F39" s="496"/>
      <c r="G39" s="496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>
      <c r="A40" s="496"/>
      <c r="B40" s="496"/>
      <c r="C40" s="496"/>
      <c r="D40" s="496"/>
      <c r="E40" s="496"/>
      <c r="F40" s="496"/>
      <c r="G40" s="496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>
      <c r="A41" s="496"/>
      <c r="B41" s="496"/>
      <c r="C41" s="496"/>
      <c r="D41" s="496"/>
      <c r="E41" s="496"/>
      <c r="F41" s="496"/>
      <c r="G41" s="496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>
      <c r="A42" s="496"/>
      <c r="B42" s="496"/>
      <c r="C42" s="496"/>
      <c r="D42" s="496"/>
      <c r="E42" s="496"/>
      <c r="F42" s="496"/>
      <c r="G42" s="496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>
      <c r="A43" s="496"/>
      <c r="B43" s="496"/>
      <c r="C43" s="496"/>
      <c r="D43" s="496"/>
      <c r="E43" s="496"/>
      <c r="F43" s="496"/>
      <c r="G43" s="496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>
      <c r="A44" s="496"/>
      <c r="B44" s="496"/>
      <c r="C44" s="496"/>
      <c r="D44" s="496"/>
      <c r="E44" s="496"/>
      <c r="F44" s="496"/>
      <c r="G44" s="496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>
      <c r="A45" s="496"/>
      <c r="B45" s="496"/>
      <c r="C45" s="496"/>
      <c r="D45" s="496"/>
      <c r="E45" s="496"/>
      <c r="F45" s="496"/>
      <c r="G45" s="496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>
      <c r="A46" s="496"/>
      <c r="B46" s="496"/>
      <c r="C46" s="496"/>
      <c r="D46" s="496"/>
      <c r="E46" s="496"/>
      <c r="F46" s="496"/>
      <c r="G46" s="496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>
      <c r="A47" s="496"/>
      <c r="B47" s="496"/>
      <c r="C47" s="496"/>
      <c r="D47" s="496"/>
      <c r="E47" s="496"/>
      <c r="F47" s="496"/>
      <c r="G47" s="496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>
      <c r="A48" s="496"/>
      <c r="B48" s="496"/>
      <c r="C48" s="496"/>
      <c r="D48" s="496"/>
      <c r="E48" s="496"/>
      <c r="F48" s="496"/>
      <c r="G48" s="496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conditionalFormatting sqref="B37:G37">
    <cfRule type="cellIs" dxfId="0" priority="1" operator="lessThan">
      <formula>0</formula>
    </cfRule>
  </conditionalFormatting>
  <pageMargins left="0.75" right="0.75" top="1" bottom="1" header="0.5" footer="0.5"/>
  <pageSetup paperSize="9" orientation="portrait" verticalDpi="0" r:id="rId1"/>
  <extLst>
    <ext xmlns:mx="http://schemas.microsoft.com/office/mac/excel/2008/main" uri="{64002731-A6B0-56B0-2670-7721B7C09600}">
      <mx:PLV Mode="0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tabSelected="1" topLeftCell="A16" workbookViewId="0">
      <selection activeCell="K27" sqref="K27"/>
    </sheetView>
  </sheetViews>
  <sheetFormatPr baseColWidth="10" defaultColWidth="14.42578125" defaultRowHeight="15" customHeight="1"/>
  <cols>
    <col min="1" max="1" width="8" customWidth="1"/>
    <col min="2" max="2" width="16.42578125" bestFit="1" customWidth="1"/>
    <col min="3" max="3" width="18.28515625" customWidth="1"/>
    <col min="4" max="4" width="17" bestFit="1" customWidth="1"/>
    <col min="5" max="5" width="20.7109375" bestFit="1" customWidth="1"/>
    <col min="6" max="6" width="15.42578125" bestFit="1" customWidth="1"/>
    <col min="7" max="7" width="17.85546875" bestFit="1" customWidth="1"/>
    <col min="8" max="8" width="15.85546875" bestFit="1" customWidth="1"/>
    <col min="9" max="9" width="14.85546875" customWidth="1"/>
    <col min="10" max="10" width="16.42578125" bestFit="1" customWidth="1"/>
    <col min="11" max="11" width="14.85546875" customWidth="1"/>
    <col min="12" max="12" width="15.85546875" bestFit="1" customWidth="1"/>
    <col min="13" max="14" width="16.42578125" bestFit="1" customWidth="1"/>
    <col min="15" max="15" width="17.42578125" customWidth="1"/>
    <col min="16" max="24" width="11.42578125" customWidth="1"/>
  </cols>
  <sheetData>
    <row r="1" spans="1:26" ht="12.75" customHeight="1">
      <c r="A1" s="1" t="s">
        <v>0</v>
      </c>
      <c r="B1" s="2"/>
      <c r="C1" s="2"/>
      <c r="D1" s="2"/>
      <c r="E1" s="2"/>
      <c r="F1" s="2"/>
      <c r="G1" s="3">
        <f>[3]InfoInicial!E1</f>
        <v>7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4"/>
      <c r="Z1" s="4"/>
    </row>
    <row r="2" spans="1:26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4"/>
      <c r="Z2" s="4"/>
    </row>
    <row r="3" spans="1:26" ht="15.75" customHeight="1">
      <c r="A3" s="424" t="s">
        <v>450</v>
      </c>
      <c r="B3" s="425"/>
      <c r="C3" s="425"/>
      <c r="D3" s="425"/>
      <c r="E3" s="425"/>
      <c r="F3" s="425"/>
      <c r="G3" s="425"/>
      <c r="H3" s="425"/>
      <c r="I3" s="425"/>
      <c r="J3" s="425"/>
      <c r="K3" s="425"/>
      <c r="L3" s="425"/>
      <c r="M3" s="425"/>
      <c r="N3" s="426"/>
      <c r="O3" s="2"/>
      <c r="P3" s="2"/>
      <c r="Q3" s="2"/>
      <c r="R3" s="2"/>
      <c r="S3" s="2"/>
      <c r="T3" s="2"/>
      <c r="U3" s="2"/>
      <c r="V3" s="2"/>
      <c r="W3" s="2"/>
      <c r="X3" s="2"/>
      <c r="Y3" s="4"/>
      <c r="Z3" s="4"/>
    </row>
    <row r="4" spans="1:26" ht="25.5" customHeight="1">
      <c r="A4" s="430" t="s">
        <v>242</v>
      </c>
      <c r="B4" s="431" t="s">
        <v>410</v>
      </c>
      <c r="C4" s="431" t="s">
        <v>451</v>
      </c>
      <c r="D4" s="431" t="s">
        <v>245</v>
      </c>
      <c r="E4" s="431" t="s">
        <v>4</v>
      </c>
      <c r="F4" s="431" t="s">
        <v>246</v>
      </c>
      <c r="G4" s="431" t="s">
        <v>247</v>
      </c>
      <c r="H4" s="431" t="s">
        <v>452</v>
      </c>
      <c r="I4" s="431" t="s">
        <v>453</v>
      </c>
      <c r="J4" s="431" t="s">
        <v>249</v>
      </c>
      <c r="K4" s="431" t="s">
        <v>250</v>
      </c>
      <c r="L4" s="431" t="s">
        <v>251</v>
      </c>
      <c r="M4" s="449" t="s">
        <v>252</v>
      </c>
      <c r="N4" s="450" t="s">
        <v>253</v>
      </c>
      <c r="O4" s="2"/>
      <c r="P4" s="2"/>
      <c r="Q4" s="2"/>
      <c r="R4" s="2"/>
      <c r="S4" s="2"/>
      <c r="T4" s="2"/>
      <c r="U4" s="2"/>
      <c r="V4" s="2"/>
      <c r="W4" s="2"/>
      <c r="X4" s="2"/>
      <c r="Y4" s="4"/>
      <c r="Z4" s="4"/>
    </row>
    <row r="5" spans="1:26" ht="12.75" customHeight="1">
      <c r="A5" s="98">
        <v>0</v>
      </c>
      <c r="B5" s="472">
        <f>'F-2 Estructura'!B8</f>
        <v>2354804.3265793412</v>
      </c>
      <c r="C5" s="387">
        <f>+'F- CFyU'!B16</f>
        <v>677230.39999999991</v>
      </c>
      <c r="D5" s="387">
        <f>'F-IVA'!B17</f>
        <v>537638.70858166169</v>
      </c>
      <c r="E5" s="387"/>
      <c r="F5" s="387"/>
      <c r="G5" s="387">
        <f>SUM(B5:F5)</f>
        <v>3569673.4351610029</v>
      </c>
      <c r="H5" s="387"/>
      <c r="I5" s="473"/>
      <c r="J5" s="387">
        <f>'F- CFyU'!B25</f>
        <v>0</v>
      </c>
      <c r="K5" s="387"/>
      <c r="L5" s="387"/>
      <c r="M5" s="474">
        <f>L5-G5</f>
        <v>-3569673.4351610029</v>
      </c>
      <c r="N5" s="475">
        <f>M5</f>
        <v>-3569673.4351610029</v>
      </c>
      <c r="O5" s="2"/>
      <c r="P5" s="2"/>
      <c r="Q5" s="2"/>
      <c r="R5" s="2"/>
      <c r="S5" s="2"/>
      <c r="T5" s="2"/>
      <c r="U5" s="2"/>
      <c r="V5" s="2"/>
      <c r="W5" s="2"/>
      <c r="X5" s="2"/>
      <c r="Y5" s="4"/>
      <c r="Z5" s="4"/>
    </row>
    <row r="6" spans="1:26" ht="12.75" customHeight="1">
      <c r="A6" s="100">
        <v>1</v>
      </c>
      <c r="B6" s="472">
        <f>'F-2 Estructura'!C8</f>
        <v>118848.8509696</v>
      </c>
      <c r="C6" s="387">
        <f>+'F- CFyU'!C16</f>
        <v>6920078.9736488927</v>
      </c>
      <c r="D6" s="387">
        <f>'F-IVA'!C17</f>
        <v>845950.46980686986</v>
      </c>
      <c r="E6" s="262">
        <f>'F-CRes'!B12</f>
        <v>1813163.6146986326</v>
      </c>
      <c r="F6" s="262">
        <f>'F-CRes'!B13</f>
        <v>7932590.8143065171</v>
      </c>
      <c r="G6" s="387">
        <f t="shared" ref="G6:G10" si="0">SUM(B6:F6)</f>
        <v>17630632.723430511</v>
      </c>
      <c r="H6" s="262">
        <f>'F-CRes'!B11</f>
        <v>22664545.183732908</v>
      </c>
      <c r="I6" s="387">
        <f>'F-Cred'!G25</f>
        <v>354981.36593822087</v>
      </c>
      <c r="J6" s="387">
        <f>'F- CFyU'!C26</f>
        <v>257563.96884312158</v>
      </c>
      <c r="K6" s="262">
        <f>'F- CFyU'!C11</f>
        <v>1383589.1783885316</v>
      </c>
      <c r="L6" s="262">
        <f>SUM(H6:K6)</f>
        <v>24660679.696902782</v>
      </c>
      <c r="M6" s="474">
        <f t="shared" ref="M6:M10" si="1">L6-G6</f>
        <v>7030046.9734722711</v>
      </c>
      <c r="N6" s="383">
        <f>M6+N5</f>
        <v>3460373.5383112682</v>
      </c>
      <c r="O6" s="2"/>
      <c r="P6" s="2"/>
      <c r="Q6" s="2"/>
      <c r="R6" s="2"/>
      <c r="S6" s="2"/>
      <c r="T6" s="2"/>
      <c r="U6" s="2"/>
      <c r="V6" s="2"/>
      <c r="W6" s="2"/>
      <c r="X6" s="2"/>
      <c r="Y6" s="4"/>
      <c r="Z6" s="4"/>
    </row>
    <row r="7" spans="1:26" ht="12.75" customHeight="1">
      <c r="A7" s="100">
        <v>2</v>
      </c>
      <c r="B7" s="476"/>
      <c r="C7" s="387">
        <f>+'F- CFyU'!D16</f>
        <v>471811.93230547942</v>
      </c>
      <c r="D7" s="387">
        <f>'F-IVA'!D17</f>
        <v>5561.1923535000014</v>
      </c>
      <c r="E7" s="262">
        <f>'F-CRes'!C12</f>
        <v>2111045.2151589664</v>
      </c>
      <c r="F7" s="262">
        <f>'F-CRes'!C13</f>
        <v>9235822.8163204771</v>
      </c>
      <c r="G7" s="387">
        <f t="shared" si="0"/>
        <v>11824241.156138424</v>
      </c>
      <c r="H7" s="262">
        <f>'F-CRes'!C11</f>
        <v>26388065.189487077</v>
      </c>
      <c r="I7" s="387">
        <f>'F-Cred'!G27</f>
        <v>370391.80950474855</v>
      </c>
      <c r="J7" s="387">
        <f>'F- CFyU'!D26</f>
        <v>257563.96884312158</v>
      </c>
      <c r="K7" s="262">
        <f>'F- CFyU'!D11</f>
        <v>5561.1923535000014</v>
      </c>
      <c r="L7" s="262">
        <f t="shared" ref="L7:L10" si="2">SUM(H7:K7)</f>
        <v>27021582.160188444</v>
      </c>
      <c r="M7" s="474">
        <f t="shared" si="1"/>
        <v>15197341.00405002</v>
      </c>
      <c r="N7" s="383">
        <f>M7+N6</f>
        <v>18657714.542361289</v>
      </c>
      <c r="O7" s="2"/>
      <c r="P7" s="2"/>
      <c r="Q7" s="2"/>
      <c r="R7" s="2"/>
      <c r="S7" s="2"/>
      <c r="T7" s="2"/>
      <c r="U7" s="2"/>
      <c r="V7" s="2"/>
      <c r="W7" s="2"/>
      <c r="X7" s="2"/>
      <c r="Y7" s="4"/>
      <c r="Z7" s="4"/>
    </row>
    <row r="8" spans="1:26" ht="12.75" customHeight="1">
      <c r="A8" s="100">
        <v>3</v>
      </c>
      <c r="B8" s="476"/>
      <c r="C8" s="387">
        <f>+'F- CFyU'!E16</f>
        <v>0</v>
      </c>
      <c r="D8" s="387">
        <f>'F-IVA'!E17</f>
        <v>0</v>
      </c>
      <c r="E8" s="262">
        <f>'F-CRes'!D12</f>
        <v>2117218.0505670696</v>
      </c>
      <c r="F8" s="262">
        <f>'F-CRes'!D13</f>
        <v>9262828.9712309279</v>
      </c>
      <c r="G8" s="387">
        <f t="shared" si="0"/>
        <v>11380047.021797998</v>
      </c>
      <c r="H8" s="262">
        <f>'F-CRes'!D11</f>
        <v>26465225.632088367</v>
      </c>
      <c r="I8" s="387">
        <f>'F-Cred'!G29</f>
        <v>289351.68980345718</v>
      </c>
      <c r="J8" s="387">
        <f>'F- CFyU'!E26</f>
        <v>257563.96884312158</v>
      </c>
      <c r="K8" s="262">
        <f>'F- CFyU'!E11</f>
        <v>0</v>
      </c>
      <c r="L8" s="262">
        <f t="shared" si="2"/>
        <v>27012141.290734947</v>
      </c>
      <c r="M8" s="474">
        <f t="shared" si="1"/>
        <v>15632094.268936949</v>
      </c>
      <c r="N8" s="383">
        <f>M8+N7</f>
        <v>34289808.811298236</v>
      </c>
      <c r="O8" s="2"/>
      <c r="P8" s="2"/>
      <c r="Q8" s="2"/>
      <c r="R8" s="2"/>
      <c r="S8" s="2"/>
      <c r="T8" s="2"/>
      <c r="U8" s="2"/>
      <c r="V8" s="2"/>
      <c r="W8" s="2"/>
      <c r="X8" s="2"/>
      <c r="Y8" s="4"/>
      <c r="Z8" s="4"/>
    </row>
    <row r="9" spans="1:26" ht="12.75" customHeight="1">
      <c r="A9" s="100">
        <v>4</v>
      </c>
      <c r="B9" s="476"/>
      <c r="C9" s="387">
        <f>+'F- CFyU'!F16</f>
        <v>0</v>
      </c>
      <c r="D9" s="387">
        <f>'F-IVA'!F17</f>
        <v>0</v>
      </c>
      <c r="E9" s="262">
        <f>'F-CRes'!E12</f>
        <v>2125862.3300018739</v>
      </c>
      <c r="F9" s="262">
        <f>'F-CRes'!E13</f>
        <v>9300647.6937581971</v>
      </c>
      <c r="G9" s="387">
        <f t="shared" si="0"/>
        <v>11426510.023760071</v>
      </c>
      <c r="H9" s="262">
        <f>'F-CRes'!E11</f>
        <v>26573279.125023421</v>
      </c>
      <c r="I9" s="387">
        <f>'F-Cred'!G31</f>
        <v>181298.19686840201</v>
      </c>
      <c r="J9" s="387">
        <f>'F- CFyU'!F26</f>
        <v>257563.96884312158</v>
      </c>
      <c r="K9" s="262">
        <f>'F- CFyU'!F11</f>
        <v>0</v>
      </c>
      <c r="L9" s="262">
        <f t="shared" si="2"/>
        <v>27012141.290734943</v>
      </c>
      <c r="M9" s="474">
        <f t="shared" si="1"/>
        <v>15585631.266974872</v>
      </c>
      <c r="N9" s="383">
        <f>M9+N8</f>
        <v>49875440.07827311</v>
      </c>
      <c r="O9" s="2"/>
      <c r="P9" s="2"/>
      <c r="Q9" s="2"/>
      <c r="R9" s="2"/>
      <c r="S9" s="2"/>
      <c r="T9" s="2"/>
      <c r="U9" s="2"/>
      <c r="V9" s="2"/>
      <c r="W9" s="2"/>
      <c r="X9" s="2"/>
      <c r="Y9" s="4"/>
      <c r="Z9" s="4"/>
    </row>
    <row r="10" spans="1:26" ht="12.75" customHeight="1">
      <c r="A10" s="100">
        <v>5</v>
      </c>
      <c r="B10" s="476">
        <f>-'E-Inv AF y Am'!F57</f>
        <v>-1185833.3333333335</v>
      </c>
      <c r="C10" s="387">
        <f>-SUM(C5:C9)</f>
        <v>-8069121.3059543725</v>
      </c>
      <c r="D10" s="387">
        <f>'F-IVA'!G17</f>
        <v>0</v>
      </c>
      <c r="E10" s="262">
        <f>'F-CRes'!F12</f>
        <v>2134506.6094366782</v>
      </c>
      <c r="F10" s="262">
        <f>'F-CRes'!F13</f>
        <v>9338466.4162854664</v>
      </c>
      <c r="G10" s="387">
        <f t="shared" si="0"/>
        <v>2218018.3864344377</v>
      </c>
      <c r="H10" s="262">
        <f>'F-CRes'!F11</f>
        <v>26681332.617958475</v>
      </c>
      <c r="I10" s="387">
        <f>'F-Cred'!G33</f>
        <v>73244.703933346871</v>
      </c>
      <c r="J10" s="387">
        <f>'F- CFyU'!G26</f>
        <v>257563.96884312158</v>
      </c>
      <c r="K10" s="262">
        <f>'F- CFyU'!G11</f>
        <v>0</v>
      </c>
      <c r="L10" s="262">
        <f t="shared" si="2"/>
        <v>27012141.290734943</v>
      </c>
      <c r="M10" s="474">
        <f t="shared" si="1"/>
        <v>24794122.904300503</v>
      </c>
      <c r="N10" s="383">
        <f>M10+N9</f>
        <v>74669562.982573614</v>
      </c>
      <c r="O10" s="2"/>
      <c r="P10" s="2"/>
      <c r="Q10" s="2"/>
      <c r="R10" s="2"/>
      <c r="S10" s="2"/>
      <c r="T10" s="2"/>
      <c r="U10" s="2"/>
      <c r="V10" s="2"/>
      <c r="W10" s="2"/>
      <c r="X10" s="2"/>
      <c r="Y10" s="4"/>
      <c r="Z10" s="4"/>
    </row>
    <row r="11" spans="1:26" ht="12.75" customHeight="1">
      <c r="A11" s="100"/>
      <c r="B11" s="476"/>
      <c r="C11" s="262"/>
      <c r="D11" s="262"/>
      <c r="E11" s="262"/>
      <c r="F11" s="262"/>
      <c r="G11" s="262"/>
      <c r="H11" s="262"/>
      <c r="I11" s="262"/>
      <c r="J11" s="262"/>
      <c r="K11" s="262"/>
      <c r="L11" s="262"/>
      <c r="M11" s="385"/>
      <c r="N11" s="383"/>
      <c r="O11" s="2"/>
      <c r="P11" s="2"/>
      <c r="Q11" s="2"/>
      <c r="R11" s="2"/>
      <c r="S11" s="2"/>
      <c r="T11" s="2"/>
      <c r="U11" s="2"/>
      <c r="V11" s="2"/>
      <c r="W11" s="2"/>
      <c r="X11" s="2"/>
      <c r="Y11" s="4"/>
      <c r="Z11" s="4"/>
    </row>
    <row r="12" spans="1:26" ht="12.75" customHeight="1">
      <c r="A12" s="103" t="s">
        <v>284</v>
      </c>
      <c r="B12" s="477">
        <f>SUM(B5:B11)</f>
        <v>1287819.8442156077</v>
      </c>
      <c r="C12" s="478">
        <f>SUM(C5:C11)</f>
        <v>0</v>
      </c>
      <c r="D12" s="478">
        <f>SUM(D5:D11)</f>
        <v>1389150.3707420316</v>
      </c>
      <c r="E12" s="478">
        <f>SUM(E5:E11)</f>
        <v>10301795.819863221</v>
      </c>
      <c r="F12" s="478">
        <f t="shared" ref="F12:L12" si="3">SUM(F5:F11)</f>
        <v>45070356.71190159</v>
      </c>
      <c r="G12" s="478">
        <f t="shared" si="3"/>
        <v>58049122.746722445</v>
      </c>
      <c r="H12" s="478">
        <f t="shared" si="3"/>
        <v>128772447.74829024</v>
      </c>
      <c r="I12" s="478">
        <f>SUM(I6:I11)</f>
        <v>1269267.7660481753</v>
      </c>
      <c r="J12" s="478">
        <f t="shared" si="3"/>
        <v>1287819.844215608</v>
      </c>
      <c r="K12" s="478">
        <f t="shared" si="3"/>
        <v>1389150.3707420316</v>
      </c>
      <c r="L12" s="478">
        <f t="shared" si="3"/>
        <v>132718685.72929606</v>
      </c>
      <c r="M12" s="478">
        <f>L12-G12</f>
        <v>74669562.982573614</v>
      </c>
      <c r="N12" s="478">
        <f>M12+N11</f>
        <v>74669562.982573614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4"/>
      <c r="Z12" s="4"/>
    </row>
    <row r="13" spans="1:26" ht="12.75" customHeight="1">
      <c r="A13" s="2"/>
      <c r="B13" s="2"/>
      <c r="C13" s="2"/>
      <c r="D13" s="2"/>
      <c r="E13" s="2"/>
      <c r="F13" s="2"/>
      <c r="G13" s="2"/>
      <c r="H13" s="2"/>
      <c r="I13" s="251"/>
      <c r="J13" s="251"/>
      <c r="K13" s="256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4"/>
      <c r="Z13" s="4"/>
    </row>
    <row r="14" spans="1:26" ht="12.75" customHeight="1">
      <c r="A14" s="2"/>
      <c r="B14" s="2"/>
      <c r="C14" s="479" t="s">
        <v>285</v>
      </c>
      <c r="D14" s="480">
        <f>H12+I12-E12-F12</f>
        <v>74669562.982573614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4"/>
      <c r="Z14" s="4"/>
    </row>
    <row r="15" spans="1:26" ht="12.75" customHeight="1">
      <c r="A15" s="28"/>
      <c r="B15" s="2"/>
      <c r="C15" s="479" t="s">
        <v>287</v>
      </c>
      <c r="D15" s="481" t="str">
        <f>CONCATENATE(H15," días")</f>
        <v>186 días</v>
      </c>
      <c r="E15" s="215"/>
      <c r="F15" s="109"/>
      <c r="G15" s="379">
        <f>A5+(-N5/M6)*365</f>
        <v>185.33742502010969</v>
      </c>
      <c r="H15" s="379">
        <f>ROUNDUP(G15,0)</f>
        <v>186</v>
      </c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4"/>
      <c r="Z15" s="4"/>
    </row>
    <row r="16" spans="1:26" ht="12.75" customHeight="1">
      <c r="A16" s="2"/>
      <c r="B16" s="2"/>
      <c r="C16" s="479" t="s">
        <v>454</v>
      </c>
      <c r="D16" s="482">
        <f>IRR(M5:M10)</f>
        <v>2.6151598386057544</v>
      </c>
      <c r="E16" s="2"/>
      <c r="F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4"/>
      <c r="Z16" s="4"/>
    </row>
    <row r="17" spans="1:26" ht="12.75" customHeight="1">
      <c r="A17" s="109"/>
      <c r="B17" s="106"/>
      <c r="C17" s="155" t="s">
        <v>568</v>
      </c>
      <c r="D17" s="483">
        <f>NPV(D39,M6:M10)+M5</f>
        <v>41693297.200650476</v>
      </c>
      <c r="E17" s="106"/>
      <c r="F17" s="110"/>
      <c r="G17" s="110"/>
      <c r="H17" s="110"/>
      <c r="I17" s="110"/>
      <c r="J17" s="106"/>
      <c r="K17" s="110"/>
      <c r="L17" s="110"/>
      <c r="M17" s="110"/>
      <c r="N17" s="110"/>
      <c r="O17" s="106"/>
      <c r="P17" s="2"/>
      <c r="Q17" s="2"/>
      <c r="R17" s="2"/>
      <c r="S17" s="2"/>
      <c r="T17" s="2"/>
      <c r="U17" s="2"/>
      <c r="V17" s="2"/>
      <c r="W17" s="2"/>
      <c r="X17" s="2"/>
      <c r="Y17" s="4"/>
      <c r="Z17" s="4"/>
    </row>
    <row r="18" spans="1:26" ht="15.75" customHeight="1">
      <c r="A18" s="111"/>
      <c r="B18" s="110"/>
      <c r="C18" s="112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2"/>
      <c r="P18" s="2"/>
      <c r="Q18" s="2"/>
      <c r="R18" s="2"/>
      <c r="S18" s="2"/>
      <c r="T18" s="2"/>
      <c r="U18" s="2"/>
      <c r="V18" s="2"/>
      <c r="W18" s="2"/>
      <c r="X18" s="2"/>
      <c r="Y18" s="4"/>
      <c r="Z18" s="4"/>
    </row>
    <row r="19" spans="1:26" ht="12.75" customHeight="1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4"/>
      <c r="Z19" s="4"/>
    </row>
    <row r="20" spans="1:26" ht="12.75" customHeight="1">
      <c r="A20" s="11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4"/>
      <c r="Z20" s="4"/>
    </row>
    <row r="21" spans="1:26" ht="15.75" customHeight="1">
      <c r="A21" s="424" t="s">
        <v>455</v>
      </c>
      <c r="B21" s="425"/>
      <c r="C21" s="425"/>
      <c r="D21" s="425"/>
      <c r="E21" s="425"/>
      <c r="F21" s="425"/>
      <c r="G21" s="425"/>
      <c r="H21" s="426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4"/>
      <c r="Z21" s="4"/>
    </row>
    <row r="22" spans="1:26" ht="38.25" customHeight="1">
      <c r="A22" s="430" t="s">
        <v>242</v>
      </c>
      <c r="B22" s="431" t="s">
        <v>456</v>
      </c>
      <c r="C22" s="431" t="s">
        <v>247</v>
      </c>
      <c r="D22" s="431" t="s">
        <v>415</v>
      </c>
      <c r="E22" s="431" t="s">
        <v>457</v>
      </c>
      <c r="F22" s="431" t="s">
        <v>251</v>
      </c>
      <c r="G22" s="449" t="s">
        <v>252</v>
      </c>
      <c r="H22" s="450" t="s">
        <v>253</v>
      </c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4"/>
      <c r="Z22" s="4"/>
    </row>
    <row r="23" spans="1:26" ht="12.75" customHeight="1">
      <c r="A23" s="484">
        <v>0</v>
      </c>
      <c r="B23" s="472">
        <f>'F-2 Estructura'!B31</f>
        <v>2411957.4394282689</v>
      </c>
      <c r="C23" s="387">
        <f>B23</f>
        <v>2411957.4394282689</v>
      </c>
      <c r="D23" s="387">
        <v>0</v>
      </c>
      <c r="E23" s="387">
        <f>'F- CFyU'!B$29</f>
        <v>0</v>
      </c>
      <c r="F23" s="387">
        <f>SUM(D23:E23)</f>
        <v>0</v>
      </c>
      <c r="G23" s="474">
        <f>F23-C23</f>
        <v>-2411957.4394282689</v>
      </c>
      <c r="H23" s="475">
        <f>+G23</f>
        <v>-2411957.4394282689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4"/>
      <c r="Z23" s="4"/>
    </row>
    <row r="24" spans="1:26" ht="12.75" customHeight="1">
      <c r="A24" s="485">
        <v>1</v>
      </c>
      <c r="B24" s="472">
        <f>'F-2 Estructura'!C31</f>
        <v>5967590.4661189625</v>
      </c>
      <c r="C24" s="387">
        <f t="shared" ref="C24:C27" si="4">B24</f>
        <v>5967590.4661189625</v>
      </c>
      <c r="D24" s="387">
        <v>0</v>
      </c>
      <c r="E24" s="262">
        <f>'F- CFyU'!C29</f>
        <v>13642656.073653001</v>
      </c>
      <c r="F24" s="387">
        <f t="shared" ref="F24:F28" si="5">SUM(D24:E24)</f>
        <v>13642656.073653001</v>
      </c>
      <c r="G24" s="474">
        <f t="shared" ref="G24:G28" si="6">F24-C24</f>
        <v>7675065.6075340388</v>
      </c>
      <c r="H24" s="383">
        <f>G24+H23</f>
        <v>5263108.1681057699</v>
      </c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4"/>
      <c r="Z24" s="4"/>
    </row>
    <row r="25" spans="1:26" ht="12.75" customHeight="1">
      <c r="A25" s="485">
        <v>2</v>
      </c>
      <c r="B25" s="476"/>
      <c r="C25" s="387">
        <f t="shared" si="4"/>
        <v>0</v>
      </c>
      <c r="D25" s="387">
        <v>0</v>
      </c>
      <c r="E25" s="262">
        <f>'F- CFyU'!D29</f>
        <v>14633996.528589815</v>
      </c>
      <c r="F25" s="387">
        <f t="shared" si="5"/>
        <v>14633996.528589815</v>
      </c>
      <c r="G25" s="474">
        <f t="shared" si="6"/>
        <v>14633996.528589815</v>
      </c>
      <c r="H25" s="383">
        <f>G25+H24</f>
        <v>19897104.696695585</v>
      </c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4"/>
      <c r="Z25" s="4"/>
    </row>
    <row r="26" spans="1:26" ht="12.75" customHeight="1">
      <c r="A26" s="485">
        <v>3</v>
      </c>
      <c r="B26" s="476"/>
      <c r="C26" s="387">
        <f t="shared" si="4"/>
        <v>0</v>
      </c>
      <c r="D26" s="387">
        <v>0</v>
      </c>
      <c r="E26" s="262">
        <f>'F- CFyU'!E29</f>
        <v>14956837.247222576</v>
      </c>
      <c r="F26" s="387">
        <f t="shared" si="5"/>
        <v>14956837.247222576</v>
      </c>
      <c r="G26" s="474">
        <f t="shared" si="6"/>
        <v>14956837.247222576</v>
      </c>
      <c r="H26" s="383">
        <f>G26+H25</f>
        <v>34853941.943918161</v>
      </c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4"/>
      <c r="Z26" s="4"/>
    </row>
    <row r="27" spans="1:26" ht="12.75" customHeight="1">
      <c r="A27" s="485">
        <v>4</v>
      </c>
      <c r="B27" s="476"/>
      <c r="C27" s="387">
        <f t="shared" si="4"/>
        <v>0</v>
      </c>
      <c r="D27" s="387">
        <v>0</v>
      </c>
      <c r="E27" s="262">
        <f>'F- CFyU'!F29</f>
        <v>15018427.738195568</v>
      </c>
      <c r="F27" s="387">
        <f t="shared" si="5"/>
        <v>15018427.738195568</v>
      </c>
      <c r="G27" s="474">
        <f t="shared" si="6"/>
        <v>15018427.738195568</v>
      </c>
      <c r="H27" s="383">
        <f>G27+H26</f>
        <v>49872369.682113729</v>
      </c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4"/>
      <c r="Z27" s="4"/>
    </row>
    <row r="28" spans="1:26" ht="12.75" customHeight="1">
      <c r="A28" s="485">
        <v>5</v>
      </c>
      <c r="B28" s="476">
        <f>+B10+C10+'F- CFyU'!H8</f>
        <v>-8254954.6392877065</v>
      </c>
      <c r="C28" s="262">
        <f>B28</f>
        <v>-8254954.6392877065</v>
      </c>
      <c r="D28" s="387">
        <v>0</v>
      </c>
      <c r="E28" s="262">
        <f>'F- CFyU'!G29</f>
        <v>15272970.895123996</v>
      </c>
      <c r="F28" s="387">
        <f t="shared" si="5"/>
        <v>15272970.895123996</v>
      </c>
      <c r="G28" s="474">
        <f t="shared" si="6"/>
        <v>23527925.534411702</v>
      </c>
      <c r="H28" s="486">
        <f>G28+H27</f>
        <v>73400295.216525435</v>
      </c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4"/>
      <c r="Z28" s="4"/>
    </row>
    <row r="29" spans="1:26" ht="12.75" customHeight="1">
      <c r="A29" s="485"/>
      <c r="B29" s="473"/>
      <c r="C29" s="262"/>
      <c r="D29" s="262"/>
      <c r="E29" s="262"/>
      <c r="F29" s="262"/>
      <c r="G29" s="385"/>
      <c r="H29" s="383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4"/>
      <c r="Z29" s="4"/>
    </row>
    <row r="30" spans="1:26" ht="12.75" customHeight="1">
      <c r="A30" s="487" t="s">
        <v>284</v>
      </c>
      <c r="B30" s="488">
        <f>SUM(B23:B28)</f>
        <v>124593.26625952497</v>
      </c>
      <c r="C30" s="488">
        <f t="shared" ref="C30:G30" si="7">SUM(C23:C28)</f>
        <v>124593.26625952497</v>
      </c>
      <c r="D30" s="488">
        <f t="shared" si="7"/>
        <v>0</v>
      </c>
      <c r="E30" s="488">
        <f t="shared" si="7"/>
        <v>73524888.482784957</v>
      </c>
      <c r="F30" s="488">
        <f t="shared" si="7"/>
        <v>73524888.482784957</v>
      </c>
      <c r="G30" s="488">
        <f t="shared" si="7"/>
        <v>73400295.216525435</v>
      </c>
      <c r="H30" s="489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4"/>
      <c r="Z30" s="4"/>
    </row>
    <row r="31" spans="1:26" ht="12.75" customHeight="1">
      <c r="A31" s="256"/>
      <c r="B31" s="490"/>
      <c r="C31" s="256"/>
      <c r="D31" s="256"/>
      <c r="E31" s="256"/>
      <c r="F31" s="256"/>
      <c r="G31" s="256"/>
      <c r="H31" s="256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4"/>
      <c r="Z31" s="4"/>
    </row>
    <row r="32" spans="1:26" ht="12.75" customHeight="1">
      <c r="A32" s="2"/>
      <c r="B32" s="2"/>
      <c r="C32" s="256"/>
      <c r="D32" s="256"/>
      <c r="E32" s="256"/>
      <c r="F32" s="256"/>
      <c r="G32" s="256"/>
      <c r="H32" s="256"/>
      <c r="I32" s="256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4"/>
      <c r="Z32" s="4"/>
    </row>
    <row r="33" spans="1:26" ht="12.75" customHeight="1">
      <c r="A33" s="2"/>
      <c r="B33" s="2"/>
      <c r="C33" s="479" t="s">
        <v>285</v>
      </c>
      <c r="D33" s="491">
        <f>G30</f>
        <v>73400295.216525435</v>
      </c>
      <c r="E33" s="256" t="s">
        <v>458</v>
      </c>
      <c r="F33" s="256"/>
      <c r="G33" s="256"/>
      <c r="H33" s="256"/>
      <c r="I33" s="256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4"/>
      <c r="Z33" s="4"/>
    </row>
    <row r="34" spans="1:26" ht="12.75" customHeight="1">
      <c r="A34" s="2"/>
      <c r="B34" s="2"/>
      <c r="C34" s="479" t="s">
        <v>287</v>
      </c>
      <c r="D34" s="492">
        <f>4-(H27/G28)</f>
        <v>1.8802903975035576</v>
      </c>
      <c r="E34" s="256" t="s">
        <v>459</v>
      </c>
      <c r="F34" s="256"/>
      <c r="G34" s="241" t="s">
        <v>569</v>
      </c>
      <c r="H34" s="493">
        <f>(G28/H27)*365</f>
        <v>172.19339836462933</v>
      </c>
      <c r="I34" s="380">
        <f>ROUNDUP(H34,0)</f>
        <v>173</v>
      </c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4"/>
      <c r="Z34" s="4"/>
    </row>
    <row r="35" spans="1:26" ht="12.75" customHeight="1">
      <c r="A35" s="2"/>
      <c r="B35" s="2"/>
      <c r="C35" s="479" t="s">
        <v>460</v>
      </c>
      <c r="D35" s="494">
        <f>IRR(G23:G28)</f>
        <v>3.7929415952032191</v>
      </c>
      <c r="E35" s="256"/>
      <c r="F35" s="256"/>
      <c r="G35" s="256"/>
      <c r="H35" s="256"/>
      <c r="I35" s="256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4"/>
      <c r="Z35" s="4"/>
    </row>
    <row r="36" spans="1:26" ht="12.75" customHeight="1">
      <c r="A36" s="2"/>
      <c r="B36" s="2"/>
      <c r="C36" s="479" t="s">
        <v>568</v>
      </c>
      <c r="D36" s="495">
        <f>NPV(D39,G24:G28)+G23</f>
        <v>41736047.846139498</v>
      </c>
      <c r="E36" s="256"/>
      <c r="F36" s="256"/>
      <c r="G36" s="256"/>
      <c r="H36" s="256"/>
      <c r="I36" s="256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4"/>
      <c r="Z36" s="4"/>
    </row>
    <row r="37" spans="1:26" ht="12.75">
      <c r="A37" s="4"/>
      <c r="B37" s="4"/>
      <c r="C37" s="496"/>
      <c r="D37" s="496"/>
      <c r="E37" s="496"/>
      <c r="F37" s="496"/>
      <c r="G37" s="496"/>
      <c r="H37" s="496"/>
      <c r="I37" s="496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>
      <c r="A38" s="4"/>
      <c r="B38" s="4"/>
      <c r="C38" s="497" t="s">
        <v>570</v>
      </c>
      <c r="D38" s="252">
        <f>'F-Cred'!H25</f>
        <v>0.19457615622774815</v>
      </c>
      <c r="E38" s="259"/>
      <c r="F38" s="496"/>
      <c r="G38" s="496"/>
      <c r="H38" s="496"/>
      <c r="I38" s="496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>
      <c r="A39" s="4"/>
      <c r="B39" s="4"/>
      <c r="C39" s="497" t="s">
        <v>571</v>
      </c>
      <c r="D39" s="252">
        <v>0.18</v>
      </c>
      <c r="E39" s="259"/>
      <c r="F39" s="496"/>
      <c r="G39" s="257" t="s">
        <v>572</v>
      </c>
      <c r="H39" s="498">
        <f>D35/D16</f>
        <v>1.4503670250707839</v>
      </c>
      <c r="I39" s="259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>
      <c r="A40" s="4"/>
      <c r="B40" s="4"/>
      <c r="C40" s="497" t="s">
        <v>573</v>
      </c>
      <c r="D40" s="252">
        <f>D38*'F-Cred'!M13+'F-Cred'!M14*'F- Form'!D39</f>
        <v>0.18311034763918274</v>
      </c>
      <c r="E40" s="259"/>
      <c r="F40" s="496"/>
      <c r="G40" s="496"/>
      <c r="H40" s="496"/>
      <c r="I40" s="496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>
      <c r="A41" s="4"/>
      <c r="B41" s="4"/>
      <c r="C41" s="496"/>
      <c r="D41" s="496"/>
      <c r="E41" s="496"/>
      <c r="F41" s="496"/>
      <c r="G41" s="496"/>
      <c r="H41" s="496"/>
      <c r="I41" s="496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>
      <c r="A42" s="4"/>
      <c r="B42" s="4"/>
      <c r="C42" s="496"/>
      <c r="D42" s="496"/>
      <c r="E42" s="496"/>
      <c r="F42" s="496"/>
      <c r="G42" s="496"/>
      <c r="H42" s="496"/>
      <c r="I42" s="496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>
      <c r="A43" s="4"/>
      <c r="B43" s="4"/>
      <c r="C43" s="496"/>
      <c r="D43" s="499" t="s">
        <v>636</v>
      </c>
      <c r="E43" s="232"/>
      <c r="F43" s="496"/>
      <c r="G43" s="496"/>
      <c r="H43" s="496"/>
      <c r="I43" s="496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>
      <c r="A44" s="4"/>
      <c r="B44" s="4"/>
      <c r="C44" s="496"/>
      <c r="D44" s="500">
        <f>'F-CRes'!G14</f>
        <v>73400295.21652545</v>
      </c>
      <c r="E44" s="233" t="s">
        <v>637</v>
      </c>
      <c r="F44" s="496"/>
      <c r="G44" s="496"/>
      <c r="H44" s="496"/>
      <c r="I44" s="496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>
      <c r="A45" s="4"/>
      <c r="B45" s="4"/>
      <c r="C45" s="255"/>
      <c r="D45" s="500">
        <f>N10-I12</f>
        <v>73400295.216525435</v>
      </c>
      <c r="E45" s="233" t="s">
        <v>638</v>
      </c>
      <c r="F45" s="496"/>
      <c r="G45" s="496"/>
      <c r="H45" s="496"/>
      <c r="I45" s="496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>
      <c r="A46" s="4"/>
      <c r="B46" s="4"/>
      <c r="C46" s="496"/>
      <c r="D46" s="500">
        <f>'F-Balance'!G33+'F-Balance'!G34</f>
        <v>73400295.21652545</v>
      </c>
      <c r="E46" s="233" t="s">
        <v>639</v>
      </c>
      <c r="F46" s="496"/>
      <c r="G46" s="496"/>
      <c r="H46" s="496"/>
      <c r="I46" s="496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>
      <c r="A47" s="4"/>
      <c r="B47" s="4"/>
      <c r="C47" s="496"/>
      <c r="D47" s="500">
        <f>H12-F12-E12</f>
        <v>73400295.216525435</v>
      </c>
      <c r="E47" s="234" t="s">
        <v>640</v>
      </c>
      <c r="F47" s="496"/>
      <c r="G47" s="496"/>
      <c r="H47" s="496"/>
      <c r="I47" s="496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>
      <c r="A48" s="4"/>
      <c r="B48" s="4"/>
      <c r="C48" s="501"/>
      <c r="D48" s="500">
        <f>'F- CFyU'!H28+'F- CFyU'!H15+'F- CFyU'!H16-'F- CFyU'!H7-'F- CFyU'!H8-'F- CFyU'!H26</f>
        <v>73400295.216525391</v>
      </c>
      <c r="E48" s="235" t="s">
        <v>641</v>
      </c>
      <c r="F48" s="496"/>
      <c r="G48" s="496"/>
      <c r="H48" s="496"/>
      <c r="I48" s="496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>
      <c r="A49" s="4"/>
      <c r="B49" s="4"/>
      <c r="C49" s="496"/>
      <c r="D49" s="502"/>
      <c r="E49" s="496"/>
      <c r="F49" s="496"/>
      <c r="G49" s="496"/>
      <c r="H49" s="496"/>
      <c r="I49" s="496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>
      <c r="A50" s="4"/>
      <c r="B50" s="4"/>
      <c r="C50" s="496"/>
      <c r="D50" s="375"/>
      <c r="E50" s="235"/>
      <c r="F50" s="496"/>
      <c r="G50" s="496"/>
      <c r="H50" s="496"/>
      <c r="I50" s="496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pageMargins left="0.75" right="0.75" top="1" bottom="1" header="0.5" footer="0.5"/>
  <pageSetup paperSize="9" orientation="portrait" verticalDpi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workbookViewId="0">
      <selection activeCell="A2" sqref="A2:C2"/>
    </sheetView>
  </sheetViews>
  <sheetFormatPr baseColWidth="10" defaultRowHeight="12.75"/>
  <cols>
    <col min="1" max="1" width="28" customWidth="1"/>
    <col min="2" max="2" width="12.85546875" bestFit="1" customWidth="1"/>
    <col min="3" max="3" width="22.42578125" bestFit="1" customWidth="1"/>
    <col min="4" max="4" width="19.85546875" customWidth="1"/>
    <col min="5" max="5" width="18.7109375" bestFit="1" customWidth="1"/>
    <col min="6" max="6" width="14" bestFit="1" customWidth="1"/>
    <col min="8" max="8" width="12.42578125" bestFit="1" customWidth="1"/>
  </cols>
  <sheetData>
    <row r="1" spans="1:12" ht="15">
      <c r="D1" s="182"/>
      <c r="E1" s="182"/>
      <c r="F1" s="182"/>
      <c r="G1" s="182"/>
      <c r="H1" s="182"/>
      <c r="I1" s="182"/>
      <c r="J1" s="182"/>
      <c r="K1" s="182"/>
      <c r="L1" s="182"/>
    </row>
    <row r="2" spans="1:12" ht="15.75">
      <c r="A2" s="634" t="s">
        <v>590</v>
      </c>
      <c r="B2" s="635"/>
      <c r="C2" s="635"/>
      <c r="D2" s="182"/>
      <c r="E2" s="182"/>
      <c r="F2" s="182"/>
      <c r="G2" s="182"/>
      <c r="H2" s="182"/>
      <c r="I2" s="182"/>
      <c r="J2" s="182"/>
      <c r="K2" s="182"/>
      <c r="L2" s="182"/>
    </row>
    <row r="3" spans="1:12" ht="15">
      <c r="A3" s="636"/>
      <c r="B3" s="635"/>
      <c r="C3" s="635"/>
      <c r="D3" s="183"/>
      <c r="E3" s="182"/>
      <c r="F3" s="182"/>
      <c r="G3" s="182"/>
      <c r="H3" s="182"/>
      <c r="I3" s="182"/>
      <c r="J3" s="182"/>
      <c r="K3" s="182"/>
      <c r="L3" s="182"/>
    </row>
    <row r="4" spans="1:12" ht="15">
      <c r="A4" s="182"/>
      <c r="B4" s="182"/>
      <c r="C4" s="182"/>
      <c r="D4" s="182"/>
      <c r="E4" s="182"/>
      <c r="F4" s="182"/>
      <c r="G4" s="182"/>
      <c r="H4" s="182"/>
      <c r="I4" s="182"/>
      <c r="J4" s="182"/>
      <c r="K4" s="182"/>
      <c r="L4" s="182"/>
    </row>
    <row r="5" spans="1:12" ht="13.5" thickBot="1"/>
    <row r="6" spans="1:12" ht="15">
      <c r="A6" s="184" t="s">
        <v>591</v>
      </c>
      <c r="B6" s="185" t="s">
        <v>592</v>
      </c>
      <c r="C6" s="186"/>
      <c r="D6" s="186"/>
      <c r="E6" s="186"/>
      <c r="F6" s="186"/>
      <c r="G6" s="186"/>
      <c r="H6" s="186"/>
      <c r="I6" s="186"/>
      <c r="J6" s="186"/>
      <c r="K6" s="186"/>
      <c r="L6" s="187"/>
    </row>
    <row r="7" spans="1:12" ht="15">
      <c r="A7" s="188" t="s">
        <v>593</v>
      </c>
      <c r="B7" s="246" t="s">
        <v>594</v>
      </c>
      <c r="C7" s="190">
        <v>0.5</v>
      </c>
      <c r="D7" s="191" t="s">
        <v>595</v>
      </c>
      <c r="E7" s="182"/>
      <c r="F7" s="182"/>
      <c r="G7" s="182"/>
      <c r="H7" s="182"/>
      <c r="I7" s="182"/>
      <c r="J7" s="182"/>
      <c r="K7" s="182"/>
      <c r="L7" s="192"/>
    </row>
    <row r="8" spans="1:12" ht="15">
      <c r="A8" s="188" t="s">
        <v>596</v>
      </c>
      <c r="B8" s="193">
        <f>'E-Inv AF y Am'!F33</f>
        <v>2315431.9914654675</v>
      </c>
      <c r="C8" s="182"/>
      <c r="D8" s="249" t="s">
        <v>597</v>
      </c>
      <c r="E8" s="246"/>
      <c r="F8" s="194">
        <f>B8*C7</f>
        <v>1157715.9957327337</v>
      </c>
      <c r="G8" s="182"/>
      <c r="H8" s="182"/>
      <c r="I8" s="182"/>
      <c r="J8" s="182"/>
      <c r="K8" s="182"/>
      <c r="L8" s="192"/>
    </row>
    <row r="9" spans="1:12" ht="15">
      <c r="A9" s="188" t="s">
        <v>598</v>
      </c>
      <c r="B9" s="245" t="s">
        <v>599</v>
      </c>
      <c r="C9" s="246"/>
      <c r="D9" s="246"/>
      <c r="E9" s="246"/>
      <c r="F9" s="246"/>
      <c r="G9" s="246"/>
      <c r="H9" s="246"/>
      <c r="I9" s="246"/>
      <c r="J9" s="246"/>
      <c r="K9" s="182"/>
      <c r="L9" s="192"/>
    </row>
    <row r="10" spans="1:12" ht="15">
      <c r="A10" s="188" t="s">
        <v>600</v>
      </c>
      <c r="B10" s="245" t="s">
        <v>601</v>
      </c>
      <c r="C10" s="246"/>
      <c r="D10" s="246"/>
      <c r="E10" s="246"/>
      <c r="F10" s="195">
        <f>InfoInicial!B35/2</f>
        <v>0.14000000000000001</v>
      </c>
      <c r="G10" s="245" t="s">
        <v>602</v>
      </c>
      <c r="H10" s="245"/>
      <c r="I10" s="245"/>
      <c r="J10" s="245"/>
      <c r="K10" s="245"/>
      <c r="L10" s="250"/>
    </row>
    <row r="11" spans="1:12" ht="15">
      <c r="A11" s="188" t="s">
        <v>603</v>
      </c>
      <c r="B11" s="245" t="s">
        <v>604</v>
      </c>
      <c r="C11" s="246"/>
      <c r="D11" s="246"/>
      <c r="E11" s="246"/>
      <c r="F11" s="246"/>
      <c r="G11" s="246"/>
      <c r="H11" s="182"/>
      <c r="I11" s="182"/>
      <c r="J11" s="182"/>
      <c r="K11" s="182"/>
      <c r="L11" s="192"/>
    </row>
    <row r="12" spans="1:12" ht="15.75" thickBot="1">
      <c r="A12" s="196" t="s">
        <v>605</v>
      </c>
      <c r="B12" s="197" t="s">
        <v>606</v>
      </c>
      <c r="C12" s="198">
        <v>0.02</v>
      </c>
      <c r="D12" s="247" t="s">
        <v>607</v>
      </c>
      <c r="E12" s="248"/>
      <c r="F12" s="248"/>
      <c r="G12" s="197"/>
      <c r="H12" s="197"/>
      <c r="I12" s="197"/>
      <c r="J12" s="197"/>
      <c r="K12" s="197"/>
      <c r="L12" s="199"/>
    </row>
    <row r="13" spans="1:12" ht="15">
      <c r="A13" s="639" t="s">
        <v>608</v>
      </c>
      <c r="B13" s="640" t="s">
        <v>270</v>
      </c>
      <c r="C13" s="641" t="s">
        <v>609</v>
      </c>
      <c r="D13" s="642" t="s">
        <v>610</v>
      </c>
      <c r="E13" s="641" t="s">
        <v>611</v>
      </c>
      <c r="F13" s="641" t="s">
        <v>612</v>
      </c>
      <c r="G13" s="641" t="s">
        <v>613</v>
      </c>
      <c r="H13" s="637" t="s">
        <v>614</v>
      </c>
      <c r="I13" s="182"/>
      <c r="J13" s="182"/>
      <c r="K13" s="182"/>
      <c r="L13" s="182"/>
    </row>
    <row r="14" spans="1:12" ht="15">
      <c r="A14" s="638"/>
      <c r="B14" s="638"/>
      <c r="C14" s="638"/>
      <c r="D14" s="638"/>
      <c r="E14" s="638"/>
      <c r="F14" s="638"/>
      <c r="G14" s="638"/>
      <c r="H14" s="638"/>
      <c r="I14" s="182"/>
      <c r="J14" s="182"/>
      <c r="K14" s="182"/>
      <c r="L14" s="182"/>
    </row>
    <row r="15" spans="1:12" ht="15">
      <c r="I15" s="182"/>
      <c r="J15" s="182"/>
      <c r="K15" s="182"/>
      <c r="L15" s="182"/>
    </row>
    <row r="16" spans="1:12" ht="15">
      <c r="A16" s="200" t="s">
        <v>615</v>
      </c>
      <c r="B16" s="201">
        <f>F8/3</f>
        <v>385905.33191091125</v>
      </c>
      <c r="C16" s="202"/>
      <c r="D16" s="201"/>
      <c r="E16" s="202"/>
      <c r="F16" s="202"/>
      <c r="G16" s="202">
        <f>B16*C12</f>
        <v>7718.1066382182253</v>
      </c>
      <c r="H16" s="202"/>
      <c r="I16" s="182"/>
      <c r="J16" s="182"/>
      <c r="K16" s="182"/>
      <c r="L16" s="182"/>
    </row>
    <row r="17" spans="1:12" ht="15">
      <c r="A17" s="200" t="s">
        <v>616</v>
      </c>
      <c r="B17" s="201">
        <f>B16*2</f>
        <v>771810.6638218225</v>
      </c>
      <c r="C17" s="202"/>
      <c r="D17" s="201">
        <f>B16*F10/2</f>
        <v>27013.373233763788</v>
      </c>
      <c r="E17" s="202"/>
      <c r="F17" s="202"/>
      <c r="G17" s="202">
        <f>(B17-B16)*C12</f>
        <v>7718.1066382182253</v>
      </c>
      <c r="H17" s="202"/>
      <c r="I17" s="182"/>
      <c r="J17" s="182"/>
      <c r="K17" s="182"/>
      <c r="L17" s="182"/>
    </row>
    <row r="18" spans="1:12" ht="15">
      <c r="A18" s="200" t="s">
        <v>617</v>
      </c>
      <c r="B18" s="201">
        <f>B16*3</f>
        <v>1157715.9957327337</v>
      </c>
      <c r="C18" s="202"/>
      <c r="D18" s="201">
        <f>B17*F10/2</f>
        <v>54026.746467527577</v>
      </c>
      <c r="E18" s="202"/>
      <c r="F18" s="202"/>
      <c r="G18" s="202">
        <f>(B18-B17)*C12</f>
        <v>7718.1066382182253</v>
      </c>
      <c r="H18" s="202"/>
      <c r="I18" s="182"/>
      <c r="J18" s="182"/>
      <c r="K18" s="182"/>
      <c r="L18" s="182"/>
    </row>
    <row r="19" spans="1:12" ht="15.75" thickBot="1">
      <c r="A19" s="200" t="s">
        <v>618</v>
      </c>
      <c r="B19" s="201">
        <f>B18</f>
        <v>1157715.9957327337</v>
      </c>
      <c r="C19" s="202"/>
      <c r="D19" s="203">
        <f>D18</f>
        <v>54026.746467527577</v>
      </c>
      <c r="E19" s="202"/>
      <c r="F19" s="204"/>
      <c r="G19" s="204"/>
      <c r="H19" s="204"/>
      <c r="I19" s="182"/>
      <c r="J19" s="182"/>
      <c r="K19" s="182"/>
      <c r="L19" s="182"/>
    </row>
    <row r="20" spans="1:12" ht="15.75" thickBot="1">
      <c r="A20" s="394" t="s">
        <v>280</v>
      </c>
      <c r="B20" s="395"/>
      <c r="C20" s="396"/>
      <c r="D20" s="397">
        <f>SUM(D17:D19)</f>
        <v>135066.86616881893</v>
      </c>
      <c r="E20" s="193"/>
      <c r="F20" s="397">
        <f>D20</f>
        <v>135066.86616881893</v>
      </c>
      <c r="G20" s="398">
        <f>SUM(G16:G18)</f>
        <v>23154.319914654676</v>
      </c>
      <c r="H20" s="399">
        <f>SUM(F20:G20)</f>
        <v>158221.18608347361</v>
      </c>
      <c r="I20" s="182"/>
      <c r="J20" s="182"/>
      <c r="K20" s="182"/>
      <c r="L20" s="182"/>
    </row>
    <row r="21" spans="1:12" ht="15">
      <c r="A21" s="205" t="str">
        <f>"1/1/1"</f>
        <v>1/1/1</v>
      </c>
      <c r="B21" s="201">
        <f>B19</f>
        <v>1157715.9957327337</v>
      </c>
      <c r="C21" s="202"/>
      <c r="D21" s="206"/>
      <c r="E21" s="202"/>
      <c r="F21" s="207"/>
      <c r="G21" s="207"/>
      <c r="H21" s="207"/>
      <c r="I21" s="182"/>
      <c r="J21" s="182"/>
      <c r="K21" s="182"/>
      <c r="L21" s="182"/>
    </row>
    <row r="22" spans="1:12" ht="15.75" thickBot="1">
      <c r="A22" s="205" t="str">
        <f>"30/6/1"</f>
        <v>30/6/1</v>
      </c>
      <c r="B22" s="201">
        <f>B21</f>
        <v>1157715.9957327337</v>
      </c>
      <c r="C22" s="202"/>
      <c r="D22" s="202">
        <f>B21*F10</f>
        <v>162080.23940258275</v>
      </c>
      <c r="E22" s="204"/>
      <c r="F22" s="204"/>
      <c r="G22" s="202"/>
      <c r="H22" s="202">
        <f t="shared" ref="H22:H31" si="0">C22+D22</f>
        <v>162080.23940258275</v>
      </c>
      <c r="I22" s="182"/>
      <c r="J22" s="182"/>
      <c r="K22" s="182"/>
      <c r="L22" s="182"/>
    </row>
    <row r="23" spans="1:12" ht="15.75" thickBot="1">
      <c r="A23" s="205" t="str">
        <f>"31/12/1"</f>
        <v>31/12/1</v>
      </c>
      <c r="B23" s="201">
        <f>B22</f>
        <v>1157715.9957327337</v>
      </c>
      <c r="C23" s="202"/>
      <c r="D23" s="400">
        <f>D22</f>
        <v>162080.23940258275</v>
      </c>
      <c r="E23" s="401"/>
      <c r="F23" s="402">
        <f>SUM(D22:D23)</f>
        <v>324160.47880516551</v>
      </c>
      <c r="G23" s="208"/>
      <c r="H23" s="202">
        <f t="shared" si="0"/>
        <v>162080.23940258275</v>
      </c>
      <c r="I23" s="182"/>
      <c r="J23" s="182"/>
      <c r="K23" s="182"/>
      <c r="L23" s="182"/>
    </row>
    <row r="24" spans="1:12" ht="15.75" thickBot="1">
      <c r="A24" s="200" t="str">
        <f>"30/6/2"</f>
        <v>30/6/2</v>
      </c>
      <c r="B24" s="201">
        <f>B23</f>
        <v>1157715.9957327337</v>
      </c>
      <c r="C24" s="202"/>
      <c r="D24" s="202">
        <f>D22</f>
        <v>162080.23940258275</v>
      </c>
      <c r="E24" s="209"/>
      <c r="F24" s="209"/>
      <c r="G24" s="202"/>
      <c r="H24" s="202">
        <f t="shared" si="0"/>
        <v>162080.23940258275</v>
      </c>
      <c r="I24" s="182"/>
      <c r="J24" s="182"/>
      <c r="K24" s="182"/>
      <c r="L24" s="182"/>
    </row>
    <row r="25" spans="1:12" ht="15.75" thickBot="1">
      <c r="A25" s="200" t="str">
        <f>"31/12/2"</f>
        <v>31/12/2</v>
      </c>
      <c r="B25" s="201">
        <f>B24-C25</f>
        <v>964763.32977727812</v>
      </c>
      <c r="C25" s="202">
        <f t="shared" ref="C25:C30" si="1">$F$8/6</f>
        <v>192952.66595545562</v>
      </c>
      <c r="D25" s="400">
        <f>D22</f>
        <v>162080.23940258275</v>
      </c>
      <c r="E25" s="401">
        <f>C25</f>
        <v>192952.66595545562</v>
      </c>
      <c r="F25" s="402">
        <f>SUM(D24:D25)</f>
        <v>324160.47880516551</v>
      </c>
      <c r="G25" s="208"/>
      <c r="H25" s="202">
        <f t="shared" si="0"/>
        <v>355032.90535803838</v>
      </c>
      <c r="I25" s="182"/>
      <c r="J25" s="182"/>
      <c r="K25" s="182"/>
      <c r="L25" s="182"/>
    </row>
    <row r="26" spans="1:12" ht="15.75" thickBot="1">
      <c r="A26" s="200" t="str">
        <f>"30/6/3"</f>
        <v>30/6/3</v>
      </c>
      <c r="B26" s="201">
        <f>B25-C25</f>
        <v>771810.6638218225</v>
      </c>
      <c r="C26" s="202">
        <f t="shared" si="1"/>
        <v>192952.66595545562</v>
      </c>
      <c r="D26" s="202">
        <f>B25*F10</f>
        <v>135066.86616881896</v>
      </c>
      <c r="E26" s="209"/>
      <c r="F26" s="209"/>
      <c r="G26" s="202"/>
      <c r="H26" s="202">
        <f t="shared" si="0"/>
        <v>328019.53212427458</v>
      </c>
      <c r="I26" s="182"/>
      <c r="J26" s="182"/>
      <c r="K26" s="182"/>
      <c r="L26" s="182"/>
    </row>
    <row r="27" spans="1:12" ht="15.75" thickBot="1">
      <c r="A27" s="200" t="str">
        <f>"31/12/3"</f>
        <v>31/12/3</v>
      </c>
      <c r="B27" s="201">
        <f>B26-C25</f>
        <v>578857.99786636687</v>
      </c>
      <c r="C27" s="202">
        <f t="shared" si="1"/>
        <v>192952.66595545562</v>
      </c>
      <c r="D27" s="400">
        <f>B26*F10</f>
        <v>108053.49293505515</v>
      </c>
      <c r="E27" s="401">
        <f>SUM(C26:C27)</f>
        <v>385905.33191091125</v>
      </c>
      <c r="F27" s="402">
        <f>D26+D27</f>
        <v>243120.35910387413</v>
      </c>
      <c r="G27" s="208"/>
      <c r="H27" s="202">
        <f t="shared" si="0"/>
        <v>301006.15889051079</v>
      </c>
      <c r="I27" s="182"/>
      <c r="J27" s="182"/>
      <c r="K27" s="182"/>
      <c r="L27" s="182"/>
    </row>
    <row r="28" spans="1:12" ht="15.75" thickBot="1">
      <c r="A28" s="200" t="str">
        <f>"30/6/4"</f>
        <v>30/6/4</v>
      </c>
      <c r="B28" s="201">
        <f>B27-C28</f>
        <v>385905.33191091125</v>
      </c>
      <c r="C28" s="202">
        <f t="shared" si="1"/>
        <v>192952.66595545562</v>
      </c>
      <c r="D28" s="202">
        <f>B27*F10</f>
        <v>81040.119701291376</v>
      </c>
      <c r="E28" s="209"/>
      <c r="F28" s="209"/>
      <c r="G28" s="202"/>
      <c r="H28" s="202">
        <f t="shared" si="0"/>
        <v>273992.785656747</v>
      </c>
      <c r="I28" s="182"/>
      <c r="J28" s="182"/>
      <c r="K28" s="182"/>
      <c r="L28" s="182"/>
    </row>
    <row r="29" spans="1:12" ht="15.75" thickBot="1">
      <c r="A29" s="200" t="str">
        <f>"31/12/4"</f>
        <v>31/12/4</v>
      </c>
      <c r="B29" s="201">
        <f>B28-C28</f>
        <v>192952.66595545562</v>
      </c>
      <c r="C29" s="202">
        <f t="shared" si="1"/>
        <v>192952.66595545562</v>
      </c>
      <c r="D29" s="400">
        <f>B28*F10</f>
        <v>54026.746467527577</v>
      </c>
      <c r="E29" s="401">
        <f>SUM(C28:C29)</f>
        <v>385905.33191091125</v>
      </c>
      <c r="F29" s="402">
        <f>D28+D29</f>
        <v>135066.86616881896</v>
      </c>
      <c r="G29" s="208"/>
      <c r="H29" s="202">
        <f t="shared" si="0"/>
        <v>246979.41242298321</v>
      </c>
      <c r="I29" s="182"/>
      <c r="J29" s="182"/>
      <c r="K29" s="182"/>
      <c r="L29" s="182"/>
    </row>
    <row r="30" spans="1:12" ht="15">
      <c r="A30" s="200" t="str">
        <f>"30/6/5"</f>
        <v>30/6/5</v>
      </c>
      <c r="B30" s="201">
        <f>B29-C28</f>
        <v>0</v>
      </c>
      <c r="C30" s="202">
        <f t="shared" si="1"/>
        <v>192952.66595545562</v>
      </c>
      <c r="D30" s="202">
        <f>B29*F10</f>
        <v>27013.373233763788</v>
      </c>
      <c r="E30" s="209"/>
      <c r="F30" s="209"/>
      <c r="G30" s="202"/>
      <c r="H30" s="202">
        <f t="shared" si="0"/>
        <v>219966.03918921942</v>
      </c>
      <c r="I30" s="182"/>
      <c r="J30" s="214"/>
      <c r="K30" s="182"/>
      <c r="L30" s="182"/>
    </row>
    <row r="31" spans="1:12" ht="15">
      <c r="A31" s="200" t="str">
        <f>"31/12/5"</f>
        <v>31/12/5</v>
      </c>
      <c r="B31" s="201">
        <f>B30-C31</f>
        <v>0</v>
      </c>
      <c r="C31" s="202">
        <v>0</v>
      </c>
      <c r="D31" s="202">
        <f>B30*F10</f>
        <v>0</v>
      </c>
      <c r="E31" s="202">
        <f>SUM(C30:C31)</f>
        <v>192952.66595545562</v>
      </c>
      <c r="F31" s="202">
        <f>D30+D31</f>
        <v>27013.373233763788</v>
      </c>
      <c r="G31" s="202"/>
      <c r="H31" s="202">
        <f t="shared" si="0"/>
        <v>0</v>
      </c>
      <c r="I31" s="182"/>
      <c r="J31" s="182"/>
      <c r="K31" s="182"/>
      <c r="L31" s="182"/>
    </row>
    <row r="32" spans="1:12" ht="15.75" thickBot="1">
      <c r="A32" s="243" t="s">
        <v>283</v>
      </c>
      <c r="B32" s="244"/>
      <c r="C32" s="403">
        <f>SUM($C$25:$C$31)</f>
        <v>1157715.9957327337</v>
      </c>
      <c r="D32" s="210">
        <f>SUM($D$22:$D$31)+$D$20</f>
        <v>1188588.4222856069</v>
      </c>
      <c r="E32" s="403">
        <f>E25+E27+E29+E31</f>
        <v>1157715.9957327337</v>
      </c>
      <c r="F32" s="210">
        <f>$F$20+$F$23+$F$25+$F$27+$F$29+$F$31+$F$3</f>
        <v>1188588.4222856066</v>
      </c>
      <c r="G32" s="210">
        <f>$G$20</f>
        <v>23154.319914654676</v>
      </c>
      <c r="H32" s="211"/>
      <c r="I32" s="182"/>
      <c r="J32" s="182"/>
      <c r="K32" s="182"/>
      <c r="L32" s="182"/>
    </row>
    <row r="33" spans="1:12" ht="15">
      <c r="A33" s="212"/>
      <c r="B33" s="193"/>
      <c r="C33" s="193"/>
      <c r="D33" s="193"/>
      <c r="E33" s="193"/>
      <c r="F33" s="193"/>
      <c r="G33" s="193"/>
      <c r="H33" s="193"/>
      <c r="I33" s="182"/>
      <c r="J33" s="182"/>
      <c r="K33" s="182"/>
      <c r="L33" s="182"/>
    </row>
    <row r="34" spans="1:12" ht="15">
      <c r="A34" s="212"/>
      <c r="B34" s="193"/>
      <c r="C34" s="193"/>
      <c r="D34" s="193"/>
      <c r="E34" s="193"/>
      <c r="F34" s="193"/>
      <c r="G34" s="193"/>
      <c r="H34" s="193"/>
      <c r="I34" s="182"/>
      <c r="J34" s="182"/>
      <c r="K34" s="182"/>
      <c r="L34" s="182"/>
    </row>
    <row r="35" spans="1:12" ht="15">
      <c r="A35" s="212"/>
      <c r="B35" s="213"/>
      <c r="C35" s="193"/>
      <c r="D35" s="193"/>
      <c r="E35" s="193"/>
      <c r="F35" s="193"/>
      <c r="G35" s="193"/>
      <c r="H35" s="193"/>
      <c r="I35" s="182"/>
      <c r="J35" s="182"/>
      <c r="K35" s="182"/>
      <c r="L35" s="182"/>
    </row>
    <row r="36" spans="1:12" ht="15">
      <c r="A36" s="189"/>
      <c r="B36" s="189"/>
      <c r="C36" s="189"/>
      <c r="D36" s="189"/>
      <c r="E36" s="189"/>
      <c r="F36" s="189"/>
      <c r="G36" s="189"/>
      <c r="H36" s="189"/>
      <c r="I36" s="182"/>
      <c r="J36" s="182"/>
      <c r="K36" s="182"/>
      <c r="L36" s="182"/>
    </row>
    <row r="37" spans="1:12" ht="15">
      <c r="A37" s="182"/>
      <c r="B37" s="182"/>
      <c r="C37" s="182"/>
      <c r="D37" s="182"/>
      <c r="E37" s="182"/>
      <c r="F37" s="182"/>
      <c r="G37" s="182"/>
      <c r="H37" s="182"/>
      <c r="I37" s="182"/>
      <c r="J37" s="182"/>
      <c r="K37" s="182"/>
      <c r="L37" s="182"/>
    </row>
    <row r="38" spans="1:12" ht="15">
      <c r="A38" s="214" t="s">
        <v>619</v>
      </c>
      <c r="B38" s="182"/>
      <c r="C38" s="182"/>
      <c r="D38" s="182"/>
      <c r="E38" s="182"/>
      <c r="F38" s="182"/>
      <c r="G38" s="182"/>
      <c r="H38" s="182"/>
      <c r="I38" s="182"/>
      <c r="J38" s="182"/>
      <c r="K38" s="182"/>
      <c r="L38" s="182"/>
    </row>
    <row r="39" spans="1:12" ht="15">
      <c r="A39" s="214" t="s">
        <v>620</v>
      </c>
      <c r="B39" s="182"/>
      <c r="C39" s="182"/>
      <c r="D39" s="182"/>
      <c r="E39" s="182"/>
      <c r="F39" s="182"/>
      <c r="G39" s="182"/>
      <c r="H39" s="182"/>
      <c r="I39" s="182"/>
      <c r="J39" s="182"/>
      <c r="K39" s="182"/>
      <c r="L39" s="182"/>
    </row>
    <row r="40" spans="1:12" ht="15">
      <c r="A40" s="214" t="s">
        <v>621</v>
      </c>
      <c r="B40" s="182"/>
      <c r="C40" s="182"/>
      <c r="D40" s="182"/>
      <c r="E40" s="182"/>
      <c r="F40" s="182"/>
      <c r="G40" s="182"/>
      <c r="H40" s="182"/>
      <c r="I40" s="182"/>
      <c r="J40" s="182"/>
      <c r="K40" s="182"/>
      <c r="L40" s="182"/>
    </row>
    <row r="41" spans="1:12" ht="15">
      <c r="A41" s="214" t="s">
        <v>622</v>
      </c>
      <c r="B41" s="182"/>
      <c r="C41" s="182"/>
      <c r="D41" s="182"/>
      <c r="E41" s="182"/>
      <c r="F41" s="182"/>
      <c r="G41" s="182"/>
      <c r="H41" s="182"/>
      <c r="I41" s="182"/>
      <c r="J41" s="182"/>
      <c r="K41" s="182"/>
      <c r="L41" s="182"/>
    </row>
    <row r="42" spans="1:12" ht="15">
      <c r="A42" s="214" t="s">
        <v>623</v>
      </c>
      <c r="B42" s="182"/>
      <c r="C42" s="182"/>
      <c r="D42" s="182"/>
      <c r="E42" s="182"/>
      <c r="F42" s="182"/>
      <c r="G42" s="182"/>
      <c r="H42" s="182"/>
      <c r="I42" s="182"/>
      <c r="J42" s="182"/>
      <c r="K42" s="182"/>
      <c r="L42" s="182"/>
    </row>
  </sheetData>
  <mergeCells count="10">
    <mergeCell ref="A2:C2"/>
    <mergeCell ref="A3:C3"/>
    <mergeCell ref="H13:H14"/>
    <mergeCell ref="A13:A14"/>
    <mergeCell ref="B13:B14"/>
    <mergeCell ref="C13:C14"/>
    <mergeCell ref="D13:D14"/>
    <mergeCell ref="E13:E14"/>
    <mergeCell ref="F13:F14"/>
    <mergeCell ref="G13:G14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T1006"/>
  <sheetViews>
    <sheetView topLeftCell="A10" workbookViewId="0">
      <selection activeCell="B35" sqref="B35"/>
    </sheetView>
  </sheetViews>
  <sheetFormatPr baseColWidth="10" defaultColWidth="14.42578125" defaultRowHeight="15" customHeight="1"/>
  <cols>
    <col min="1" max="1" width="33.140625" style="118" customWidth="1"/>
    <col min="2" max="2" width="19.140625" style="118" customWidth="1"/>
    <col min="3" max="3" width="17.85546875" style="118" bestFit="1" customWidth="1"/>
    <col min="4" max="5" width="18.28515625" style="118" bestFit="1" customWidth="1"/>
    <col min="6" max="6" width="18.7109375" style="118" bestFit="1" customWidth="1"/>
    <col min="7" max="7" width="17.42578125" style="118" customWidth="1"/>
    <col min="8" max="8" width="27.5703125" style="118" customWidth="1"/>
    <col min="9" max="9" width="31.7109375" style="118" bestFit="1" customWidth="1"/>
    <col min="10" max="10" width="15.7109375" style="118" bestFit="1" customWidth="1"/>
    <col min="11" max="11" width="14" style="118" bestFit="1" customWidth="1"/>
    <col min="12" max="12" width="13.85546875" style="118" bestFit="1" customWidth="1"/>
    <col min="13" max="13" width="16.85546875" style="118" bestFit="1" customWidth="1"/>
    <col min="14" max="17" width="13.140625" style="118" bestFit="1" customWidth="1"/>
    <col min="18" max="16384" width="14.42578125" style="118"/>
  </cols>
  <sheetData>
    <row r="1" spans="1:17" ht="12.75" customHeight="1">
      <c r="A1" s="108"/>
      <c r="B1" s="108"/>
      <c r="C1" s="108"/>
      <c r="D1" s="108"/>
      <c r="E1" s="108"/>
      <c r="F1" s="108"/>
      <c r="G1" s="108"/>
      <c r="H1" s="261"/>
      <c r="I1" s="404"/>
      <c r="J1" s="404"/>
      <c r="K1" s="404"/>
      <c r="L1" s="404"/>
      <c r="M1" s="108"/>
      <c r="N1" s="108"/>
      <c r="O1" s="108"/>
      <c r="P1" s="108"/>
      <c r="Q1" s="108"/>
    </row>
    <row r="2" spans="1:17" ht="12.75" customHeight="1" thickBot="1">
      <c r="A2" s="119" t="s">
        <v>0</v>
      </c>
      <c r="B2" s="108"/>
      <c r="C2" s="108"/>
      <c r="D2" s="108"/>
      <c r="E2" s="120">
        <f>InfoInicial!E1</f>
        <v>7</v>
      </c>
      <c r="F2" s="108"/>
      <c r="G2" s="108"/>
      <c r="H2" s="261"/>
      <c r="I2" s="594" t="s">
        <v>697</v>
      </c>
      <c r="J2" s="595" t="s">
        <v>732</v>
      </c>
      <c r="K2" s="596" t="s">
        <v>713</v>
      </c>
      <c r="L2" s="404"/>
      <c r="M2" s="108"/>
      <c r="N2" s="108"/>
      <c r="O2" s="108"/>
      <c r="P2" s="108"/>
      <c r="Q2" s="108"/>
    </row>
    <row r="3" spans="1:17" ht="12.75" customHeight="1" thickTop="1">
      <c r="A3" s="159" t="s">
        <v>254</v>
      </c>
      <c r="B3" s="160"/>
      <c r="C3" s="160"/>
      <c r="D3" s="160"/>
      <c r="E3" s="160"/>
      <c r="F3" s="161"/>
      <c r="G3" s="108"/>
      <c r="H3" s="261"/>
      <c r="I3" s="597" t="s">
        <v>711</v>
      </c>
      <c r="J3" s="598"/>
      <c r="K3" s="599"/>
      <c r="L3" s="404"/>
      <c r="M3" s="108"/>
      <c r="N3" s="108"/>
      <c r="O3" s="108"/>
      <c r="P3" s="108"/>
      <c r="Q3" s="108"/>
    </row>
    <row r="4" spans="1:17" ht="15.75" customHeight="1">
      <c r="A4" s="162"/>
      <c r="B4" s="163" t="s">
        <v>255</v>
      </c>
      <c r="C4" s="163"/>
      <c r="D4" s="163"/>
      <c r="E4" s="163"/>
      <c r="F4" s="164"/>
      <c r="G4" s="108"/>
      <c r="H4" s="261"/>
      <c r="I4" s="600" t="s">
        <v>700</v>
      </c>
      <c r="J4" s="601">
        <v>45000</v>
      </c>
      <c r="K4" s="602">
        <f>J4* (12+1)</f>
        <v>585000</v>
      </c>
      <c r="L4" s="404"/>
      <c r="M4" s="108"/>
      <c r="N4" s="108"/>
      <c r="O4" s="108"/>
      <c r="P4" s="108"/>
      <c r="Q4" s="108"/>
    </row>
    <row r="5" spans="1:17" ht="12.75" customHeight="1" thickBot="1">
      <c r="A5" s="162" t="s">
        <v>164</v>
      </c>
      <c r="B5" s="165" t="s">
        <v>8</v>
      </c>
      <c r="C5" s="165" t="s">
        <v>165</v>
      </c>
      <c r="D5" s="165" t="s">
        <v>166</v>
      </c>
      <c r="E5" s="165" t="s">
        <v>167</v>
      </c>
      <c r="F5" s="166" t="s">
        <v>168</v>
      </c>
      <c r="G5" s="108"/>
      <c r="H5" s="261"/>
      <c r="I5" s="603" t="s">
        <v>701</v>
      </c>
      <c r="J5" s="601">
        <v>30000</v>
      </c>
      <c r="K5" s="602">
        <f t="shared" ref="K5:K11" si="0">J5* (12+1)</f>
        <v>390000</v>
      </c>
      <c r="L5" s="404"/>
      <c r="M5" s="108"/>
      <c r="N5" s="108"/>
      <c r="O5" s="108"/>
      <c r="P5" s="108"/>
      <c r="Q5" s="108"/>
    </row>
    <row r="6" spans="1:17" ht="12.75" customHeight="1" thickTop="1">
      <c r="A6" s="121" t="s">
        <v>258</v>
      </c>
      <c r="B6" s="178">
        <f>N39*K100+N49*L100</f>
        <v>3423000</v>
      </c>
      <c r="C6" s="178">
        <f>N39*K101+N49*L101</f>
        <v>3861877.5</v>
      </c>
      <c r="D6" s="178">
        <f>N39*K102+N49*L102</f>
        <v>3861877.5</v>
      </c>
      <c r="E6" s="178">
        <f>N39*K103+N49*L103</f>
        <v>3861877.5</v>
      </c>
      <c r="F6" s="348">
        <f>N39*K104+N49*L104</f>
        <v>3861877.5</v>
      </c>
      <c r="G6" s="152"/>
      <c r="H6" s="261"/>
      <c r="I6" s="603" t="s">
        <v>702</v>
      </c>
      <c r="J6" s="601">
        <v>30000</v>
      </c>
      <c r="K6" s="602">
        <f t="shared" si="0"/>
        <v>390000</v>
      </c>
      <c r="L6" s="404"/>
      <c r="M6" s="132"/>
      <c r="N6" s="108"/>
      <c r="O6" s="108"/>
      <c r="P6" s="108"/>
      <c r="Q6" s="108"/>
    </row>
    <row r="7" spans="1:17" ht="12.75" customHeight="1">
      <c r="A7" s="121" t="s">
        <v>266</v>
      </c>
      <c r="B7" s="124">
        <f>$K$12</f>
        <v>2340000</v>
      </c>
      <c r="C7" s="124">
        <f t="shared" ref="C7:F7" si="1">$K$12</f>
        <v>2340000</v>
      </c>
      <c r="D7" s="124">
        <f t="shared" si="1"/>
        <v>2340000</v>
      </c>
      <c r="E7" s="124">
        <f t="shared" si="1"/>
        <v>2340000</v>
      </c>
      <c r="F7" s="349">
        <f t="shared" si="1"/>
        <v>2340000</v>
      </c>
      <c r="G7" s="340"/>
      <c r="H7" s="404"/>
      <c r="I7" s="603" t="s">
        <v>703</v>
      </c>
      <c r="J7" s="601">
        <v>30000</v>
      </c>
      <c r="K7" s="602">
        <f t="shared" si="0"/>
        <v>390000</v>
      </c>
      <c r="L7" s="404"/>
      <c r="M7" s="337"/>
      <c r="N7" s="108"/>
      <c r="O7" s="108"/>
      <c r="P7" s="108"/>
      <c r="Q7" s="108"/>
    </row>
    <row r="8" spans="1:17" ht="12.75" customHeight="1">
      <c r="A8" s="125" t="s">
        <v>267</v>
      </c>
      <c r="C8" s="122"/>
      <c r="D8" s="122"/>
      <c r="E8" s="122"/>
      <c r="F8" s="350"/>
      <c r="G8" s="108"/>
      <c r="H8" s="261"/>
      <c r="I8" s="603" t="s">
        <v>704</v>
      </c>
      <c r="J8" s="601">
        <v>30000</v>
      </c>
      <c r="K8" s="602">
        <f t="shared" si="0"/>
        <v>390000</v>
      </c>
      <c r="L8" s="404"/>
      <c r="M8" s="337"/>
      <c r="N8" s="108"/>
      <c r="O8" s="108"/>
      <c r="P8" s="108"/>
      <c r="Q8" s="108"/>
    </row>
    <row r="9" spans="1:17" ht="12.75" customHeight="1">
      <c r="A9" s="61" t="s">
        <v>249</v>
      </c>
      <c r="B9" s="122">
        <f>K56</f>
        <v>158143.81213849879</v>
      </c>
      <c r="C9" s="122">
        <f>K56</f>
        <v>158143.81213849879</v>
      </c>
      <c r="D9" s="122">
        <f>K56</f>
        <v>158143.81213849879</v>
      </c>
      <c r="E9" s="122">
        <f>L56</f>
        <v>158143.81213849879</v>
      </c>
      <c r="F9" s="350">
        <f>L56</f>
        <v>158143.81213849879</v>
      </c>
      <c r="G9" s="108"/>
      <c r="H9" s="261"/>
      <c r="I9" s="603" t="s">
        <v>705</v>
      </c>
      <c r="J9" s="601">
        <v>30000</v>
      </c>
      <c r="K9" s="602">
        <f t="shared" si="0"/>
        <v>390000</v>
      </c>
      <c r="L9" s="404"/>
      <c r="M9" s="124"/>
      <c r="N9" s="108"/>
      <c r="O9" s="108"/>
      <c r="P9" s="108"/>
      <c r="Q9" s="108"/>
    </row>
    <row r="10" spans="1:17" ht="12.75" customHeight="1">
      <c r="A10" s="61" t="s">
        <v>279</v>
      </c>
      <c r="B10" s="122">
        <f>$K$13</f>
        <v>1072500</v>
      </c>
      <c r="C10" s="122">
        <f t="shared" ref="C10:F10" si="2">$K$13</f>
        <v>1072500</v>
      </c>
      <c r="D10" s="122">
        <f t="shared" si="2"/>
        <v>1072500</v>
      </c>
      <c r="E10" s="122">
        <f t="shared" si="2"/>
        <v>1072500</v>
      </c>
      <c r="F10" s="350">
        <f t="shared" si="2"/>
        <v>1072500</v>
      </c>
      <c r="G10" s="108"/>
      <c r="H10" s="261"/>
      <c r="I10" s="603" t="s">
        <v>706</v>
      </c>
      <c r="J10" s="601">
        <v>30000</v>
      </c>
      <c r="K10" s="602">
        <f t="shared" si="0"/>
        <v>390000</v>
      </c>
      <c r="L10" s="404"/>
      <c r="M10" s="108"/>
      <c r="N10" s="108"/>
      <c r="O10" s="108"/>
      <c r="P10" s="108"/>
      <c r="Q10" s="108"/>
    </row>
    <row r="11" spans="1:17" ht="12.75" customHeight="1">
      <c r="A11" s="61" t="s">
        <v>221</v>
      </c>
      <c r="B11" s="122">
        <f>$J$64</f>
        <v>337036</v>
      </c>
      <c r="C11" s="122">
        <f t="shared" ref="C11:F11" si="3">$J$64</f>
        <v>337036</v>
      </c>
      <c r="D11" s="122">
        <f t="shared" si="3"/>
        <v>337036</v>
      </c>
      <c r="E11" s="122">
        <f t="shared" si="3"/>
        <v>337036</v>
      </c>
      <c r="F11" s="122">
        <f t="shared" si="3"/>
        <v>337036</v>
      </c>
      <c r="G11" s="108"/>
      <c r="H11" s="261"/>
      <c r="I11" s="604" t="s">
        <v>712</v>
      </c>
      <c r="J11" s="605">
        <v>37500</v>
      </c>
      <c r="K11" s="602">
        <f t="shared" si="0"/>
        <v>487500</v>
      </c>
      <c r="L11" s="404"/>
      <c r="M11" s="108"/>
      <c r="N11" s="108"/>
      <c r="O11" s="108"/>
      <c r="P11" s="108"/>
      <c r="Q11" s="108"/>
    </row>
    <row r="12" spans="1:17" ht="12.75" customHeight="1">
      <c r="A12" s="125" t="s">
        <v>222</v>
      </c>
      <c r="B12" s="122">
        <f>K25</f>
        <v>90000</v>
      </c>
      <c r="C12" s="122">
        <f>K25</f>
        <v>90000</v>
      </c>
      <c r="D12" s="122">
        <f>+K25</f>
        <v>90000</v>
      </c>
      <c r="E12" s="122">
        <f>+K25</f>
        <v>90000</v>
      </c>
      <c r="F12" s="350">
        <f>+K25</f>
        <v>90000</v>
      </c>
      <c r="G12" s="108"/>
      <c r="H12" s="261"/>
      <c r="I12" s="606" t="s">
        <v>722</v>
      </c>
      <c r="J12" s="404"/>
      <c r="K12" s="607">
        <f>SUM(K5:K10)</f>
        <v>2340000</v>
      </c>
      <c r="L12" s="404"/>
      <c r="P12" s="108"/>
      <c r="Q12" s="108"/>
    </row>
    <row r="13" spans="1:17" ht="12.75" customHeight="1">
      <c r="A13" s="61" t="s">
        <v>223</v>
      </c>
      <c r="B13" s="122">
        <v>0</v>
      </c>
      <c r="C13" s="122">
        <v>0</v>
      </c>
      <c r="D13" s="122">
        <v>0</v>
      </c>
      <c r="E13" s="122">
        <v>0</v>
      </c>
      <c r="F13" s="350">
        <v>0</v>
      </c>
      <c r="G13" s="108"/>
      <c r="H13" s="261"/>
      <c r="I13" s="606" t="s">
        <v>723</v>
      </c>
      <c r="J13" s="404"/>
      <c r="K13" s="607">
        <f>K4+K11</f>
        <v>1072500</v>
      </c>
      <c r="L13" s="404"/>
      <c r="P13" s="108"/>
      <c r="Q13" s="108"/>
    </row>
    <row r="14" spans="1:17" ht="12.75" customHeight="1">
      <c r="A14" s="61" t="s">
        <v>281</v>
      </c>
      <c r="B14" s="122">
        <v>0</v>
      </c>
      <c r="C14" s="122">
        <v>0</v>
      </c>
      <c r="D14" s="122">
        <v>0</v>
      </c>
      <c r="E14" s="122">
        <v>0</v>
      </c>
      <c r="F14" s="350">
        <v>0</v>
      </c>
      <c r="G14" s="108"/>
      <c r="H14" s="261"/>
      <c r="I14" s="608" t="s">
        <v>348</v>
      </c>
      <c r="J14" s="598"/>
      <c r="K14" s="602">
        <f>SUM(K4:K11)</f>
        <v>3412500</v>
      </c>
      <c r="L14" s="404"/>
      <c r="M14" s="108"/>
      <c r="N14" s="108"/>
      <c r="O14" s="108"/>
      <c r="P14" s="108"/>
      <c r="Q14" s="108"/>
    </row>
    <row r="15" spans="1:17" ht="12.75" customHeight="1">
      <c r="F15" s="338"/>
      <c r="G15" s="152"/>
      <c r="H15" s="261"/>
      <c r="I15" s="597" t="s">
        <v>709</v>
      </c>
      <c r="J15" s="601"/>
      <c r="K15" s="602"/>
      <c r="L15" s="404"/>
      <c r="M15" s="108"/>
      <c r="N15" s="108"/>
      <c r="O15" s="108"/>
      <c r="P15" s="108"/>
      <c r="Q15" s="108"/>
    </row>
    <row r="16" spans="1:17" ht="12.75" customHeight="1">
      <c r="A16" s="61" t="s">
        <v>31</v>
      </c>
      <c r="B16" s="122">
        <f>InfoInicial!$B15*SUM(B6:B14)</f>
        <v>296827.19248553994</v>
      </c>
      <c r="C16" s="122">
        <f>InfoInicial!$B15*SUM(C6:C14)</f>
        <v>314382.29248553998</v>
      </c>
      <c r="D16" s="122">
        <f>InfoInicial!$B15*SUM(D6:D14)</f>
        <v>314382.29248553998</v>
      </c>
      <c r="E16" s="122">
        <f>InfoInicial!$B15*SUM(E6:E14)</f>
        <v>314382.29248553998</v>
      </c>
      <c r="F16" s="122">
        <f>InfoInicial!$B15*SUM(F6:F14)</f>
        <v>314382.29248553998</v>
      </c>
      <c r="G16" s="108"/>
      <c r="H16" s="261"/>
      <c r="I16" s="604" t="s">
        <v>698</v>
      </c>
      <c r="J16" s="601">
        <v>60000</v>
      </c>
      <c r="K16" s="602">
        <f>J16* (12+1)</f>
        <v>780000</v>
      </c>
      <c r="L16" s="404"/>
      <c r="M16" s="108"/>
      <c r="N16" s="108"/>
      <c r="O16" s="108"/>
      <c r="P16" s="108"/>
      <c r="Q16" s="108"/>
    </row>
    <row r="17" spans="1:17" ht="12.75" customHeight="1">
      <c r="A17" s="358" t="s">
        <v>282</v>
      </c>
      <c r="B17" s="122">
        <f>SUM(B6:B16)</f>
        <v>7717507.0046240389</v>
      </c>
      <c r="C17" s="122">
        <f>SUM(C6:C16)</f>
        <v>8173939.6046240386</v>
      </c>
      <c r="D17" s="122">
        <f>SUM(D6:D16)</f>
        <v>8173939.6046240386</v>
      </c>
      <c r="E17" s="122">
        <f>SUM(E6:E16)</f>
        <v>8173939.6046240386</v>
      </c>
      <c r="F17" s="350">
        <f>SUM(F6:F16)</f>
        <v>8173939.6046240386</v>
      </c>
      <c r="G17" s="108"/>
      <c r="H17" s="261"/>
      <c r="I17" s="604" t="s">
        <v>699</v>
      </c>
      <c r="J17" s="601">
        <v>45000</v>
      </c>
      <c r="K17" s="602">
        <f>J17* (12+1)</f>
        <v>585000</v>
      </c>
      <c r="L17" s="404"/>
      <c r="M17" s="108"/>
      <c r="N17" s="108"/>
      <c r="O17" s="108"/>
      <c r="P17" s="108"/>
      <c r="Q17" s="108"/>
    </row>
    <row r="18" spans="1:17" ht="12.75" customHeight="1">
      <c r="F18" s="338"/>
      <c r="G18" s="108"/>
      <c r="H18" s="261"/>
      <c r="I18" s="608" t="s">
        <v>348</v>
      </c>
      <c r="J18" s="598"/>
      <c r="K18" s="602">
        <f>SUM(K16:K17)</f>
        <v>1365000</v>
      </c>
      <c r="L18" s="404"/>
      <c r="M18" s="108"/>
      <c r="N18" s="108"/>
      <c r="O18" s="108"/>
      <c r="P18" s="108"/>
      <c r="Q18" s="108"/>
    </row>
    <row r="19" spans="1:17" ht="12.75" customHeight="1">
      <c r="A19" s="128" t="s">
        <v>286</v>
      </c>
      <c r="B19" s="104">
        <f>(B9+B10+B11+B12+B13+B14+B16)/B17</f>
        <v>0.25325626571546639</v>
      </c>
      <c r="C19" s="104">
        <f>(C9+C10+C11+C12+C13+C14+C16)/C17</f>
        <v>0.24126213307331429</v>
      </c>
      <c r="D19" s="104">
        <f>(D9+D10+D11+D12+D13+D14+D16)/D17</f>
        <v>0.24126213307331429</v>
      </c>
      <c r="E19" s="104">
        <f>(E9+E10+E11+E12+E13+E14+E16)/E17</f>
        <v>0.24126213307331429</v>
      </c>
      <c r="F19" s="351">
        <f>(F9+F10+F11+F12+F13+F14+F16)/F17</f>
        <v>0.24126213307331429</v>
      </c>
      <c r="G19" s="127"/>
      <c r="H19" s="261"/>
      <c r="I19" s="597" t="s">
        <v>710</v>
      </c>
      <c r="J19" s="601"/>
      <c r="K19" s="602"/>
      <c r="L19" s="404"/>
      <c r="M19" s="108"/>
      <c r="N19" s="108"/>
      <c r="O19" s="108"/>
      <c r="P19" s="108"/>
      <c r="Q19" s="108"/>
    </row>
    <row r="20" spans="1:17" ht="12.75" customHeight="1" thickBot="1">
      <c r="A20" s="359" t="s">
        <v>288</v>
      </c>
      <c r="B20" s="105">
        <f>(B6+B7)/B17</f>
        <v>0.74674373428453356</v>
      </c>
      <c r="C20" s="105">
        <f t="shared" ref="C20:F20" si="4">(C6+C7)/C17</f>
        <v>0.75873786692668577</v>
      </c>
      <c r="D20" s="105">
        <f t="shared" si="4"/>
        <v>0.75873786692668577</v>
      </c>
      <c r="E20" s="105">
        <f t="shared" si="4"/>
        <v>0.75873786692668577</v>
      </c>
      <c r="F20" s="352">
        <f t="shared" si="4"/>
        <v>0.75873786692668577</v>
      </c>
      <c r="G20" s="108"/>
      <c r="H20" s="261"/>
      <c r="I20" s="604" t="s">
        <v>707</v>
      </c>
      <c r="J20" s="601">
        <v>30000</v>
      </c>
      <c r="K20" s="602">
        <f>J20* (12+1)</f>
        <v>390000</v>
      </c>
      <c r="L20" s="404"/>
      <c r="M20" s="108"/>
      <c r="N20" s="108"/>
      <c r="O20" s="108"/>
      <c r="P20" s="108"/>
      <c r="Q20" s="108"/>
    </row>
    <row r="21" spans="1:17" ht="12.75" customHeight="1" thickTop="1" thickBot="1">
      <c r="A21" s="404"/>
      <c r="B21" s="404"/>
      <c r="C21" s="404"/>
      <c r="D21" s="404"/>
      <c r="E21" s="404"/>
      <c r="F21" s="404"/>
      <c r="G21" s="405" t="s">
        <v>678</v>
      </c>
      <c r="H21" s="261"/>
      <c r="I21" s="604" t="s">
        <v>708</v>
      </c>
      <c r="J21" s="601">
        <v>30000</v>
      </c>
      <c r="K21" s="602">
        <f>J21* (12+1)</f>
        <v>390000</v>
      </c>
      <c r="L21" s="404"/>
      <c r="M21" s="108"/>
      <c r="N21" s="108"/>
      <c r="O21" s="108"/>
      <c r="P21" s="108"/>
      <c r="Q21" s="108"/>
    </row>
    <row r="22" spans="1:17" ht="12.75" customHeight="1" thickTop="1">
      <c r="A22" s="417"/>
      <c r="B22" s="418" t="s">
        <v>290</v>
      </c>
      <c r="C22" s="418"/>
      <c r="D22" s="418"/>
      <c r="E22" s="418"/>
      <c r="F22" s="418"/>
      <c r="G22" s="419"/>
      <c r="H22" s="261"/>
      <c r="I22" s="609" t="s">
        <v>348</v>
      </c>
      <c r="J22" s="610"/>
      <c r="K22" s="611">
        <f>SUM(K20:K21)</f>
        <v>780000</v>
      </c>
      <c r="L22" s="404"/>
      <c r="N22" s="108"/>
      <c r="O22" s="108"/>
      <c r="P22" s="108"/>
      <c r="Q22" s="108"/>
    </row>
    <row r="23" spans="1:17" ht="12.75" customHeight="1">
      <c r="A23" s="420"/>
      <c r="B23" s="416" t="s">
        <v>291</v>
      </c>
      <c r="C23" s="416"/>
      <c r="D23" s="416"/>
      <c r="E23" s="416"/>
      <c r="F23" s="416"/>
      <c r="G23" s="421" t="s">
        <v>292</v>
      </c>
      <c r="H23" s="612"/>
      <c r="I23" s="404"/>
      <c r="J23" s="404"/>
      <c r="K23" s="404"/>
      <c r="L23" s="261"/>
      <c r="M23" s="108"/>
      <c r="N23" s="108"/>
      <c r="O23" s="108"/>
      <c r="P23" s="108"/>
      <c r="Q23" s="108"/>
    </row>
    <row r="24" spans="1:17" ht="12.75" customHeight="1">
      <c r="A24" s="420" t="s">
        <v>164</v>
      </c>
      <c r="B24" s="422" t="s">
        <v>8</v>
      </c>
      <c r="C24" s="422" t="s">
        <v>165</v>
      </c>
      <c r="D24" s="422" t="s">
        <v>166</v>
      </c>
      <c r="E24" s="422" t="s">
        <v>167</v>
      </c>
      <c r="F24" s="422" t="s">
        <v>168</v>
      </c>
      <c r="G24" s="423" t="s">
        <v>8</v>
      </c>
      <c r="H24" s="261"/>
      <c r="I24" s="613" t="s">
        <v>520</v>
      </c>
      <c r="J24" s="614"/>
      <c r="K24" s="615" t="s">
        <v>519</v>
      </c>
      <c r="L24" s="261"/>
      <c r="M24" s="108"/>
      <c r="N24" s="108"/>
      <c r="O24" s="108"/>
      <c r="P24" s="108"/>
      <c r="Q24" s="108"/>
    </row>
    <row r="25" spans="1:17" ht="12.75" customHeight="1">
      <c r="A25" s="406" t="s">
        <v>258</v>
      </c>
      <c r="B25" s="407">
        <f t="shared" ref="B25:F26" si="5">0.0085*B6</f>
        <v>29095.500000000004</v>
      </c>
      <c r="C25" s="407">
        <f t="shared" si="5"/>
        <v>32825.958750000005</v>
      </c>
      <c r="D25" s="407">
        <f t="shared" si="5"/>
        <v>32825.958750000005</v>
      </c>
      <c r="E25" s="407">
        <f t="shared" si="5"/>
        <v>32825.958750000005</v>
      </c>
      <c r="F25" s="407">
        <f t="shared" si="5"/>
        <v>32825.958750000005</v>
      </c>
      <c r="G25" s="408">
        <f>B25</f>
        <v>29095.500000000004</v>
      </c>
      <c r="H25" s="108"/>
      <c r="I25" s="315" t="s">
        <v>465</v>
      </c>
      <c r="J25" s="320"/>
      <c r="K25" s="332">
        <f>0.6*I30</f>
        <v>90000</v>
      </c>
      <c r="L25" s="108"/>
      <c r="M25" s="108"/>
      <c r="N25" s="108"/>
      <c r="O25" s="108"/>
      <c r="P25" s="108"/>
      <c r="Q25" s="108"/>
    </row>
    <row r="26" spans="1:17" ht="12.75" customHeight="1">
      <c r="A26" s="409" t="s">
        <v>293</v>
      </c>
      <c r="B26" s="410">
        <f t="shared" si="5"/>
        <v>19890</v>
      </c>
      <c r="C26" s="410">
        <f t="shared" si="5"/>
        <v>19890</v>
      </c>
      <c r="D26" s="410">
        <f t="shared" si="5"/>
        <v>19890</v>
      </c>
      <c r="E26" s="410">
        <f t="shared" si="5"/>
        <v>19890</v>
      </c>
      <c r="F26" s="410">
        <f t="shared" si="5"/>
        <v>19890</v>
      </c>
      <c r="G26" s="347">
        <f>B26</f>
        <v>19890</v>
      </c>
      <c r="H26" s="154"/>
      <c r="I26" s="315"/>
      <c r="J26" s="320"/>
      <c r="K26" s="332"/>
      <c r="M26" s="108"/>
      <c r="N26" s="108"/>
      <c r="O26" s="108"/>
      <c r="P26" s="108"/>
      <c r="Q26" s="108"/>
    </row>
    <row r="27" spans="1:17" ht="12.75" customHeight="1">
      <c r="A27" s="409" t="s">
        <v>267</v>
      </c>
      <c r="B27" s="411"/>
      <c r="C27" s="412"/>
      <c r="D27" s="412"/>
      <c r="E27" s="412"/>
      <c r="F27" s="412"/>
      <c r="G27" s="413"/>
      <c r="H27" s="108"/>
      <c r="I27" s="315"/>
      <c r="J27" s="320"/>
      <c r="K27" s="332"/>
      <c r="M27" s="108"/>
      <c r="N27" s="108"/>
      <c r="O27" s="108"/>
      <c r="P27" s="108"/>
      <c r="Q27" s="108"/>
    </row>
    <row r="28" spans="1:17" ht="12.75" customHeight="1">
      <c r="A28" s="409" t="s">
        <v>249</v>
      </c>
      <c r="B28" s="410">
        <f t="shared" ref="B28:F33" si="6">0.0085*B9</f>
        <v>1344.2224031772398</v>
      </c>
      <c r="C28" s="410">
        <f t="shared" si="6"/>
        <v>1344.2224031772398</v>
      </c>
      <c r="D28" s="410">
        <f t="shared" si="6"/>
        <v>1344.2224031772398</v>
      </c>
      <c r="E28" s="410">
        <f t="shared" si="6"/>
        <v>1344.2224031772398</v>
      </c>
      <c r="F28" s="410">
        <f t="shared" si="6"/>
        <v>1344.2224031772398</v>
      </c>
      <c r="G28" s="413"/>
      <c r="H28" s="108"/>
      <c r="I28" s="315" t="s">
        <v>726</v>
      </c>
      <c r="J28" s="320"/>
      <c r="K28" s="332">
        <f>0.2*I30</f>
        <v>30000</v>
      </c>
      <c r="M28" s="108"/>
      <c r="N28" s="108"/>
      <c r="O28" s="108"/>
      <c r="P28" s="108"/>
      <c r="Q28" s="108"/>
    </row>
    <row r="29" spans="1:17" ht="12.75" customHeight="1">
      <c r="A29" s="409" t="s">
        <v>279</v>
      </c>
      <c r="B29" s="410">
        <f t="shared" si="6"/>
        <v>9116.25</v>
      </c>
      <c r="C29" s="410">
        <f t="shared" si="6"/>
        <v>9116.25</v>
      </c>
      <c r="D29" s="410">
        <f t="shared" si="6"/>
        <v>9116.25</v>
      </c>
      <c r="E29" s="410">
        <f t="shared" si="6"/>
        <v>9116.25</v>
      </c>
      <c r="F29" s="410">
        <f t="shared" si="6"/>
        <v>9116.25</v>
      </c>
      <c r="G29" s="413">
        <f>B29</f>
        <v>9116.25</v>
      </c>
      <c r="H29" s="108"/>
      <c r="I29" s="315" t="s">
        <v>727</v>
      </c>
      <c r="J29" s="320"/>
      <c r="K29" s="332">
        <f>0.2*I30</f>
        <v>30000</v>
      </c>
      <c r="M29" s="108"/>
      <c r="N29" s="108"/>
      <c r="O29" s="108"/>
      <c r="P29" s="108"/>
      <c r="Q29" s="108"/>
    </row>
    <row r="30" spans="1:17" ht="12.75" customHeight="1">
      <c r="A30" s="409" t="s">
        <v>221</v>
      </c>
      <c r="B30" s="410">
        <f t="shared" si="6"/>
        <v>2864.806</v>
      </c>
      <c r="C30" s="410">
        <f t="shared" si="6"/>
        <v>2864.806</v>
      </c>
      <c r="D30" s="410">
        <f t="shared" si="6"/>
        <v>2864.806</v>
      </c>
      <c r="E30" s="410">
        <f t="shared" si="6"/>
        <v>2864.806</v>
      </c>
      <c r="F30" s="410">
        <f t="shared" si="6"/>
        <v>2864.806</v>
      </c>
      <c r="G30" s="347">
        <f>B30</f>
        <v>2864.806</v>
      </c>
      <c r="H30" s="108"/>
      <c r="I30" s="333">
        <v>150000</v>
      </c>
      <c r="J30" s="132"/>
      <c r="K30" s="332">
        <f>+K25+K28+K29</f>
        <v>150000</v>
      </c>
      <c r="M30" s="108"/>
      <c r="N30" s="108"/>
      <c r="O30" s="108"/>
      <c r="P30" s="108"/>
      <c r="Q30" s="108"/>
    </row>
    <row r="31" spans="1:17" ht="12.75" customHeight="1">
      <c r="A31" s="409" t="s">
        <v>294</v>
      </c>
      <c r="B31" s="411">
        <f t="shared" si="6"/>
        <v>765</v>
      </c>
      <c r="C31" s="411">
        <f t="shared" si="6"/>
        <v>765</v>
      </c>
      <c r="D31" s="411">
        <f t="shared" si="6"/>
        <v>765</v>
      </c>
      <c r="E31" s="411">
        <f t="shared" si="6"/>
        <v>765</v>
      </c>
      <c r="F31" s="411">
        <f t="shared" si="6"/>
        <v>765</v>
      </c>
      <c r="G31" s="413">
        <f>B31</f>
        <v>765</v>
      </c>
      <c r="H31" s="108"/>
      <c r="I31" s="334"/>
      <c r="J31" s="322"/>
      <c r="K31" s="335"/>
      <c r="M31" s="108"/>
      <c r="N31" s="108"/>
      <c r="O31" s="108"/>
      <c r="P31" s="108"/>
      <c r="Q31" s="108"/>
    </row>
    <row r="32" spans="1:17" ht="12.75" customHeight="1">
      <c r="A32" s="409" t="s">
        <v>295</v>
      </c>
      <c r="B32" s="411">
        <f t="shared" si="6"/>
        <v>0</v>
      </c>
      <c r="C32" s="411">
        <f t="shared" si="6"/>
        <v>0</v>
      </c>
      <c r="D32" s="411">
        <f t="shared" si="6"/>
        <v>0</v>
      </c>
      <c r="E32" s="411">
        <f t="shared" si="6"/>
        <v>0</v>
      </c>
      <c r="F32" s="411">
        <f t="shared" si="6"/>
        <v>0</v>
      </c>
      <c r="G32" s="413">
        <f>B32</f>
        <v>0</v>
      </c>
      <c r="H32" s="108"/>
      <c r="I32" s="108"/>
      <c r="J32" s="132"/>
      <c r="K32" s="108"/>
      <c r="L32" s="108"/>
      <c r="M32" s="108"/>
      <c r="N32" s="108"/>
      <c r="O32" s="108"/>
      <c r="P32" s="108"/>
      <c r="Q32" s="108"/>
    </row>
    <row r="33" spans="1:17" ht="12.75" customHeight="1">
      <c r="A33" s="409" t="s">
        <v>296</v>
      </c>
      <c r="B33" s="411">
        <f t="shared" si="6"/>
        <v>0</v>
      </c>
      <c r="C33" s="411">
        <f t="shared" si="6"/>
        <v>0</v>
      </c>
      <c r="D33" s="411">
        <f t="shared" si="6"/>
        <v>0</v>
      </c>
      <c r="E33" s="411">
        <f t="shared" si="6"/>
        <v>0</v>
      </c>
      <c r="F33" s="411">
        <f t="shared" si="6"/>
        <v>0</v>
      </c>
      <c r="G33" s="413">
        <f>B33</f>
        <v>0</v>
      </c>
      <c r="H33" s="108"/>
      <c r="I33" s="339" t="s">
        <v>714</v>
      </c>
      <c r="J33" s="328" t="s">
        <v>576</v>
      </c>
      <c r="K33" s="313"/>
      <c r="L33" s="313"/>
      <c r="M33" s="313"/>
      <c r="N33" s="314"/>
      <c r="O33" s="108"/>
      <c r="P33" s="108"/>
      <c r="Q33" s="108"/>
    </row>
    <row r="34" spans="1:17" ht="12.75" customHeight="1">
      <c r="A34" s="409" t="s">
        <v>297</v>
      </c>
      <c r="B34" s="411">
        <f>0.04*SUM(B25:B33)</f>
        <v>2523.0311361270897</v>
      </c>
      <c r="C34" s="411">
        <f>0.04*SUM(C25:C33)</f>
        <v>2672.2494861270902</v>
      </c>
      <c r="D34" s="411">
        <f t="shared" ref="D34:G34" si="7">0.04*SUM(D25:D33)</f>
        <v>2672.2494861270902</v>
      </c>
      <c r="E34" s="411">
        <f t="shared" si="7"/>
        <v>2672.2494861270902</v>
      </c>
      <c r="F34" s="411">
        <f t="shared" si="7"/>
        <v>2672.2494861270902</v>
      </c>
      <c r="G34" s="411">
        <f t="shared" si="7"/>
        <v>2469.26224</v>
      </c>
      <c r="H34" s="108"/>
      <c r="I34" s="315" t="s">
        <v>461</v>
      </c>
      <c r="J34" s="132" t="s">
        <v>563</v>
      </c>
      <c r="K34" s="132"/>
      <c r="L34" s="320" t="s">
        <v>527</v>
      </c>
      <c r="M34" s="320"/>
      <c r="N34" s="316" t="s">
        <v>580</v>
      </c>
      <c r="O34" s="108"/>
      <c r="P34" s="108"/>
      <c r="Q34" s="108"/>
    </row>
    <row r="35" spans="1:17" ht="12.75" customHeight="1" thickBot="1">
      <c r="A35" s="414" t="s">
        <v>298</v>
      </c>
      <c r="B35" s="415">
        <f>SUM(B25:B34)</f>
        <v>65598.809539304333</v>
      </c>
      <c r="C35" s="415">
        <f t="shared" ref="C35:G35" si="8">SUM(C25:C34)</f>
        <v>69478.486639304349</v>
      </c>
      <c r="D35" s="415">
        <f t="shared" si="8"/>
        <v>69478.486639304349</v>
      </c>
      <c r="E35" s="415">
        <f t="shared" si="8"/>
        <v>69478.486639304349</v>
      </c>
      <c r="F35" s="415">
        <f t="shared" si="8"/>
        <v>69478.486639304349</v>
      </c>
      <c r="G35" s="415">
        <f t="shared" si="8"/>
        <v>64200.818239999993</v>
      </c>
      <c r="H35" s="108"/>
      <c r="I35" s="315" t="s">
        <v>560</v>
      </c>
      <c r="J35" s="132">
        <v>5</v>
      </c>
      <c r="K35" s="132" t="s">
        <v>574</v>
      </c>
      <c r="L35" s="320">
        <v>1</v>
      </c>
      <c r="M35" s="320" t="s">
        <v>577</v>
      </c>
      <c r="N35" s="325">
        <f>J35*L35</f>
        <v>5</v>
      </c>
      <c r="O35" s="108"/>
      <c r="P35" s="108"/>
      <c r="Q35" s="108"/>
    </row>
    <row r="36" spans="1:17" ht="12.75" customHeight="1" thickTop="1" thickBot="1">
      <c r="H36" s="108"/>
      <c r="I36" s="326" t="s">
        <v>586</v>
      </c>
      <c r="J36" s="320">
        <v>36</v>
      </c>
      <c r="K36" s="320" t="s">
        <v>579</v>
      </c>
      <c r="L36" s="320">
        <v>0.45</v>
      </c>
      <c r="M36" s="320" t="s">
        <v>578</v>
      </c>
      <c r="N36" s="325">
        <f t="shared" ref="N36:N37" si="9">J36*L36</f>
        <v>16.2</v>
      </c>
      <c r="O36" s="108"/>
      <c r="P36" s="108"/>
      <c r="Q36" s="108"/>
    </row>
    <row r="37" spans="1:17" ht="12.75" customHeight="1" thickTop="1">
      <c r="A37" s="170"/>
      <c r="B37" s="171" t="s">
        <v>299</v>
      </c>
      <c r="C37" s="171"/>
      <c r="D37" s="171"/>
      <c r="E37" s="171"/>
      <c r="F37" s="172"/>
      <c r="G37" s="134"/>
      <c r="H37" s="108"/>
      <c r="I37" s="315" t="s">
        <v>561</v>
      </c>
      <c r="J37" s="132">
        <v>30</v>
      </c>
      <c r="K37" s="132" t="s">
        <v>575</v>
      </c>
      <c r="L37" s="320">
        <v>0.18</v>
      </c>
      <c r="M37" s="320" t="s">
        <v>47</v>
      </c>
      <c r="N37" s="325">
        <f t="shared" si="9"/>
        <v>5.3999999999999995</v>
      </c>
      <c r="O37" s="108"/>
      <c r="P37" s="108"/>
      <c r="Q37" s="108"/>
    </row>
    <row r="38" spans="1:17" ht="12.75" customHeight="1" thickBot="1">
      <c r="A38" s="173"/>
      <c r="B38" s="169" t="s">
        <v>8</v>
      </c>
      <c r="C38" s="169" t="s">
        <v>165</v>
      </c>
      <c r="D38" s="169" t="s">
        <v>166</v>
      </c>
      <c r="E38" s="169" t="s">
        <v>167</v>
      </c>
      <c r="F38" s="166" t="s">
        <v>168</v>
      </c>
      <c r="G38" s="108"/>
      <c r="H38" s="108"/>
      <c r="I38" s="315" t="s">
        <v>562</v>
      </c>
      <c r="J38" s="132">
        <v>1.5</v>
      </c>
      <c r="K38" s="132" t="s">
        <v>577</v>
      </c>
      <c r="L38" s="132">
        <v>1</v>
      </c>
      <c r="M38" s="132" t="s">
        <v>577</v>
      </c>
      <c r="N38" s="325">
        <f>J38*L38</f>
        <v>1.5</v>
      </c>
      <c r="O38" s="108"/>
      <c r="P38" s="108"/>
      <c r="Q38" s="108"/>
    </row>
    <row r="39" spans="1:17" ht="12.75" customHeight="1" thickTop="1">
      <c r="A39" s="135" t="s">
        <v>282</v>
      </c>
      <c r="B39" s="123">
        <f>B17</f>
        <v>7717507.0046240389</v>
      </c>
      <c r="C39" s="123">
        <f>C17</f>
        <v>8173939.6046240386</v>
      </c>
      <c r="D39" s="123">
        <f>D17</f>
        <v>8173939.6046240386</v>
      </c>
      <c r="E39" s="123">
        <f>E17</f>
        <v>8173939.6046240386</v>
      </c>
      <c r="F39" s="123">
        <f>F17</f>
        <v>8173939.6046240386</v>
      </c>
      <c r="G39" s="134"/>
      <c r="H39" s="108"/>
      <c r="I39" s="326" t="s">
        <v>517</v>
      </c>
      <c r="J39" s="320"/>
      <c r="K39" s="320"/>
      <c r="L39" s="320"/>
      <c r="M39" s="320"/>
      <c r="N39" s="325">
        <f>SUM(N35:N38)</f>
        <v>28.099999999999998</v>
      </c>
      <c r="O39" s="108"/>
      <c r="P39" s="108"/>
      <c r="Q39" s="108"/>
    </row>
    <row r="40" spans="1:17" ht="12.75" customHeight="1">
      <c r="A40" s="61" t="s">
        <v>300</v>
      </c>
      <c r="B40" s="122"/>
      <c r="C40" s="122"/>
      <c r="D40" s="122"/>
      <c r="E40" s="122"/>
      <c r="F40" s="126"/>
      <c r="G40" s="134"/>
      <c r="H40" s="108"/>
      <c r="I40" s="326"/>
      <c r="J40" s="320"/>
      <c r="K40" s="320"/>
      <c r="L40" s="320"/>
      <c r="M40" s="320"/>
      <c r="N40" s="316"/>
      <c r="O40" s="108"/>
      <c r="P40" s="108"/>
      <c r="Q40" s="108"/>
    </row>
    <row r="41" spans="1:17" ht="12.75" customHeight="1">
      <c r="A41" s="61" t="s">
        <v>301</v>
      </c>
      <c r="B41" s="122">
        <f>G35</f>
        <v>64200.818239999993</v>
      </c>
      <c r="C41" s="122"/>
      <c r="D41" s="122"/>
      <c r="E41" s="122"/>
      <c r="F41" s="126"/>
      <c r="G41" s="134"/>
      <c r="H41" s="108"/>
      <c r="I41" s="326"/>
      <c r="J41" s="320"/>
      <c r="K41" s="320"/>
      <c r="L41" s="320"/>
      <c r="M41" s="320"/>
      <c r="N41" s="316"/>
      <c r="O41" s="108"/>
      <c r="P41" s="108"/>
      <c r="Q41" s="108"/>
    </row>
    <row r="42" spans="1:17" ht="12.75" customHeight="1">
      <c r="A42" s="61" t="s">
        <v>302</v>
      </c>
      <c r="B42" s="122">
        <f>B35</f>
        <v>65598.809539304333</v>
      </c>
      <c r="C42" s="122">
        <f>C35-B35</f>
        <v>3879.6771000000153</v>
      </c>
      <c r="D42" s="122">
        <f>D35-C35</f>
        <v>0</v>
      </c>
      <c r="E42" s="122">
        <f>E35-D35</f>
        <v>0</v>
      </c>
      <c r="F42" s="122">
        <f>F35-E35</f>
        <v>0</v>
      </c>
      <c r="G42" s="134"/>
      <c r="H42" s="108"/>
      <c r="I42" s="326"/>
      <c r="J42" s="329" t="s">
        <v>554</v>
      </c>
      <c r="K42" s="132"/>
      <c r="L42" s="132"/>
      <c r="M42" s="132"/>
      <c r="N42" s="316"/>
      <c r="O42" s="108"/>
      <c r="P42" s="108"/>
      <c r="Q42" s="108"/>
    </row>
    <row r="43" spans="1:17" ht="12.75" customHeight="1">
      <c r="A43" s="72" t="s">
        <v>303</v>
      </c>
      <c r="B43" s="136">
        <f t="shared" ref="B43:F43" si="10">B39-B41-B42</f>
        <v>7587707.3768447349</v>
      </c>
      <c r="C43" s="136">
        <f t="shared" si="10"/>
        <v>8170059.9275240386</v>
      </c>
      <c r="D43" s="136">
        <f t="shared" si="10"/>
        <v>8173939.6046240386</v>
      </c>
      <c r="E43" s="136">
        <f t="shared" si="10"/>
        <v>8173939.6046240386</v>
      </c>
      <c r="F43" s="136">
        <f t="shared" si="10"/>
        <v>8173939.6046240386</v>
      </c>
      <c r="G43" s="134"/>
      <c r="H43" s="108"/>
      <c r="I43" s="315" t="s">
        <v>461</v>
      </c>
      <c r="J43" s="132" t="s">
        <v>563</v>
      </c>
      <c r="K43" s="132"/>
      <c r="L43" s="330" t="s">
        <v>527</v>
      </c>
      <c r="M43" s="132"/>
      <c r="N43" s="331" t="s">
        <v>580</v>
      </c>
      <c r="O43" s="108"/>
      <c r="P43" s="108"/>
      <c r="Q43" s="108"/>
    </row>
    <row r="44" spans="1:17" ht="12.75" customHeight="1">
      <c r="A44" s="128" t="s">
        <v>304</v>
      </c>
      <c r="B44" s="136">
        <f>B43/(B90+B92)</f>
        <v>54.197909834605248</v>
      </c>
      <c r="C44" s="136">
        <f t="shared" ref="C44:F44" si="11">C43/(C90+C92)</f>
        <v>51.725608911199991</v>
      </c>
      <c r="D44" s="136">
        <f t="shared" si="11"/>
        <v>51.750171602558012</v>
      </c>
      <c r="E44" s="136">
        <f t="shared" si="11"/>
        <v>51.750171602558012</v>
      </c>
      <c r="F44" s="136">
        <f t="shared" si="11"/>
        <v>51.750171602558012</v>
      </c>
      <c r="G44" s="134"/>
      <c r="H44" s="108"/>
      <c r="I44" s="315" t="s">
        <v>560</v>
      </c>
      <c r="J44" s="132">
        <v>5</v>
      </c>
      <c r="K44" s="132" t="s">
        <v>574</v>
      </c>
      <c r="L44" s="132">
        <v>1</v>
      </c>
      <c r="M44" s="132" t="s">
        <v>577</v>
      </c>
      <c r="N44" s="325">
        <f>J44*L44</f>
        <v>5</v>
      </c>
      <c r="O44" s="108"/>
      <c r="P44" s="108"/>
      <c r="Q44" s="108"/>
    </row>
    <row r="45" spans="1:17" ht="12.75" customHeight="1">
      <c r="A45" s="128"/>
      <c r="B45" s="136"/>
      <c r="C45" s="136"/>
      <c r="D45" s="136"/>
      <c r="E45" s="136"/>
      <c r="F45" s="137"/>
      <c r="G45" s="134"/>
      <c r="H45" s="108"/>
      <c r="I45" s="326" t="s">
        <v>586</v>
      </c>
      <c r="J45" s="320">
        <v>36</v>
      </c>
      <c r="K45" s="320" t="s">
        <v>579</v>
      </c>
      <c r="L45" s="132">
        <v>0.1</v>
      </c>
      <c r="M45" s="132" t="s">
        <v>578</v>
      </c>
      <c r="N45" s="325">
        <f t="shared" ref="N45:N46" si="12">J45*L45</f>
        <v>3.6</v>
      </c>
      <c r="O45" s="108"/>
      <c r="P45" s="108"/>
      <c r="Q45" s="108"/>
    </row>
    <row r="46" spans="1:17" ht="12.75" customHeight="1">
      <c r="A46" s="128" t="s">
        <v>286</v>
      </c>
      <c r="B46" s="104">
        <f>1-B47</f>
        <v>0.25539910790426223</v>
      </c>
      <c r="C46" s="104">
        <f t="shared" ref="C46:F46" si="13">1-C47</f>
        <v>0.24126213307331423</v>
      </c>
      <c r="D46" s="104">
        <f t="shared" si="13"/>
        <v>0.24126213307331423</v>
      </c>
      <c r="E46" s="104">
        <f t="shared" si="13"/>
        <v>0.24126213307331423</v>
      </c>
      <c r="F46" s="104">
        <f t="shared" si="13"/>
        <v>0.24126213307331423</v>
      </c>
      <c r="G46" s="134"/>
      <c r="H46" s="108"/>
      <c r="I46" s="315" t="s">
        <v>561</v>
      </c>
      <c r="J46" s="132">
        <v>30</v>
      </c>
      <c r="K46" s="132" t="s">
        <v>575</v>
      </c>
      <c r="L46" s="132">
        <v>0.01</v>
      </c>
      <c r="M46" s="132" t="s">
        <v>47</v>
      </c>
      <c r="N46" s="325">
        <f t="shared" si="12"/>
        <v>0.3</v>
      </c>
      <c r="O46" s="108"/>
      <c r="P46" s="108"/>
      <c r="Q46" s="108"/>
    </row>
    <row r="47" spans="1:17" ht="12.75" customHeight="1" thickBot="1">
      <c r="A47" s="63" t="s">
        <v>288</v>
      </c>
      <c r="B47" s="105">
        <f>((B17-B42)*B20-B41)/B43</f>
        <v>0.74460089209573777</v>
      </c>
      <c r="C47" s="105">
        <f>((C17-C42)*C20-C41)/C43</f>
        <v>0.75873786692668577</v>
      </c>
      <c r="D47" s="105">
        <f>((D17-D42)*D20-D41)/D43</f>
        <v>0.75873786692668577</v>
      </c>
      <c r="E47" s="105">
        <f>((E17-E42)*E20-E41)/E43</f>
        <v>0.75873786692668577</v>
      </c>
      <c r="F47" s="105">
        <f>((F17-F42)*F20-F41)/F43</f>
        <v>0.75873786692668577</v>
      </c>
      <c r="G47" s="134"/>
      <c r="H47" s="108"/>
      <c r="I47" s="315" t="s">
        <v>562</v>
      </c>
      <c r="J47" s="132">
        <v>1.5</v>
      </c>
      <c r="K47" s="132" t="s">
        <v>577</v>
      </c>
      <c r="L47" s="132">
        <v>1</v>
      </c>
      <c r="M47" s="132" t="s">
        <v>577</v>
      </c>
      <c r="N47" s="325">
        <f>J47*L47</f>
        <v>1.5</v>
      </c>
      <c r="O47" s="108"/>
      <c r="P47" s="108"/>
      <c r="Q47" s="108"/>
    </row>
    <row r="48" spans="1:17" ht="12.75" customHeight="1" thickTop="1">
      <c r="G48" s="134"/>
      <c r="H48" s="108"/>
      <c r="I48" s="315" t="s">
        <v>581</v>
      </c>
      <c r="J48" s="132"/>
      <c r="K48" s="132"/>
      <c r="L48" s="132"/>
      <c r="M48" s="132"/>
      <c r="N48" s="325">
        <f>SUM(N44:N47)</f>
        <v>10.4</v>
      </c>
      <c r="O48" s="108"/>
      <c r="P48" s="108"/>
      <c r="Q48" s="108"/>
    </row>
    <row r="49" spans="1:17" ht="12.75" customHeight="1" thickBot="1">
      <c r="A49" s="108"/>
      <c r="B49" s="108"/>
      <c r="C49" s="108"/>
      <c r="D49" s="108"/>
      <c r="E49" s="108"/>
      <c r="F49" s="108"/>
      <c r="G49" s="108"/>
      <c r="H49" s="108"/>
      <c r="I49" s="317" t="s">
        <v>582</v>
      </c>
      <c r="J49" s="318"/>
      <c r="K49" s="318"/>
      <c r="L49" s="318"/>
      <c r="M49" s="318"/>
      <c r="N49" s="327">
        <f>N48*2</f>
        <v>20.8</v>
      </c>
      <c r="O49" s="108"/>
      <c r="P49" s="108"/>
      <c r="Q49" s="108"/>
    </row>
    <row r="50" spans="1:17" ht="12.75" customHeight="1" thickTop="1">
      <c r="A50" s="170"/>
      <c r="B50" s="167" t="s">
        <v>305</v>
      </c>
      <c r="C50" s="167"/>
      <c r="D50" s="167"/>
      <c r="E50" s="167"/>
      <c r="F50" s="168"/>
      <c r="G50" s="108"/>
      <c r="H50" s="108"/>
      <c r="I50" s="108"/>
      <c r="J50" s="108"/>
      <c r="K50" s="108"/>
      <c r="L50" s="108"/>
      <c r="M50" s="108"/>
      <c r="N50" s="108"/>
      <c r="O50" s="108"/>
      <c r="P50" s="108"/>
      <c r="Q50" s="108"/>
    </row>
    <row r="51" spans="1:17" ht="12.75" customHeight="1" thickBot="1">
      <c r="A51" s="173" t="s">
        <v>164</v>
      </c>
      <c r="B51" s="165" t="s">
        <v>8</v>
      </c>
      <c r="C51" s="165" t="s">
        <v>165</v>
      </c>
      <c r="D51" s="165" t="s">
        <v>166</v>
      </c>
      <c r="E51" s="165" t="s">
        <v>167</v>
      </c>
      <c r="F51" s="166" t="s">
        <v>168</v>
      </c>
      <c r="G51" s="108"/>
      <c r="H51" s="108"/>
      <c r="I51" s="108"/>
      <c r="J51" s="108"/>
      <c r="K51" s="108"/>
      <c r="L51" s="108"/>
      <c r="M51" s="108"/>
      <c r="N51" s="108"/>
      <c r="O51" s="108"/>
      <c r="P51" s="108"/>
      <c r="Q51" s="108"/>
    </row>
    <row r="52" spans="1:17" ht="12.75" customHeight="1" thickTop="1">
      <c r="A52" s="130" t="s">
        <v>306</v>
      </c>
      <c r="B52" s="138">
        <f>$K$18</f>
        <v>1365000</v>
      </c>
      <c r="C52" s="138">
        <f>$K$18</f>
        <v>1365000</v>
      </c>
      <c r="D52" s="138">
        <f>$K$18</f>
        <v>1365000</v>
      </c>
      <c r="E52" s="138">
        <f>$K$18</f>
        <v>1365000</v>
      </c>
      <c r="F52" s="138">
        <f>$K$18</f>
        <v>1365000</v>
      </c>
      <c r="G52" s="108"/>
      <c r="H52" s="108"/>
      <c r="I52" s="339" t="s">
        <v>249</v>
      </c>
      <c r="J52" s="313"/>
      <c r="K52" s="345" t="s">
        <v>719</v>
      </c>
      <c r="L52" s="346" t="s">
        <v>720</v>
      </c>
      <c r="M52" s="108"/>
      <c r="N52" s="108"/>
      <c r="O52" s="108"/>
      <c r="P52" s="108"/>
      <c r="Q52" s="108"/>
    </row>
    <row r="53" spans="1:17" ht="12.75" customHeight="1">
      <c r="A53" s="61" t="s">
        <v>307</v>
      </c>
      <c r="B53" s="152">
        <f>K57</f>
        <v>33887.959743964027</v>
      </c>
      <c r="C53" s="152">
        <f>K57</f>
        <v>33887.959743964027</v>
      </c>
      <c r="D53" s="152">
        <f>K57</f>
        <v>33887.959743964027</v>
      </c>
      <c r="E53" s="152">
        <f>L57</f>
        <v>33887.959743964027</v>
      </c>
      <c r="F53" s="152">
        <f>L57</f>
        <v>33887.959743964027</v>
      </c>
      <c r="G53" s="108"/>
      <c r="H53" s="108"/>
      <c r="I53" s="315" t="s">
        <v>715</v>
      </c>
      <c r="J53" s="320"/>
      <c r="K53" s="341">
        <f>'E-Inv AF y Am'!D57</f>
        <v>225919.73162642686</v>
      </c>
      <c r="L53" s="321">
        <f>'E-Inv AF y Am'!E57</f>
        <v>225919.73162642686</v>
      </c>
      <c r="M53" s="108"/>
      <c r="N53" s="108"/>
      <c r="O53" s="108"/>
      <c r="P53" s="108"/>
      <c r="Q53" s="108"/>
    </row>
    <row r="54" spans="1:17" ht="12.75" customHeight="1">
      <c r="A54" s="61" t="s">
        <v>221</v>
      </c>
      <c r="B54" s="122">
        <f>$J$65</f>
        <v>337036</v>
      </c>
      <c r="C54" s="122">
        <f t="shared" ref="C54:F54" si="14">$J$65</f>
        <v>337036</v>
      </c>
      <c r="D54" s="122">
        <f t="shared" si="14"/>
        <v>337036</v>
      </c>
      <c r="E54" s="122">
        <f t="shared" si="14"/>
        <v>337036</v>
      </c>
      <c r="F54" s="122">
        <f t="shared" si="14"/>
        <v>337036</v>
      </c>
      <c r="G54" s="108"/>
      <c r="H54" s="108"/>
      <c r="I54" s="326"/>
      <c r="J54" s="320"/>
      <c r="K54" s="320"/>
      <c r="L54" s="338"/>
      <c r="M54" s="108"/>
      <c r="N54" s="108"/>
      <c r="O54" s="108"/>
      <c r="P54" s="108"/>
      <c r="Q54" s="108"/>
    </row>
    <row r="55" spans="1:17" ht="12.75" customHeight="1">
      <c r="A55" s="61" t="s">
        <v>308</v>
      </c>
      <c r="B55" s="122">
        <f>$K$28</f>
        <v>30000</v>
      </c>
      <c r="C55" s="122">
        <f t="shared" ref="C55:F55" si="15">$K$28</f>
        <v>30000</v>
      </c>
      <c r="D55" s="122">
        <f t="shared" si="15"/>
        <v>30000</v>
      </c>
      <c r="E55" s="122">
        <f t="shared" si="15"/>
        <v>30000</v>
      </c>
      <c r="F55" s="122">
        <f t="shared" si="15"/>
        <v>30000</v>
      </c>
      <c r="G55" s="108"/>
      <c r="H55" s="108"/>
      <c r="I55" s="315"/>
      <c r="J55" s="132"/>
      <c r="K55" s="132"/>
      <c r="L55" s="321"/>
      <c r="M55" s="108"/>
      <c r="N55" s="108"/>
      <c r="O55" s="108"/>
      <c r="P55" s="108"/>
      <c r="Q55" s="108"/>
    </row>
    <row r="56" spans="1:17" ht="12.75" customHeight="1">
      <c r="A56" s="61" t="s">
        <v>309</v>
      </c>
      <c r="B56" s="122">
        <v>0</v>
      </c>
      <c r="C56" s="122">
        <v>0</v>
      </c>
      <c r="D56" s="122">
        <v>0</v>
      </c>
      <c r="E56" s="122">
        <v>0</v>
      </c>
      <c r="F56" s="122">
        <v>0</v>
      </c>
      <c r="G56" s="108"/>
      <c r="H56" s="108"/>
      <c r="I56" s="315" t="s">
        <v>716</v>
      </c>
      <c r="J56" s="342">
        <v>0.7</v>
      </c>
      <c r="K56" s="341">
        <f>J56*K53</f>
        <v>158143.81213849879</v>
      </c>
      <c r="L56" s="321">
        <f>J56*L53</f>
        <v>158143.81213849879</v>
      </c>
      <c r="M56" s="108"/>
      <c r="N56" s="108"/>
      <c r="O56" s="108"/>
      <c r="P56" s="108"/>
      <c r="Q56" s="108"/>
    </row>
    <row r="57" spans="1:17" ht="12.75" customHeight="1">
      <c r="A57" s="61" t="s">
        <v>225</v>
      </c>
      <c r="B57" s="122">
        <v>0</v>
      </c>
      <c r="C57" s="122">
        <v>0</v>
      </c>
      <c r="D57" s="122">
        <v>0</v>
      </c>
      <c r="E57" s="122">
        <v>0</v>
      </c>
      <c r="F57" s="122">
        <v>0</v>
      </c>
      <c r="G57" s="108"/>
      <c r="H57" s="108"/>
      <c r="I57" s="315" t="s">
        <v>717</v>
      </c>
      <c r="J57" s="342">
        <v>0.15</v>
      </c>
      <c r="K57" s="341">
        <f>J57*K53</f>
        <v>33887.959743964027</v>
      </c>
      <c r="L57" s="321">
        <f>J57*L53</f>
        <v>33887.959743964027</v>
      </c>
      <c r="M57" s="108"/>
      <c r="N57" s="108"/>
      <c r="O57" s="108"/>
      <c r="P57" s="108"/>
      <c r="Q57" s="108"/>
    </row>
    <row r="58" spans="1:17" ht="12.75" customHeight="1">
      <c r="A58" s="61" t="s">
        <v>281</v>
      </c>
      <c r="B58" s="122">
        <v>0</v>
      </c>
      <c r="C58" s="122">
        <v>0</v>
      </c>
      <c r="D58" s="122">
        <v>0</v>
      </c>
      <c r="E58" s="122">
        <v>0</v>
      </c>
      <c r="F58" s="122">
        <v>0</v>
      </c>
      <c r="G58" s="108"/>
      <c r="H58" s="108"/>
      <c r="I58" s="315" t="s">
        <v>718</v>
      </c>
      <c r="J58" s="342">
        <v>0.15</v>
      </c>
      <c r="K58" s="341">
        <f>J58*K53</f>
        <v>33887.959743964027</v>
      </c>
      <c r="L58" s="321">
        <f>J58*L53</f>
        <v>33887.959743964027</v>
      </c>
      <c r="M58" s="108"/>
      <c r="N58" s="108"/>
      <c r="O58" s="108"/>
      <c r="P58" s="108"/>
      <c r="Q58" s="108"/>
    </row>
    <row r="59" spans="1:17" ht="12.75" customHeight="1">
      <c r="A59" s="61"/>
      <c r="B59" s="122"/>
      <c r="C59" s="122"/>
      <c r="D59" s="122"/>
      <c r="E59" s="122"/>
      <c r="F59" s="122"/>
      <c r="G59" s="108"/>
      <c r="H59" s="108"/>
      <c r="I59" s="317" t="s">
        <v>721</v>
      </c>
      <c r="J59" s="318"/>
      <c r="K59" s="343">
        <f>SUM(K56:K58)</f>
        <v>225919.73162642683</v>
      </c>
      <c r="L59" s="344">
        <f>SUM(L56:L58)</f>
        <v>225919.73162642683</v>
      </c>
      <c r="M59" s="108"/>
      <c r="N59" s="108"/>
      <c r="O59" s="108"/>
      <c r="P59" s="108"/>
      <c r="Q59" s="108"/>
    </row>
    <row r="60" spans="1:17" ht="12.75" customHeight="1">
      <c r="A60" s="61"/>
      <c r="B60" s="122"/>
      <c r="C60" s="122"/>
      <c r="D60" s="122"/>
      <c r="E60" s="122"/>
      <c r="F60" s="122"/>
      <c r="G60" s="108"/>
      <c r="H60" s="108"/>
      <c r="I60"/>
      <c r="J60" s="108"/>
      <c r="K60" s="108"/>
      <c r="L60" s="108"/>
      <c r="M60" s="108"/>
      <c r="N60" s="108"/>
      <c r="O60" s="108"/>
      <c r="P60" s="108"/>
      <c r="Q60" s="108"/>
    </row>
    <row r="61" spans="1:17" ht="12.75" customHeight="1">
      <c r="A61" s="61" t="s">
        <v>31</v>
      </c>
      <c r="B61" s="122">
        <f>0.04*(SUM(B52:B58))</f>
        <v>70636.958389758569</v>
      </c>
      <c r="C61" s="122">
        <f>0.04*(SUM(C52:C58))</f>
        <v>70636.958389758569</v>
      </c>
      <c r="D61" s="122">
        <f>0.04*(SUM(D52:D58))</f>
        <v>70636.958389758569</v>
      </c>
      <c r="E61" s="122">
        <f>0.04*(SUM(E52:E58))</f>
        <v>70636.958389758569</v>
      </c>
      <c r="F61" s="122">
        <f>0.04*(SUM(F52:F58))</f>
        <v>70636.958389758569</v>
      </c>
      <c r="G61" s="108"/>
      <c r="H61" s="108"/>
      <c r="I61"/>
      <c r="J61" s="108"/>
      <c r="K61" s="108"/>
      <c r="L61" s="108"/>
      <c r="M61" s="108"/>
      <c r="N61" s="108"/>
      <c r="O61" s="108"/>
      <c r="P61" s="108"/>
      <c r="Q61" s="108"/>
    </row>
    <row r="62" spans="1:17" ht="12.75" customHeight="1">
      <c r="A62" s="61"/>
      <c r="B62" s="139"/>
      <c r="C62" s="139"/>
      <c r="D62" s="139"/>
      <c r="E62" s="139"/>
      <c r="F62" s="140"/>
      <c r="G62" s="108"/>
      <c r="H62" s="108"/>
      <c r="I62" s="357" t="s">
        <v>221</v>
      </c>
      <c r="J62" s="615"/>
      <c r="K62" s="261"/>
      <c r="L62" s="108"/>
      <c r="M62" s="108"/>
      <c r="N62" s="108"/>
      <c r="O62" s="108"/>
      <c r="P62" s="108"/>
      <c r="Q62" s="108"/>
    </row>
    <row r="63" spans="1:17" ht="12.75" customHeight="1">
      <c r="A63" s="72" t="s">
        <v>310</v>
      </c>
      <c r="B63" s="122">
        <f>SUM(B52:B61)</f>
        <v>1836560.9181337226</v>
      </c>
      <c r="C63" s="122">
        <f>SUM(C52:C61)</f>
        <v>1836560.9181337226</v>
      </c>
      <c r="D63" s="122">
        <f>SUM(D52:D61)</f>
        <v>1836560.9181337226</v>
      </c>
      <c r="E63" s="122">
        <f>SUM(E52:E61)</f>
        <v>1836560.9181337226</v>
      </c>
      <c r="F63" s="122">
        <f>SUM(F52:F61)</f>
        <v>1836560.9181337226</v>
      </c>
      <c r="G63" s="108"/>
      <c r="H63" s="108"/>
      <c r="I63" s="604"/>
      <c r="J63" s="616" t="s">
        <v>724</v>
      </c>
      <c r="K63" s="473"/>
      <c r="L63"/>
      <c r="M63"/>
      <c r="N63"/>
      <c r="O63"/>
      <c r="P63" s="108"/>
      <c r="Q63" s="108"/>
    </row>
    <row r="64" spans="1:17" ht="12.75" customHeight="1">
      <c r="A64" s="72"/>
      <c r="B64" s="122"/>
      <c r="C64" s="122"/>
      <c r="D64" s="122"/>
      <c r="E64" s="122"/>
      <c r="F64" s="126"/>
      <c r="G64" s="108"/>
      <c r="H64" s="108"/>
      <c r="I64" s="603" t="s">
        <v>716</v>
      </c>
      <c r="J64" s="617">
        <f>0.01*M100</f>
        <v>337036</v>
      </c>
      <c r="K64" s="473"/>
      <c r="L64"/>
      <c r="M64"/>
      <c r="N64"/>
      <c r="O64"/>
      <c r="P64" s="108"/>
      <c r="Q64" s="108"/>
    </row>
    <row r="65" spans="1:17" ht="12.75" customHeight="1">
      <c r="A65" s="128" t="s">
        <v>286</v>
      </c>
      <c r="B65" s="101">
        <f>SUM(B52:B61)/B63</f>
        <v>1</v>
      </c>
      <c r="C65" s="101">
        <f>SUM(C52:C61)/C63</f>
        <v>1</v>
      </c>
      <c r="D65" s="101">
        <f>SUM(D52:D61)/D63</f>
        <v>1</v>
      </c>
      <c r="E65" s="101">
        <f>SUM(E52:E61)/E63</f>
        <v>1</v>
      </c>
      <c r="F65" s="101">
        <f>SUM(F52:F61)/F63</f>
        <v>1</v>
      </c>
      <c r="G65" s="134"/>
      <c r="H65" s="108"/>
      <c r="I65" s="603" t="s">
        <v>717</v>
      </c>
      <c r="J65" s="617">
        <f>0.01*M100</f>
        <v>337036</v>
      </c>
      <c r="K65" s="473"/>
      <c r="L65"/>
      <c r="M65"/>
      <c r="N65"/>
      <c r="O65"/>
      <c r="P65" s="108"/>
      <c r="Q65" s="108"/>
    </row>
    <row r="66" spans="1:17" ht="12.75" customHeight="1" thickBot="1">
      <c r="A66" s="63" t="s">
        <v>288</v>
      </c>
      <c r="B66" s="107">
        <v>0</v>
      </c>
      <c r="C66" s="107">
        <v>0</v>
      </c>
      <c r="D66" s="107">
        <v>0</v>
      </c>
      <c r="E66" s="107">
        <v>0</v>
      </c>
      <c r="F66" s="107">
        <v>0</v>
      </c>
      <c r="G66" s="134"/>
      <c r="H66" s="108"/>
      <c r="I66" s="603" t="s">
        <v>718</v>
      </c>
      <c r="J66" s="617">
        <f>0.01*M100</f>
        <v>337036</v>
      </c>
      <c r="K66" s="473"/>
      <c r="L66"/>
      <c r="M66"/>
      <c r="N66"/>
      <c r="O66"/>
      <c r="P66" s="152"/>
      <c r="Q66" s="108"/>
    </row>
    <row r="67" spans="1:17" ht="12.75" customHeight="1" thickTop="1">
      <c r="G67" s="134"/>
      <c r="H67" s="108"/>
      <c r="I67" s="603" t="s">
        <v>348</v>
      </c>
      <c r="J67" s="617">
        <f>SUM(J64:J66)</f>
        <v>1011108</v>
      </c>
      <c r="K67" s="473"/>
      <c r="L67"/>
      <c r="M67"/>
      <c r="N67"/>
      <c r="O67"/>
      <c r="P67" s="108"/>
      <c r="Q67" s="108"/>
    </row>
    <row r="68" spans="1:17" ht="12.75" customHeight="1" thickBot="1">
      <c r="A68" s="108"/>
      <c r="B68" s="108"/>
      <c r="C68" s="108"/>
      <c r="D68" s="108"/>
      <c r="E68" s="108"/>
      <c r="F68" s="108"/>
      <c r="G68" s="108"/>
      <c r="H68" s="108"/>
      <c r="I68" s="618"/>
      <c r="J68" s="619"/>
      <c r="K68" s="261"/>
      <c r="L68" s="108"/>
      <c r="M68" s="108"/>
      <c r="N68" s="108"/>
      <c r="O68" s="108"/>
      <c r="P68" s="108"/>
      <c r="Q68" s="108"/>
    </row>
    <row r="69" spans="1:17" ht="12.75" customHeight="1">
      <c r="A69" s="170"/>
      <c r="B69" s="167" t="s">
        <v>311</v>
      </c>
      <c r="C69" s="167"/>
      <c r="D69" s="167"/>
      <c r="E69" s="167"/>
      <c r="F69" s="168"/>
      <c r="G69" s="108"/>
      <c r="H69" s="108"/>
      <c r="I69" s="261"/>
      <c r="J69" s="261"/>
      <c r="K69" s="261"/>
      <c r="L69" s="108"/>
      <c r="M69" s="108"/>
      <c r="N69" s="108"/>
      <c r="O69" s="108"/>
      <c r="P69" s="108"/>
      <c r="Q69" s="108"/>
    </row>
    <row r="70" spans="1:17" ht="12.75" customHeight="1" thickBot="1">
      <c r="A70" s="173" t="s">
        <v>164</v>
      </c>
      <c r="B70" s="165" t="s">
        <v>8</v>
      </c>
      <c r="C70" s="165" t="s">
        <v>165</v>
      </c>
      <c r="D70" s="165" t="s">
        <v>166</v>
      </c>
      <c r="E70" s="165" t="s">
        <v>167</v>
      </c>
      <c r="F70" s="166" t="s">
        <v>168</v>
      </c>
      <c r="G70" s="108"/>
      <c r="H70" s="108"/>
      <c r="I70" s="357" t="s">
        <v>223</v>
      </c>
      <c r="J70" s="615"/>
      <c r="K70" s="261"/>
      <c r="L70" s="108"/>
      <c r="M70" s="108"/>
      <c r="N70" s="108"/>
      <c r="O70" s="108"/>
      <c r="P70" s="108"/>
      <c r="Q70" s="108"/>
    </row>
    <row r="71" spans="1:17" ht="12.75" customHeight="1" thickTop="1">
      <c r="A71" s="131" t="s">
        <v>306</v>
      </c>
      <c r="B71" s="123">
        <f>$K$22</f>
        <v>780000</v>
      </c>
      <c r="C71" s="123">
        <f>$K$22</f>
        <v>780000</v>
      </c>
      <c r="D71" s="123">
        <f>$K$22</f>
        <v>780000</v>
      </c>
      <c r="E71" s="123">
        <f>$K$22</f>
        <v>780000</v>
      </c>
      <c r="F71" s="123">
        <f>$K$22</f>
        <v>780000</v>
      </c>
      <c r="G71" s="108"/>
      <c r="H71" s="108"/>
      <c r="I71" s="315"/>
      <c r="J71" s="316"/>
      <c r="K71" s="108"/>
      <c r="L71" s="108"/>
      <c r="M71" s="108"/>
      <c r="N71" s="108"/>
      <c r="O71" s="108"/>
      <c r="P71" s="108"/>
      <c r="Q71" s="108"/>
    </row>
    <row r="72" spans="1:17" ht="12.75" customHeight="1">
      <c r="A72" s="61" t="s">
        <v>307</v>
      </c>
      <c r="B72" s="122">
        <f>K58</f>
        <v>33887.959743964027</v>
      </c>
      <c r="C72" s="122">
        <f>K58</f>
        <v>33887.959743964027</v>
      </c>
      <c r="D72" s="122">
        <f>K58</f>
        <v>33887.959743964027</v>
      </c>
      <c r="E72" s="122">
        <f>L58</f>
        <v>33887.959743964027</v>
      </c>
      <c r="F72" s="126">
        <f>L58</f>
        <v>33887.959743964027</v>
      </c>
      <c r="G72" s="108"/>
      <c r="H72" s="108"/>
      <c r="I72" s="315" t="s">
        <v>716</v>
      </c>
      <c r="J72" s="321">
        <v>0</v>
      </c>
      <c r="K72" s="108"/>
      <c r="L72" s="108"/>
      <c r="M72" s="108"/>
      <c r="N72" s="108"/>
      <c r="O72" s="108"/>
      <c r="P72" s="108"/>
      <c r="Q72" s="108"/>
    </row>
    <row r="73" spans="1:17" ht="12.75" customHeight="1">
      <c r="A73" s="61" t="s">
        <v>312</v>
      </c>
      <c r="B73" s="122">
        <f>$K$29</f>
        <v>30000</v>
      </c>
      <c r="C73" s="122">
        <f t="shared" ref="C73:F73" si="16">$K$29</f>
        <v>30000</v>
      </c>
      <c r="D73" s="122">
        <f t="shared" si="16"/>
        <v>30000</v>
      </c>
      <c r="E73" s="122">
        <f t="shared" si="16"/>
        <v>30000</v>
      </c>
      <c r="F73" s="122">
        <f t="shared" si="16"/>
        <v>30000</v>
      </c>
      <c r="G73" s="108"/>
      <c r="H73" s="108"/>
      <c r="I73" s="315" t="s">
        <v>717</v>
      </c>
      <c r="J73" s="321">
        <v>0</v>
      </c>
      <c r="K73" s="108"/>
      <c r="L73" s="108"/>
      <c r="M73" s="108"/>
      <c r="N73" s="108"/>
      <c r="O73" s="108"/>
      <c r="P73" s="108"/>
      <c r="Q73" s="108"/>
    </row>
    <row r="74" spans="1:17" ht="12.75" customHeight="1">
      <c r="A74" s="61" t="s">
        <v>309</v>
      </c>
      <c r="B74" s="122">
        <v>0</v>
      </c>
      <c r="C74" s="122">
        <v>0</v>
      </c>
      <c r="D74" s="122">
        <v>0</v>
      </c>
      <c r="E74" s="122">
        <v>0</v>
      </c>
      <c r="F74" s="122">
        <v>0</v>
      </c>
      <c r="G74" s="108"/>
      <c r="H74" s="108"/>
      <c r="I74" s="315" t="s">
        <v>718</v>
      </c>
      <c r="J74" s="321">
        <v>0</v>
      </c>
      <c r="K74" s="108"/>
      <c r="L74" s="108"/>
      <c r="M74" s="108"/>
      <c r="N74" s="108"/>
      <c r="O74" s="108"/>
      <c r="P74" s="108"/>
      <c r="Q74" s="108"/>
    </row>
    <row r="75" spans="1:17" ht="12.75" customHeight="1">
      <c r="G75" s="108"/>
      <c r="H75" s="108"/>
      <c r="I75" s="315" t="s">
        <v>348</v>
      </c>
      <c r="J75" s="321">
        <f>SUM(J72:J74)</f>
        <v>0</v>
      </c>
      <c r="K75" s="108"/>
      <c r="L75" s="108"/>
      <c r="M75" s="108"/>
      <c r="N75" s="108"/>
      <c r="O75" s="108"/>
      <c r="P75" s="108"/>
      <c r="Q75" s="108"/>
    </row>
    <row r="76" spans="1:17" ht="12.75" customHeight="1">
      <c r="A76" s="61" t="s">
        <v>221</v>
      </c>
      <c r="B76" s="122">
        <f>$J$66</f>
        <v>337036</v>
      </c>
      <c r="C76" s="122">
        <f t="shared" ref="C76:F76" si="17">$J$66</f>
        <v>337036</v>
      </c>
      <c r="D76" s="122">
        <f t="shared" si="17"/>
        <v>337036</v>
      </c>
      <c r="E76" s="122">
        <f t="shared" si="17"/>
        <v>337036</v>
      </c>
      <c r="F76" s="122">
        <f t="shared" si="17"/>
        <v>337036</v>
      </c>
      <c r="G76" s="108"/>
      <c r="H76" s="108"/>
      <c r="I76" s="317"/>
      <c r="J76" s="319"/>
      <c r="K76" s="108"/>
      <c r="L76" s="108"/>
      <c r="M76" s="108"/>
      <c r="N76" s="108"/>
      <c r="O76" s="108"/>
      <c r="P76" s="108"/>
      <c r="Q76" s="108"/>
    </row>
    <row r="77" spans="1:17" ht="12.75" customHeight="1">
      <c r="A77" s="61" t="s">
        <v>225</v>
      </c>
      <c r="B77" s="122">
        <v>0</v>
      </c>
      <c r="C77" s="122">
        <v>0</v>
      </c>
      <c r="D77" s="122">
        <v>0</v>
      </c>
      <c r="E77" s="122">
        <v>0</v>
      </c>
      <c r="F77" s="122">
        <v>0</v>
      </c>
      <c r="G77" s="108"/>
      <c r="H77" s="108"/>
      <c r="I77" s="108"/>
      <c r="J77" s="108"/>
      <c r="K77" s="108"/>
      <c r="L77" s="108"/>
      <c r="M77" s="108"/>
      <c r="N77" s="108"/>
      <c r="O77" s="108"/>
      <c r="P77" s="108"/>
      <c r="Q77" s="108"/>
    </row>
    <row r="78" spans="1:17" ht="12.75" customHeight="1">
      <c r="A78" s="61" t="s">
        <v>281</v>
      </c>
      <c r="B78" s="122">
        <v>0</v>
      </c>
      <c r="C78" s="122">
        <v>0</v>
      </c>
      <c r="D78" s="122">
        <v>0</v>
      </c>
      <c r="E78" s="122">
        <v>0</v>
      </c>
      <c r="F78" s="122">
        <v>0</v>
      </c>
      <c r="G78" s="108"/>
      <c r="H78" s="108"/>
      <c r="I78" s="339" t="s">
        <v>224</v>
      </c>
      <c r="J78" s="314"/>
      <c r="K78" s="108"/>
      <c r="L78" s="108"/>
      <c r="M78" s="108"/>
      <c r="N78" s="108"/>
      <c r="O78" s="108"/>
      <c r="P78" s="108"/>
      <c r="Q78" s="108"/>
    </row>
    <row r="79" spans="1:17" ht="12.75" customHeight="1">
      <c r="A79" s="61"/>
      <c r="B79" s="139"/>
      <c r="C79" s="139"/>
      <c r="D79" s="139"/>
      <c r="E79" s="139"/>
      <c r="F79" s="140"/>
      <c r="G79" s="108"/>
      <c r="H79" s="108"/>
      <c r="I79" s="315"/>
      <c r="J79" s="316"/>
      <c r="K79" s="108"/>
      <c r="L79" s="108"/>
      <c r="M79" s="108"/>
      <c r="N79" s="108"/>
      <c r="O79" s="108"/>
      <c r="P79" s="108"/>
      <c r="Q79" s="108"/>
    </row>
    <row r="80" spans="1:17" ht="12.75" customHeight="1">
      <c r="A80" s="61" t="s">
        <v>31</v>
      </c>
      <c r="B80" s="122">
        <f>0.04*SUM(B71:B78)</f>
        <v>47236.958389758562</v>
      </c>
      <c r="C80" s="122">
        <f>0.04*SUM(C71:C78)</f>
        <v>47236.958389758562</v>
      </c>
      <c r="D80" s="122">
        <f>0.04*SUM(D71:D78)</f>
        <v>47236.958389758562</v>
      </c>
      <c r="E80" s="122">
        <f>0.04*SUM(E71:E78)</f>
        <v>47236.958389758562</v>
      </c>
      <c r="F80" s="122">
        <f>0.04*SUM(F71:F78)</f>
        <v>47236.958389758562</v>
      </c>
      <c r="G80" s="108"/>
      <c r="H80" s="108"/>
      <c r="I80" s="315" t="s">
        <v>716</v>
      </c>
      <c r="J80" s="321">
        <v>0</v>
      </c>
      <c r="K80" s="108"/>
      <c r="L80" s="108"/>
      <c r="M80" s="108"/>
      <c r="N80" s="108"/>
      <c r="O80" s="108"/>
      <c r="P80" s="108"/>
      <c r="Q80" s="108"/>
    </row>
    <row r="81" spans="1:17" ht="12.75" customHeight="1">
      <c r="A81" s="61"/>
      <c r="B81" s="139"/>
      <c r="C81" s="139"/>
      <c r="D81" s="139"/>
      <c r="E81" s="139"/>
      <c r="F81" s="240"/>
      <c r="G81" s="108"/>
      <c r="H81" s="108"/>
      <c r="I81" s="315" t="s">
        <v>717</v>
      </c>
      <c r="J81" s="321">
        <v>0</v>
      </c>
      <c r="K81" s="108"/>
      <c r="L81" s="108"/>
      <c r="M81" s="108"/>
      <c r="N81" s="108"/>
      <c r="O81" s="108"/>
      <c r="P81" s="108"/>
      <c r="Q81" s="108"/>
    </row>
    <row r="82" spans="1:17" ht="12.75" customHeight="1">
      <c r="A82" s="72" t="s">
        <v>313</v>
      </c>
      <c r="B82" s="122">
        <f>SUM(B71:B80)</f>
        <v>1228160.9181337226</v>
      </c>
      <c r="C82" s="122">
        <f>SUM(C71:C80)</f>
        <v>1228160.9181337226</v>
      </c>
      <c r="D82" s="122">
        <f>SUM(D71:D80)</f>
        <v>1228160.9181337226</v>
      </c>
      <c r="E82" s="122">
        <f>SUM(E71:E80)</f>
        <v>1228160.9181337226</v>
      </c>
      <c r="F82" s="122">
        <f>SUM(F71:F80)</f>
        <v>1228160.9181337226</v>
      </c>
      <c r="G82" s="108"/>
      <c r="H82" s="108"/>
      <c r="I82" s="315" t="s">
        <v>718</v>
      </c>
      <c r="J82" s="321">
        <v>0</v>
      </c>
      <c r="K82" s="108"/>
      <c r="L82" s="108"/>
      <c r="M82" s="108"/>
      <c r="N82" s="108"/>
      <c r="O82" s="108"/>
      <c r="P82" s="108"/>
      <c r="Q82" s="108"/>
    </row>
    <row r="83" spans="1:17" ht="12.75" customHeight="1">
      <c r="A83" s="72"/>
      <c r="B83" s="122"/>
      <c r="C83" s="122"/>
      <c r="D83" s="122"/>
      <c r="E83" s="122"/>
      <c r="F83" s="126"/>
      <c r="G83" s="108"/>
      <c r="H83" s="108"/>
      <c r="I83" s="315" t="s">
        <v>348</v>
      </c>
      <c r="J83" s="321">
        <f>SUM(J80:J82)</f>
        <v>0</v>
      </c>
      <c r="K83" s="108"/>
      <c r="L83" s="108"/>
      <c r="M83" s="108"/>
      <c r="N83" s="108"/>
      <c r="O83" s="108"/>
      <c r="P83" s="108"/>
      <c r="Q83" s="108"/>
    </row>
    <row r="84" spans="1:17" ht="12.75" customHeight="1">
      <c r="A84" s="128" t="s">
        <v>286</v>
      </c>
      <c r="B84" s="101">
        <f>SUM(B71:B80)/B82</f>
        <v>1</v>
      </c>
      <c r="C84" s="101">
        <f>SUM(C71:C80)/C82</f>
        <v>1</v>
      </c>
      <c r="D84" s="101">
        <f>SUM(D71:D80)/D82</f>
        <v>1</v>
      </c>
      <c r="E84" s="101">
        <f>SUM(E71:E80)/E82</f>
        <v>1</v>
      </c>
      <c r="F84" s="101">
        <f>SUM(F71:F80)/F82</f>
        <v>1</v>
      </c>
      <c r="G84" s="108"/>
      <c r="H84" s="108"/>
      <c r="I84" s="317"/>
      <c r="J84" s="319"/>
      <c r="K84" s="108"/>
      <c r="L84" s="108"/>
      <c r="M84" s="108"/>
      <c r="N84" s="108"/>
      <c r="O84" s="108"/>
      <c r="P84" s="108"/>
      <c r="Q84" s="108"/>
    </row>
    <row r="85" spans="1:17" ht="12.75" customHeight="1">
      <c r="A85" s="63" t="s">
        <v>288</v>
      </c>
      <c r="B85" s="107">
        <v>0</v>
      </c>
      <c r="C85" s="107">
        <v>0</v>
      </c>
      <c r="D85" s="107">
        <v>0</v>
      </c>
      <c r="E85" s="107">
        <v>0</v>
      </c>
      <c r="F85" s="107">
        <v>0</v>
      </c>
      <c r="G85" s="108"/>
      <c r="H85" s="108"/>
      <c r="I85" s="108"/>
      <c r="J85" s="108"/>
      <c r="K85" s="108"/>
      <c r="L85" s="108"/>
      <c r="M85" s="108"/>
      <c r="N85" s="108"/>
      <c r="O85" s="108"/>
      <c r="P85" s="108"/>
      <c r="Q85" s="108"/>
    </row>
    <row r="86" spans="1:17" ht="12.75" customHeight="1">
      <c r="A86" s="108"/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</row>
    <row r="87" spans="1:17" ht="12.75" customHeight="1">
      <c r="A87" s="108"/>
      <c r="B87" s="108"/>
      <c r="C87" s="108"/>
      <c r="D87" s="108"/>
      <c r="E87" s="108"/>
      <c r="F87" s="108"/>
      <c r="G87" s="108"/>
      <c r="H87" s="108"/>
      <c r="I87" s="108"/>
      <c r="J87" s="108"/>
      <c r="K87" s="108"/>
      <c r="L87" s="108"/>
      <c r="M87" s="108"/>
      <c r="N87" s="108"/>
      <c r="O87" s="108"/>
      <c r="P87" s="108"/>
      <c r="Q87" s="108"/>
    </row>
    <row r="88" spans="1:17" ht="15.75" customHeight="1" thickTop="1">
      <c r="A88" s="170" t="s">
        <v>314</v>
      </c>
      <c r="B88" s="167"/>
      <c r="C88" s="167"/>
      <c r="D88" s="167"/>
      <c r="E88" s="167"/>
      <c r="F88" s="168"/>
      <c r="G88" s="108"/>
      <c r="H88" s="108"/>
      <c r="I88" s="108"/>
      <c r="J88" s="108"/>
      <c r="K88" s="108"/>
      <c r="L88" s="108"/>
      <c r="M88" s="108"/>
      <c r="N88" s="108"/>
      <c r="O88" s="108"/>
      <c r="P88" s="108"/>
      <c r="Q88" s="108"/>
    </row>
    <row r="89" spans="1:17" ht="12.75" customHeight="1" thickBot="1">
      <c r="A89" s="174"/>
      <c r="B89" s="163" t="s">
        <v>8</v>
      </c>
      <c r="C89" s="163" t="s">
        <v>165</v>
      </c>
      <c r="D89" s="163" t="s">
        <v>166</v>
      </c>
      <c r="E89" s="163" t="s">
        <v>167</v>
      </c>
      <c r="F89" s="166" t="s">
        <v>168</v>
      </c>
      <c r="G89" s="108"/>
      <c r="H89" s="108"/>
      <c r="I89" s="132"/>
      <c r="J89" s="132"/>
      <c r="K89" s="132"/>
      <c r="L89" s="132"/>
      <c r="M89" s="132"/>
      <c r="N89" s="132"/>
      <c r="O89" s="108"/>
      <c r="P89" s="108"/>
      <c r="Q89" s="108"/>
    </row>
    <row r="90" spans="1:17" ht="12.75" customHeight="1" thickTop="1">
      <c r="A90" s="61" t="s">
        <v>315</v>
      </c>
      <c r="B90" s="620">
        <f>+K100</f>
        <v>70000</v>
      </c>
      <c r="C90" s="620">
        <f>+K101</f>
        <v>78975</v>
      </c>
      <c r="D90" s="620">
        <f>+K102</f>
        <v>78975</v>
      </c>
      <c r="E90" s="620">
        <f>+K103</f>
        <v>78975</v>
      </c>
      <c r="F90" s="620">
        <f>+K104</f>
        <v>78975</v>
      </c>
      <c r="G90" s="108"/>
      <c r="H90" s="108"/>
      <c r="I90" s="179"/>
      <c r="J90" s="179"/>
      <c r="K90" s="179"/>
      <c r="L90" s="132"/>
      <c r="M90" s="179"/>
      <c r="N90" s="132"/>
      <c r="O90" s="108"/>
      <c r="P90" s="108"/>
      <c r="Q90" s="108"/>
    </row>
    <row r="91" spans="1:17" ht="12.75" customHeight="1">
      <c r="A91" s="61" t="s">
        <v>316</v>
      </c>
      <c r="B91" s="390">
        <f>+$K$106</f>
        <v>275.48</v>
      </c>
      <c r="C91" s="390">
        <f t="shared" ref="C91:F91" si="18">+$K$106</f>
        <v>275.48</v>
      </c>
      <c r="D91" s="390">
        <f t="shared" si="18"/>
        <v>275.48</v>
      </c>
      <c r="E91" s="390">
        <f t="shared" si="18"/>
        <v>275.48</v>
      </c>
      <c r="F91" s="390">
        <f t="shared" si="18"/>
        <v>275.48</v>
      </c>
      <c r="G91" s="108"/>
      <c r="H91" s="108"/>
      <c r="I91" s="179"/>
      <c r="J91" s="179"/>
      <c r="K91" s="179"/>
      <c r="L91" s="179"/>
      <c r="M91" s="320"/>
      <c r="N91" s="320"/>
      <c r="O91" s="108"/>
      <c r="P91" s="108"/>
      <c r="Q91" s="108"/>
    </row>
    <row r="92" spans="1:17" ht="12.75" customHeight="1">
      <c r="A92" s="61" t="s">
        <v>587</v>
      </c>
      <c r="B92" s="620">
        <f>+L100</f>
        <v>70000</v>
      </c>
      <c r="C92" s="620">
        <f>+L101</f>
        <v>78975</v>
      </c>
      <c r="D92" s="620">
        <f>+L102</f>
        <v>78975</v>
      </c>
      <c r="E92" s="620">
        <f>+L103</f>
        <v>78975</v>
      </c>
      <c r="F92" s="620">
        <f>+L104</f>
        <v>78975</v>
      </c>
      <c r="G92" s="108"/>
      <c r="H92" s="108"/>
      <c r="I92" s="179"/>
      <c r="J92" s="179"/>
      <c r="K92" s="179"/>
      <c r="L92" s="179"/>
      <c r="M92" s="179"/>
      <c r="N92" s="132"/>
      <c r="O92" s="108"/>
      <c r="P92" s="108"/>
      <c r="Q92" s="108"/>
    </row>
    <row r="93" spans="1:17" ht="12.75" customHeight="1">
      <c r="A93" s="61" t="s">
        <v>588</v>
      </c>
      <c r="B93" s="621">
        <f>+$L$106</f>
        <v>206</v>
      </c>
      <c r="C93" s="621">
        <f t="shared" ref="C93:F93" si="19">+$L$106</f>
        <v>206</v>
      </c>
      <c r="D93" s="621">
        <f t="shared" si="19"/>
        <v>206</v>
      </c>
      <c r="E93" s="621">
        <f t="shared" si="19"/>
        <v>206</v>
      </c>
      <c r="F93" s="621">
        <f t="shared" si="19"/>
        <v>206</v>
      </c>
      <c r="G93" s="108"/>
      <c r="H93" s="108"/>
      <c r="I93" s="108"/>
      <c r="J93" s="108"/>
      <c r="K93" s="108"/>
      <c r="L93" s="108"/>
      <c r="M93" s="108"/>
      <c r="N93" s="108"/>
      <c r="O93" s="108"/>
      <c r="P93" s="108"/>
      <c r="Q93" s="108"/>
    </row>
    <row r="94" spans="1:17" ht="12.75" customHeight="1">
      <c r="A94" s="72" t="s">
        <v>317</v>
      </c>
      <c r="B94" s="390">
        <f>B90*B91+B92*B93</f>
        <v>33703600</v>
      </c>
      <c r="C94" s="390">
        <f t="shared" ref="C94:F94" si="20">C90*C91+C92*C93</f>
        <v>38024883</v>
      </c>
      <c r="D94" s="390">
        <f t="shared" si="20"/>
        <v>38024883</v>
      </c>
      <c r="E94" s="390">
        <f t="shared" si="20"/>
        <v>38024883</v>
      </c>
      <c r="F94" s="390">
        <f t="shared" si="20"/>
        <v>38024883</v>
      </c>
      <c r="G94" s="124"/>
      <c r="H94" s="108"/>
      <c r="I94" s="323" t="s">
        <v>10</v>
      </c>
      <c r="J94" s="313" t="s">
        <v>585</v>
      </c>
      <c r="K94" s="313"/>
      <c r="L94" s="313"/>
      <c r="M94" s="314"/>
      <c r="N94" s="108"/>
      <c r="O94" s="108"/>
      <c r="P94" s="108"/>
      <c r="Q94" s="108"/>
    </row>
    <row r="95" spans="1:17" ht="12.75" customHeight="1">
      <c r="A95" s="61"/>
      <c r="B95" s="390"/>
      <c r="C95" s="390"/>
      <c r="D95" s="390"/>
      <c r="E95" s="390"/>
      <c r="F95" s="622"/>
      <c r="G95" s="108"/>
      <c r="H95" s="108"/>
      <c r="I95" s="315" t="s">
        <v>552</v>
      </c>
      <c r="J95" s="132">
        <v>80000</v>
      </c>
      <c r="K95" s="132" t="s">
        <v>553</v>
      </c>
      <c r="L95" s="132"/>
      <c r="M95" s="316"/>
      <c r="N95" s="108"/>
      <c r="O95" s="108"/>
      <c r="P95" s="108"/>
      <c r="Q95" s="108"/>
    </row>
    <row r="96" spans="1:17" ht="12.75" customHeight="1">
      <c r="A96" s="61" t="s">
        <v>318</v>
      </c>
      <c r="B96" s="390">
        <f>B6</f>
        <v>3423000</v>
      </c>
      <c r="C96" s="390">
        <f>C6</f>
        <v>3861877.5</v>
      </c>
      <c r="D96" s="122">
        <f t="shared" ref="D96" si="21">D6</f>
        <v>3861877.5</v>
      </c>
      <c r="E96" s="122">
        <f>E6</f>
        <v>3861877.5</v>
      </c>
      <c r="F96" s="122">
        <f t="shared" ref="F96:F97" si="22">F6</f>
        <v>3861877.5</v>
      </c>
      <c r="G96" s="108"/>
      <c r="H96" s="108"/>
      <c r="I96" s="315" t="s">
        <v>554</v>
      </c>
      <c r="J96" s="132">
        <f>80000</f>
        <v>80000</v>
      </c>
      <c r="K96" s="132" t="s">
        <v>553</v>
      </c>
      <c r="L96" s="132"/>
      <c r="M96" s="316"/>
      <c r="N96" s="108"/>
      <c r="O96" s="108"/>
      <c r="P96" s="108"/>
      <c r="Q96" s="108"/>
    </row>
    <row r="97" spans="1:20" ht="12.75" customHeight="1">
      <c r="A97" s="61" t="s">
        <v>293</v>
      </c>
      <c r="B97" s="390">
        <f>B7</f>
        <v>2340000</v>
      </c>
      <c r="C97" s="390">
        <f t="shared" ref="C97:E97" si="23">C7</f>
        <v>2340000</v>
      </c>
      <c r="D97" s="122">
        <f t="shared" si="23"/>
        <v>2340000</v>
      </c>
      <c r="E97" s="122">
        <f t="shared" si="23"/>
        <v>2340000</v>
      </c>
      <c r="F97" s="122">
        <f t="shared" si="22"/>
        <v>2340000</v>
      </c>
      <c r="G97" s="108"/>
      <c r="H97" s="108"/>
      <c r="I97" s="317" t="s">
        <v>517</v>
      </c>
      <c r="J97" s="318">
        <f>SUM(J95:J96)</f>
        <v>160000</v>
      </c>
      <c r="K97" s="318"/>
      <c r="L97" s="318"/>
      <c r="M97" s="319"/>
      <c r="N97" s="108"/>
      <c r="O97" s="108"/>
      <c r="P97" s="108"/>
      <c r="Q97" s="108"/>
    </row>
    <row r="98" spans="1:20" ht="12.75" customHeight="1">
      <c r="A98" s="61" t="s">
        <v>319</v>
      </c>
      <c r="B98" s="390">
        <f>SUM(B9:B16)</f>
        <v>1954507.0046240387</v>
      </c>
      <c r="C98" s="390">
        <f>SUM(C9:C16)</f>
        <v>1972062.1046240388</v>
      </c>
      <c r="D98" s="122">
        <f>SUM(D9:D16)</f>
        <v>1972062.1046240388</v>
      </c>
      <c r="E98" s="122">
        <f>SUM(E9:E16)</f>
        <v>1972062.1046240388</v>
      </c>
      <c r="F98" s="122">
        <f>SUM(F9:F16)</f>
        <v>1972062.1046240388</v>
      </c>
      <c r="G98" s="108"/>
      <c r="H98" s="108"/>
      <c r="I98" s="108"/>
      <c r="J98" s="108"/>
      <c r="K98" s="108"/>
      <c r="L98" s="108"/>
      <c r="M98" s="108"/>
      <c r="N98" s="108"/>
      <c r="O98" s="108"/>
      <c r="P98" s="108"/>
      <c r="Q98" s="108"/>
    </row>
    <row r="99" spans="1:20" ht="12.75" customHeight="1">
      <c r="A99" s="61"/>
      <c r="C99" s="122"/>
      <c r="D99" s="122"/>
      <c r="E99" s="122"/>
      <c r="F99" s="126"/>
      <c r="G99" s="108"/>
      <c r="H99" s="108"/>
      <c r="I99" s="613" t="s">
        <v>583</v>
      </c>
      <c r="J99" s="614" t="s">
        <v>527</v>
      </c>
      <c r="K99" s="623" t="s">
        <v>584</v>
      </c>
      <c r="L99" s="623" t="s">
        <v>554</v>
      </c>
      <c r="M99" s="624" t="s">
        <v>589</v>
      </c>
      <c r="N99" s="261"/>
      <c r="O99" s="108"/>
      <c r="P99" s="132"/>
      <c r="Q99" s="132"/>
      <c r="R99" s="320"/>
      <c r="S99" s="320"/>
      <c r="T99" s="320"/>
    </row>
    <row r="100" spans="1:20" ht="12.75" customHeight="1">
      <c r="A100" s="61" t="s">
        <v>320</v>
      </c>
      <c r="B100" s="122">
        <f>SUM(B96:B98)</f>
        <v>7717507.0046240389</v>
      </c>
      <c r="C100" s="122">
        <f t="shared" ref="C100:F100" si="24">SUM(C96:C98)</f>
        <v>8173939.6046240386</v>
      </c>
      <c r="D100" s="122">
        <f t="shared" si="24"/>
        <v>8173939.6046240386</v>
      </c>
      <c r="E100" s="122">
        <f t="shared" si="24"/>
        <v>8173939.6046240386</v>
      </c>
      <c r="F100" s="122">
        <f t="shared" si="24"/>
        <v>8173939.6046240386</v>
      </c>
      <c r="G100" s="108"/>
      <c r="H100" s="108"/>
      <c r="I100" s="603" t="s">
        <v>555</v>
      </c>
      <c r="J100" s="625">
        <f>K100+L100</f>
        <v>140000</v>
      </c>
      <c r="K100" s="598">
        <v>70000</v>
      </c>
      <c r="L100" s="598">
        <v>70000</v>
      </c>
      <c r="M100" s="626">
        <f>K100*K$106+L100*L$106</f>
        <v>33703600</v>
      </c>
      <c r="N100" s="404"/>
      <c r="P100" s="324"/>
      <c r="Q100" s="324"/>
      <c r="R100" s="324"/>
      <c r="S100" s="324"/>
      <c r="T100" s="324"/>
    </row>
    <row r="101" spans="1:20" ht="12.75" customHeight="1">
      <c r="A101" s="61"/>
      <c r="B101" s="122"/>
      <c r="C101" s="122"/>
      <c r="D101" s="122"/>
      <c r="E101" s="122"/>
      <c r="F101" s="126"/>
      <c r="G101" s="108"/>
      <c r="H101" s="108"/>
      <c r="I101" s="603" t="s">
        <v>556</v>
      </c>
      <c r="J101" s="625">
        <f t="shared" ref="J101:J104" si="25">K101+L101</f>
        <v>157950</v>
      </c>
      <c r="K101" s="598">
        <v>78975</v>
      </c>
      <c r="L101" s="598">
        <v>78975</v>
      </c>
      <c r="M101" s="626">
        <f t="shared" ref="M101:M104" si="26">K101*K$106+L101*L$106</f>
        <v>38024883</v>
      </c>
      <c r="N101" s="261"/>
      <c r="O101" s="108"/>
      <c r="P101" s="132"/>
      <c r="Q101" s="132"/>
      <c r="R101" s="320"/>
      <c r="S101" s="320"/>
      <c r="T101" s="320"/>
    </row>
    <row r="102" spans="1:20" ht="12.75" customHeight="1">
      <c r="A102" s="61" t="s">
        <v>300</v>
      </c>
      <c r="B102" s="122"/>
      <c r="C102" s="122"/>
      <c r="D102" s="122"/>
      <c r="E102" s="122"/>
      <c r="F102" s="126"/>
      <c r="G102" s="108"/>
      <c r="H102" s="108"/>
      <c r="I102" s="603" t="s">
        <v>557</v>
      </c>
      <c r="J102" s="625">
        <f t="shared" si="25"/>
        <v>157950</v>
      </c>
      <c r="K102" s="598">
        <v>78975</v>
      </c>
      <c r="L102" s="598">
        <v>78975</v>
      </c>
      <c r="M102" s="626">
        <f t="shared" si="26"/>
        <v>38024883</v>
      </c>
      <c r="N102" s="261"/>
      <c r="O102" s="108"/>
      <c r="P102" s="132"/>
      <c r="Q102" s="132"/>
      <c r="R102" s="320"/>
      <c r="S102" s="320"/>
      <c r="T102" s="320"/>
    </row>
    <row r="103" spans="1:20" ht="12.75" customHeight="1">
      <c r="A103" s="61" t="s">
        <v>292</v>
      </c>
      <c r="B103" s="122">
        <f>-G35</f>
        <v>-64200.818239999993</v>
      </c>
      <c r="C103" s="122"/>
      <c r="D103" s="122"/>
      <c r="E103" s="122"/>
      <c r="F103" s="126"/>
      <c r="G103" s="108"/>
      <c r="H103" s="108"/>
      <c r="I103" s="603" t="s">
        <v>558</v>
      </c>
      <c r="J103" s="625">
        <f t="shared" si="25"/>
        <v>157950</v>
      </c>
      <c r="K103" s="598">
        <v>78975</v>
      </c>
      <c r="L103" s="598">
        <v>78975</v>
      </c>
      <c r="M103" s="626">
        <f t="shared" si="26"/>
        <v>38024883</v>
      </c>
      <c r="N103" s="261" t="s">
        <v>725</v>
      </c>
      <c r="O103" s="108"/>
      <c r="P103" s="108"/>
      <c r="Q103" s="108"/>
    </row>
    <row r="104" spans="1:20" ht="12.75" customHeight="1">
      <c r="A104" s="61" t="s">
        <v>302</v>
      </c>
      <c r="B104" s="122">
        <f>-B42</f>
        <v>-65598.809539304333</v>
      </c>
      <c r="C104" s="122">
        <f>-C42</f>
        <v>-3879.6771000000153</v>
      </c>
      <c r="D104" s="122">
        <f>-D42</f>
        <v>0</v>
      </c>
      <c r="E104" s="122">
        <f>-E42</f>
        <v>0</v>
      </c>
      <c r="F104" s="122">
        <f>-F42</f>
        <v>0</v>
      </c>
      <c r="G104" s="108"/>
      <c r="H104" s="108"/>
      <c r="I104" s="603" t="s">
        <v>559</v>
      </c>
      <c r="J104" s="625">
        <f t="shared" si="25"/>
        <v>157950</v>
      </c>
      <c r="K104" s="598">
        <v>78975</v>
      </c>
      <c r="L104" s="598">
        <v>78975</v>
      </c>
      <c r="M104" s="626">
        <f t="shared" si="26"/>
        <v>38024883</v>
      </c>
      <c r="N104" s="261"/>
      <c r="O104" s="108"/>
      <c r="P104" s="108"/>
      <c r="Q104" s="108"/>
    </row>
    <row r="105" spans="1:20" ht="12.75" customHeight="1">
      <c r="A105" s="61"/>
      <c r="B105" s="122"/>
      <c r="C105" s="122"/>
      <c r="D105" s="122"/>
      <c r="E105" s="122"/>
      <c r="F105" s="126"/>
      <c r="G105" s="108"/>
      <c r="H105" s="108"/>
      <c r="I105" s="603"/>
      <c r="J105" s="625"/>
      <c r="K105" s="625"/>
      <c r="L105" s="625"/>
      <c r="M105" s="617">
        <f>SUM(M100:M104)</f>
        <v>185803132</v>
      </c>
      <c r="N105" s="261"/>
      <c r="O105" s="108"/>
      <c r="P105" s="108"/>
      <c r="Q105" s="108"/>
    </row>
    <row r="106" spans="1:20" ht="12.75" customHeight="1">
      <c r="A106" s="72" t="s">
        <v>321</v>
      </c>
      <c r="B106" s="153">
        <f>B100+B103+B104</f>
        <v>7587707.3768447349</v>
      </c>
      <c r="C106" s="153">
        <f t="shared" ref="C106:F106" si="27">C100+C103+C104</f>
        <v>8170059.9275240386</v>
      </c>
      <c r="D106" s="153">
        <f t="shared" si="27"/>
        <v>8173939.6046240386</v>
      </c>
      <c r="E106" s="153">
        <f t="shared" si="27"/>
        <v>8173939.6046240386</v>
      </c>
      <c r="F106" s="153">
        <f t="shared" si="27"/>
        <v>8173939.6046240386</v>
      </c>
      <c r="G106" s="108"/>
      <c r="H106" s="108"/>
      <c r="I106" s="603"/>
      <c r="J106" s="625" t="s">
        <v>526</v>
      </c>
      <c r="K106" s="625">
        <v>275.48</v>
      </c>
      <c r="L106" s="627">
        <v>206</v>
      </c>
      <c r="M106" s="628"/>
      <c r="N106" s="261" t="s">
        <v>725</v>
      </c>
      <c r="O106"/>
      <c r="P106"/>
      <c r="Q106"/>
    </row>
    <row r="107" spans="1:20" ht="12.75" customHeight="1">
      <c r="A107" s="61" t="s">
        <v>322</v>
      </c>
      <c r="B107" s="142">
        <f>B90+B92</f>
        <v>140000</v>
      </c>
      <c r="C107" s="142">
        <f t="shared" ref="C107:F107" si="28">C90+C92</f>
        <v>157950</v>
      </c>
      <c r="D107" s="142">
        <f t="shared" si="28"/>
        <v>157950</v>
      </c>
      <c r="E107" s="142">
        <f t="shared" si="28"/>
        <v>157950</v>
      </c>
      <c r="F107" s="142">
        <f t="shared" si="28"/>
        <v>157950</v>
      </c>
      <c r="G107" s="261"/>
      <c r="H107" s="108"/>
      <c r="I107" s="618"/>
      <c r="J107" s="629"/>
      <c r="K107" s="610"/>
      <c r="L107" s="630"/>
      <c r="M107" s="619"/>
      <c r="N107" s="261"/>
      <c r="O107" s="108"/>
      <c r="P107" s="108"/>
      <c r="Q107" s="108"/>
    </row>
    <row r="108" spans="1:20" ht="12.75" customHeight="1">
      <c r="A108" s="61" t="s">
        <v>323</v>
      </c>
      <c r="B108" s="122">
        <f>B44</f>
        <v>54.197909834605248</v>
      </c>
      <c r="C108" s="122">
        <f>C44</f>
        <v>51.725608911199991</v>
      </c>
      <c r="D108" s="122">
        <f>D44</f>
        <v>51.750171602558012</v>
      </c>
      <c r="E108" s="122">
        <f>E44</f>
        <v>51.750171602558012</v>
      </c>
      <c r="F108" s="122">
        <f>F44</f>
        <v>51.750171602558012</v>
      </c>
      <c r="G108" s="108"/>
      <c r="H108" s="108"/>
      <c r="I108" s="261"/>
      <c r="J108" s="261"/>
      <c r="K108" s="404"/>
      <c r="L108" s="404"/>
      <c r="M108" s="261"/>
      <c r="N108" s="261"/>
      <c r="O108" s="108"/>
      <c r="P108" s="108"/>
      <c r="Q108" s="108"/>
    </row>
    <row r="109" spans="1:20" ht="12.75" customHeight="1">
      <c r="A109" s="61"/>
      <c r="B109" s="142"/>
      <c r="C109" s="142"/>
      <c r="D109" s="142"/>
      <c r="E109" s="142"/>
      <c r="F109" s="143"/>
      <c r="G109" s="261"/>
      <c r="H109" s="108"/>
      <c r="I109" s="108"/>
      <c r="J109" s="108"/>
      <c r="M109" s="108"/>
      <c r="N109" s="108"/>
      <c r="O109" s="108"/>
      <c r="P109" s="108"/>
      <c r="Q109" s="108"/>
    </row>
    <row r="110" spans="1:20" ht="12.75" customHeight="1">
      <c r="A110" s="61" t="s">
        <v>300</v>
      </c>
      <c r="B110" s="142"/>
      <c r="C110" s="142"/>
      <c r="D110" s="142"/>
      <c r="E110" s="142"/>
      <c r="F110" s="143"/>
      <c r="G110" s="261"/>
      <c r="H110" s="108"/>
      <c r="I110" s="108"/>
      <c r="J110" s="108"/>
      <c r="M110" s="108"/>
      <c r="N110" s="108"/>
      <c r="O110" s="108"/>
      <c r="P110" s="108"/>
      <c r="Q110" s="108"/>
    </row>
    <row r="111" spans="1:20" ht="12.75" customHeight="1">
      <c r="A111" s="61" t="s">
        <v>324</v>
      </c>
      <c r="B111" s="122"/>
      <c r="C111" s="122"/>
      <c r="D111" s="122"/>
      <c r="E111" s="122"/>
      <c r="F111" s="126"/>
      <c r="G111" s="261"/>
      <c r="H111" s="108"/>
      <c r="I111" s="108"/>
      <c r="J111" s="108"/>
      <c r="M111" s="108"/>
      <c r="N111" s="108"/>
      <c r="O111" s="108"/>
      <c r="P111" s="108"/>
      <c r="Q111" s="108"/>
    </row>
    <row r="112" spans="1:20" ht="12.75" customHeight="1">
      <c r="A112" s="61"/>
      <c r="B112" s="142"/>
      <c r="C112" s="142"/>
      <c r="D112" s="142"/>
      <c r="E112" s="142"/>
      <c r="F112" s="143"/>
      <c r="G112" s="261"/>
      <c r="H112" s="108"/>
      <c r="I112" s="108"/>
      <c r="J112" s="108"/>
      <c r="K112" s="108"/>
      <c r="L112" s="108"/>
      <c r="M112" s="108"/>
      <c r="N112" s="108"/>
      <c r="O112" s="108"/>
      <c r="P112" s="108"/>
      <c r="Q112" s="108"/>
    </row>
    <row r="113" spans="1:17" ht="12.75" customHeight="1">
      <c r="A113" s="72" t="s">
        <v>325</v>
      </c>
      <c r="B113" s="122">
        <f>B106+B111</f>
        <v>7587707.3768447349</v>
      </c>
      <c r="C113" s="122">
        <f t="shared" ref="C113:F113" si="29">C106+C111</f>
        <v>8170059.9275240386</v>
      </c>
      <c r="D113" s="122">
        <f t="shared" si="29"/>
        <v>8173939.6046240386</v>
      </c>
      <c r="E113" s="122">
        <f t="shared" si="29"/>
        <v>8173939.6046240386</v>
      </c>
      <c r="F113" s="122">
        <f t="shared" si="29"/>
        <v>8173939.6046240386</v>
      </c>
      <c r="G113" s="108"/>
      <c r="H113" s="108"/>
      <c r="I113" s="108"/>
      <c r="J113" s="108"/>
      <c r="K113" s="108"/>
      <c r="L113" s="108"/>
      <c r="M113" s="108"/>
      <c r="N113" s="108"/>
      <c r="O113" s="108"/>
      <c r="P113" s="108"/>
      <c r="Q113" s="108"/>
    </row>
    <row r="114" spans="1:17" ht="12.75" customHeight="1">
      <c r="A114" s="61"/>
      <c r="B114" s="122"/>
      <c r="C114" s="122"/>
      <c r="D114" s="122"/>
      <c r="E114" s="122"/>
      <c r="F114" s="126"/>
      <c r="G114" s="108"/>
      <c r="H114" s="108"/>
      <c r="I114" s="108"/>
      <c r="J114" s="108"/>
      <c r="K114" s="108"/>
      <c r="L114" s="108"/>
      <c r="M114" s="108"/>
      <c r="N114" s="108"/>
      <c r="O114" s="108"/>
      <c r="P114" s="108"/>
      <c r="Q114" s="108"/>
    </row>
    <row r="115" spans="1:17" ht="12.75" customHeight="1">
      <c r="A115" s="72" t="s">
        <v>326</v>
      </c>
      <c r="B115" s="122">
        <f>B63</f>
        <v>1836560.9181337226</v>
      </c>
      <c r="C115" s="122">
        <f>C63</f>
        <v>1836560.9181337226</v>
      </c>
      <c r="D115" s="122">
        <f>D63</f>
        <v>1836560.9181337226</v>
      </c>
      <c r="E115" s="122">
        <f>E63</f>
        <v>1836560.9181337226</v>
      </c>
      <c r="F115" s="122">
        <f>F63</f>
        <v>1836560.9181337226</v>
      </c>
      <c r="G115" s="108"/>
      <c r="H115" s="108"/>
      <c r="I115" s="108"/>
      <c r="J115" s="108"/>
      <c r="K115" s="108"/>
      <c r="L115" s="108"/>
      <c r="M115" s="108"/>
      <c r="N115" s="108"/>
      <c r="O115" s="108"/>
      <c r="P115" s="108"/>
      <c r="Q115" s="108"/>
    </row>
    <row r="116" spans="1:17" ht="12.75" customHeight="1">
      <c r="A116" s="72" t="s">
        <v>327</v>
      </c>
      <c r="B116" s="142">
        <f t="shared" ref="B116:F116" si="30">B82</f>
        <v>1228160.9181337226</v>
      </c>
      <c r="C116" s="142">
        <f t="shared" si="30"/>
        <v>1228160.9181337226</v>
      </c>
      <c r="D116" s="142">
        <f t="shared" si="30"/>
        <v>1228160.9181337226</v>
      </c>
      <c r="E116" s="142">
        <f t="shared" si="30"/>
        <v>1228160.9181337226</v>
      </c>
      <c r="F116" s="142">
        <f t="shared" si="30"/>
        <v>1228160.9181337226</v>
      </c>
      <c r="G116" s="108"/>
      <c r="H116" s="108"/>
      <c r="I116" s="108"/>
      <c r="J116" s="108"/>
      <c r="K116" s="108"/>
      <c r="L116" s="108"/>
      <c r="M116" s="108"/>
      <c r="N116" s="108"/>
      <c r="O116" s="108"/>
      <c r="P116" s="108"/>
      <c r="Q116" s="108"/>
    </row>
    <row r="117" spans="1:17" ht="12.75" customHeight="1">
      <c r="A117" s="61"/>
      <c r="B117" s="142"/>
      <c r="C117" s="142"/>
      <c r="D117" s="142"/>
      <c r="E117" s="142"/>
      <c r="F117" s="143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</row>
    <row r="118" spans="1:17" ht="12.75" customHeight="1">
      <c r="A118" s="72" t="s">
        <v>328</v>
      </c>
      <c r="B118" s="142">
        <f t="shared" ref="B118:F118" si="31">B113+B115+B116</f>
        <v>10652429.213112181</v>
      </c>
      <c r="C118" s="142">
        <f t="shared" si="31"/>
        <v>11234781.763791485</v>
      </c>
      <c r="D118" s="142">
        <f t="shared" si="31"/>
        <v>11238661.440891484</v>
      </c>
      <c r="E118" s="142">
        <f t="shared" si="31"/>
        <v>11238661.440891484</v>
      </c>
      <c r="F118" s="142">
        <f t="shared" si="31"/>
        <v>11238661.440891484</v>
      </c>
      <c r="G118" s="108"/>
      <c r="H118" s="108"/>
      <c r="I118" s="108"/>
      <c r="J118" s="108"/>
      <c r="K118" s="108"/>
      <c r="L118" s="108"/>
      <c r="M118" s="108"/>
      <c r="N118" s="108"/>
      <c r="O118" s="108"/>
      <c r="P118" s="108"/>
      <c r="Q118" s="108"/>
    </row>
    <row r="119" spans="1:17" ht="12.75" customHeight="1">
      <c r="A119" s="61"/>
      <c r="B119" s="142"/>
      <c r="C119" s="142"/>
      <c r="D119" s="142"/>
      <c r="E119" s="142"/>
      <c r="F119" s="143"/>
      <c r="G119" s="108"/>
      <c r="H119" s="108"/>
      <c r="I119" s="108"/>
      <c r="J119" s="108"/>
      <c r="K119" s="108"/>
      <c r="L119" s="108"/>
      <c r="M119" s="108"/>
      <c r="N119" s="108"/>
      <c r="O119" s="108"/>
      <c r="P119" s="108"/>
      <c r="Q119" s="108"/>
    </row>
    <row r="120" spans="1:17" ht="12.75" customHeight="1">
      <c r="A120" s="72" t="s">
        <v>329</v>
      </c>
      <c r="B120" s="142">
        <f t="shared" ref="B120:F120" si="32">B118/B107</f>
        <v>76.088780093658443</v>
      </c>
      <c r="C120" s="142">
        <f t="shared" si="32"/>
        <v>71.128722784371547</v>
      </c>
      <c r="D120" s="142">
        <f t="shared" si="32"/>
        <v>71.153285475729561</v>
      </c>
      <c r="E120" s="142">
        <f t="shared" si="32"/>
        <v>71.153285475729561</v>
      </c>
      <c r="F120" s="142">
        <f t="shared" si="32"/>
        <v>71.153285475729561</v>
      </c>
      <c r="G120" s="108"/>
      <c r="H120" s="108"/>
      <c r="I120" s="108"/>
      <c r="J120" s="108"/>
      <c r="K120" s="108"/>
      <c r="L120" s="108"/>
      <c r="M120" s="108"/>
      <c r="N120" s="108"/>
      <c r="O120" s="108"/>
      <c r="P120" s="108"/>
      <c r="Q120" s="108"/>
    </row>
    <row r="121" spans="1:17" ht="12.75" customHeight="1">
      <c r="A121" s="61"/>
      <c r="B121" s="142"/>
      <c r="C121" s="142"/>
      <c r="D121" s="142"/>
      <c r="E121" s="142"/>
      <c r="F121" s="143"/>
      <c r="G121" s="108"/>
      <c r="H121" s="108"/>
      <c r="I121" s="108"/>
      <c r="J121" s="108"/>
      <c r="K121" s="108"/>
      <c r="L121" s="108"/>
      <c r="M121" s="108"/>
      <c r="N121" s="108"/>
      <c r="O121" s="108"/>
      <c r="P121" s="108"/>
      <c r="Q121" s="108"/>
    </row>
    <row r="122" spans="1:17" ht="12.75" customHeight="1">
      <c r="A122" s="72" t="s">
        <v>330</v>
      </c>
      <c r="B122" s="142">
        <f t="shared" ref="B122:F122" si="33">B94-B118</f>
        <v>23051170.786887817</v>
      </c>
      <c r="C122" s="142">
        <f t="shared" si="33"/>
        <v>26790101.236208513</v>
      </c>
      <c r="D122" s="142">
        <f t="shared" si="33"/>
        <v>26786221.559108518</v>
      </c>
      <c r="E122" s="142">
        <f t="shared" si="33"/>
        <v>26786221.559108518</v>
      </c>
      <c r="F122" s="142">
        <f t="shared" si="33"/>
        <v>26786221.559108518</v>
      </c>
      <c r="G122" s="154"/>
      <c r="H122" s="108"/>
      <c r="I122" s="108"/>
      <c r="J122" s="108"/>
      <c r="K122" s="108"/>
      <c r="L122" s="108"/>
      <c r="M122" s="108"/>
      <c r="N122" s="108"/>
      <c r="O122" s="108"/>
      <c r="P122" s="108"/>
      <c r="Q122" s="108"/>
    </row>
    <row r="123" spans="1:17" ht="12.75" customHeight="1">
      <c r="A123" s="72" t="s">
        <v>4</v>
      </c>
      <c r="B123" s="142">
        <f>B122*InfoInicial!B5</f>
        <v>1844093.6629510254</v>
      </c>
      <c r="C123" s="142">
        <f>C122*InfoInicial!B5</f>
        <v>2143208.0988966813</v>
      </c>
      <c r="D123" s="142">
        <f>D122*InfoInicial!B5</f>
        <v>2142897.7247286816</v>
      </c>
      <c r="E123" s="142">
        <f>E122*InfoInicial!B5</f>
        <v>2142897.7247286816</v>
      </c>
      <c r="F123" s="142">
        <f>F122*InfoInicial!B5</f>
        <v>2142897.7247286816</v>
      </c>
      <c r="G123" s="108"/>
      <c r="H123" s="108"/>
      <c r="I123" s="108"/>
      <c r="J123" s="108"/>
      <c r="K123" s="108"/>
      <c r="L123" s="108"/>
      <c r="M123" s="108"/>
      <c r="N123" s="108"/>
      <c r="O123" s="108"/>
      <c r="P123" s="108"/>
      <c r="Q123" s="108"/>
    </row>
    <row r="124" spans="1:17" ht="12.75" customHeight="1">
      <c r="A124" s="72" t="s">
        <v>331</v>
      </c>
      <c r="B124" s="142">
        <f t="shared" ref="B124:F124" si="34">(B122-B123)*0.35</f>
        <v>7422476.9933778765</v>
      </c>
      <c r="C124" s="142">
        <f t="shared" si="34"/>
        <v>8626412.5980591401</v>
      </c>
      <c r="D124" s="142">
        <f t="shared" si="34"/>
        <v>8625163.3420329429</v>
      </c>
      <c r="E124" s="142">
        <f t="shared" si="34"/>
        <v>8625163.3420329429</v>
      </c>
      <c r="F124" s="142">
        <f t="shared" si="34"/>
        <v>8625163.3420329429</v>
      </c>
      <c r="G124" s="108"/>
      <c r="H124" s="108"/>
      <c r="I124" s="108"/>
      <c r="J124" s="108"/>
      <c r="K124" s="108"/>
      <c r="L124" s="108"/>
      <c r="M124" s="108"/>
      <c r="N124" s="108"/>
      <c r="O124" s="108"/>
      <c r="P124" s="108"/>
      <c r="Q124" s="108"/>
    </row>
    <row r="125" spans="1:17" ht="12.75" customHeight="1">
      <c r="A125" s="72"/>
      <c r="B125" s="142"/>
      <c r="C125" s="142"/>
      <c r="D125" s="142"/>
      <c r="E125" s="142"/>
      <c r="F125" s="143"/>
      <c r="G125" s="108"/>
      <c r="H125" s="108"/>
      <c r="I125" s="108"/>
      <c r="J125" s="108"/>
      <c r="K125" s="108"/>
      <c r="L125" s="108"/>
      <c r="M125" s="108"/>
      <c r="N125" s="108"/>
      <c r="O125" s="108"/>
      <c r="P125" s="108"/>
      <c r="Q125" s="108"/>
    </row>
    <row r="126" spans="1:17" ht="12.75" customHeight="1">
      <c r="A126" s="72" t="s">
        <v>332</v>
      </c>
      <c r="B126" s="142">
        <f t="shared" ref="B126:F126" si="35">B122-B123-B124</f>
        <v>13784600.130558915</v>
      </c>
      <c r="C126" s="142">
        <f t="shared" si="35"/>
        <v>16020480.539252691</v>
      </c>
      <c r="D126" s="142">
        <f t="shared" si="35"/>
        <v>16018160.492346894</v>
      </c>
      <c r="E126" s="142">
        <f t="shared" si="35"/>
        <v>16018160.492346894</v>
      </c>
      <c r="F126" s="142">
        <f t="shared" si="35"/>
        <v>16018160.492346894</v>
      </c>
      <c r="G126" s="108"/>
      <c r="H126" s="108"/>
      <c r="I126" s="108"/>
      <c r="J126" s="108"/>
      <c r="K126" s="108"/>
      <c r="L126" s="108"/>
      <c r="M126" s="108"/>
      <c r="N126" s="108"/>
      <c r="O126" s="108"/>
      <c r="P126" s="108"/>
      <c r="Q126" s="108"/>
    </row>
    <row r="127" spans="1:17" ht="12.75" customHeight="1">
      <c r="A127" s="72" t="s">
        <v>333</v>
      </c>
      <c r="B127" s="101">
        <f t="shared" ref="B127:F127" si="36">(B126/B94)</f>
        <v>0.40899488869316381</v>
      </c>
      <c r="C127" s="101">
        <f t="shared" si="36"/>
        <v>0.42131570895964865</v>
      </c>
      <c r="D127" s="101">
        <f t="shared" si="36"/>
        <v>0.42125469504658025</v>
      </c>
      <c r="E127" s="101">
        <f t="shared" si="36"/>
        <v>0.42125469504658025</v>
      </c>
      <c r="F127" s="101">
        <f t="shared" si="36"/>
        <v>0.42125469504658025</v>
      </c>
      <c r="G127" s="108"/>
      <c r="H127" s="108"/>
      <c r="I127" s="108"/>
      <c r="J127" s="108"/>
      <c r="K127" s="108"/>
      <c r="L127" s="108"/>
      <c r="M127" s="108"/>
      <c r="N127" s="108"/>
      <c r="O127" s="108"/>
      <c r="P127" s="108"/>
      <c r="Q127" s="108"/>
    </row>
    <row r="128" spans="1:17" ht="12.75" customHeight="1">
      <c r="A128" s="72"/>
      <c r="B128" s="141"/>
      <c r="C128" s="141"/>
      <c r="D128" s="141"/>
      <c r="E128" s="141"/>
      <c r="F128" s="144"/>
      <c r="G128" s="108"/>
      <c r="H128" s="108"/>
      <c r="I128" s="108"/>
      <c r="J128" s="108"/>
      <c r="K128" s="108"/>
      <c r="L128" s="108"/>
      <c r="M128" s="108"/>
      <c r="N128" s="108"/>
      <c r="O128" s="108"/>
      <c r="P128" s="108"/>
      <c r="Q128" s="108"/>
    </row>
    <row r="129" spans="1:17" ht="12.75" customHeight="1">
      <c r="A129" s="72" t="s">
        <v>337</v>
      </c>
      <c r="B129" s="141"/>
      <c r="C129" s="141"/>
      <c r="D129" s="141"/>
      <c r="E129" s="141"/>
      <c r="F129" s="144"/>
      <c r="G129" s="108"/>
      <c r="H129" s="108"/>
      <c r="I129" s="108"/>
      <c r="J129" s="108"/>
      <c r="K129" s="108"/>
      <c r="L129" s="108"/>
      <c r="M129" s="108"/>
      <c r="N129" s="108"/>
      <c r="O129" s="108"/>
      <c r="P129" s="108"/>
      <c r="Q129" s="108"/>
    </row>
    <row r="130" spans="1:17" ht="12.75" customHeight="1">
      <c r="A130" s="72" t="s">
        <v>339</v>
      </c>
      <c r="B130" s="142">
        <f t="shared" ref="B130:F130" si="37">B126</f>
        <v>13784600.130558915</v>
      </c>
      <c r="C130" s="142">
        <f t="shared" si="37"/>
        <v>16020480.539252691</v>
      </c>
      <c r="D130" s="142">
        <f t="shared" si="37"/>
        <v>16018160.492346894</v>
      </c>
      <c r="E130" s="142">
        <f t="shared" si="37"/>
        <v>16018160.492346894</v>
      </c>
      <c r="F130" s="142">
        <f t="shared" si="37"/>
        <v>16018160.492346894</v>
      </c>
      <c r="G130" s="108"/>
      <c r="H130" s="108"/>
      <c r="I130" s="108"/>
      <c r="J130" s="108"/>
      <c r="K130" s="108"/>
      <c r="L130" s="108"/>
      <c r="M130" s="108"/>
      <c r="N130" s="108"/>
      <c r="O130" s="108"/>
      <c r="P130" s="108"/>
      <c r="Q130" s="108"/>
    </row>
    <row r="131" spans="1:17" ht="12.75" customHeight="1">
      <c r="A131" s="145" t="s">
        <v>347</v>
      </c>
      <c r="B131" s="390">
        <f>'E-Inv AF y Am'!D57</f>
        <v>225919.73162642686</v>
      </c>
      <c r="C131" s="390">
        <f>'E-Inv AF y Am'!D57</f>
        <v>225919.73162642686</v>
      </c>
      <c r="D131" s="390">
        <f>'E-Inv AF y Am'!D57</f>
        <v>225919.73162642686</v>
      </c>
      <c r="E131" s="390">
        <f>'E-Inv AF y Am'!E57</f>
        <v>225919.73162642686</v>
      </c>
      <c r="F131" s="390">
        <f>'E-Inv AF y Am'!E57</f>
        <v>225919.73162642686</v>
      </c>
      <c r="G131" s="108"/>
      <c r="H131" s="146"/>
      <c r="I131" s="108"/>
      <c r="J131" s="108"/>
      <c r="K131" s="108"/>
      <c r="L131" s="108"/>
      <c r="M131" s="108"/>
      <c r="N131" s="108"/>
      <c r="O131" s="108"/>
      <c r="P131" s="108"/>
      <c r="Q131" s="108"/>
    </row>
    <row r="132" spans="1:17" ht="12.75" customHeight="1">
      <c r="A132" s="63" t="s">
        <v>348</v>
      </c>
      <c r="B132" s="391">
        <f t="shared" ref="B132:F132" si="38">B130+B131</f>
        <v>14010519.862185342</v>
      </c>
      <c r="C132" s="391">
        <f t="shared" si="38"/>
        <v>16246400.270879118</v>
      </c>
      <c r="D132" s="391">
        <f t="shared" si="38"/>
        <v>16244080.223973321</v>
      </c>
      <c r="E132" s="391">
        <f t="shared" si="38"/>
        <v>16244080.223973321</v>
      </c>
      <c r="F132" s="391">
        <f t="shared" si="38"/>
        <v>16244080.223973321</v>
      </c>
      <c r="G132" s="108"/>
      <c r="H132" s="108"/>
      <c r="I132" s="108"/>
      <c r="J132" s="108"/>
      <c r="K132" s="108"/>
      <c r="L132" s="108"/>
      <c r="M132" s="108"/>
      <c r="N132" s="108"/>
      <c r="O132" s="108"/>
      <c r="P132" s="108"/>
      <c r="Q132" s="108"/>
    </row>
    <row r="133" spans="1:17" ht="12.75" customHeight="1">
      <c r="A133" s="72"/>
      <c r="B133" s="122"/>
      <c r="C133" s="122"/>
      <c r="D133" s="122"/>
      <c r="E133" s="122"/>
      <c r="F133" s="126"/>
      <c r="G133" s="108"/>
      <c r="H133" s="108"/>
      <c r="I133" s="108"/>
      <c r="J133" s="108"/>
      <c r="K133" s="108"/>
      <c r="L133" s="108"/>
      <c r="M133" s="108"/>
      <c r="N133" s="108"/>
      <c r="O133" s="108"/>
      <c r="P133" s="108"/>
      <c r="Q133" s="108"/>
    </row>
    <row r="134" spans="1:17" ht="12.75" customHeight="1">
      <c r="A134" s="72" t="s">
        <v>349</v>
      </c>
      <c r="B134" s="122">
        <f>(B9+B10+B11+B12+B13+B14+B16)</f>
        <v>1954507.0046240387</v>
      </c>
      <c r="C134" s="122">
        <f>(C9+C10+C11+C12+C13+C14+C16)</f>
        <v>1972062.1046240388</v>
      </c>
      <c r="D134" s="122">
        <f>(D9+D10+D11+D12+D13+D14+D16)</f>
        <v>1972062.1046240388</v>
      </c>
      <c r="E134" s="122">
        <f>(E9+E10+E11+E12+E13+E14+E16)</f>
        <v>1972062.1046240388</v>
      </c>
      <c r="F134" s="122">
        <f>(F9+F10+F11+F12+F13+F14+F16)</f>
        <v>1972062.1046240388</v>
      </c>
      <c r="G134" s="108"/>
      <c r="H134" s="108"/>
      <c r="I134" s="108"/>
      <c r="J134" s="108"/>
      <c r="K134" s="108"/>
      <c r="L134" s="108"/>
      <c r="M134" s="108"/>
      <c r="N134" s="108"/>
      <c r="O134" s="108"/>
      <c r="P134" s="108"/>
      <c r="Q134" s="108"/>
    </row>
    <row r="135" spans="1:17" ht="12.75" customHeight="1">
      <c r="A135" s="358" t="s">
        <v>350</v>
      </c>
      <c r="B135" s="147">
        <f>B6+B7</f>
        <v>5763000</v>
      </c>
      <c r="C135" s="147">
        <f t="shared" ref="C135:F135" si="39">C6+C7</f>
        <v>6201877.5</v>
      </c>
      <c r="D135" s="147">
        <f t="shared" si="39"/>
        <v>6201877.5</v>
      </c>
      <c r="E135" s="147">
        <f t="shared" si="39"/>
        <v>6201877.5</v>
      </c>
      <c r="F135" s="147">
        <f t="shared" si="39"/>
        <v>6201877.5</v>
      </c>
      <c r="G135" s="108"/>
      <c r="H135" s="108"/>
      <c r="I135" s="108"/>
      <c r="J135" s="108"/>
      <c r="K135" s="108"/>
      <c r="L135" s="108"/>
      <c r="M135" s="108"/>
      <c r="N135" s="108"/>
      <c r="O135" s="108"/>
      <c r="P135" s="108"/>
      <c r="Q135" s="108"/>
    </row>
    <row r="136" spans="1:17" ht="12.75" customHeight="1">
      <c r="A136" s="72" t="s">
        <v>351</v>
      </c>
      <c r="B136" s="147">
        <f>SUM(B52:B61)</f>
        <v>1836560.9181337226</v>
      </c>
      <c r="C136" s="147">
        <f>SUM(C52:C61)</f>
        <v>1836560.9181337226</v>
      </c>
      <c r="D136" s="147">
        <f>SUM(D52:D61)</f>
        <v>1836560.9181337226</v>
      </c>
      <c r="E136" s="147">
        <f>SUM(E52:E61)</f>
        <v>1836560.9181337226</v>
      </c>
      <c r="F136" s="147">
        <f>SUM(F52:F61)</f>
        <v>1836560.9181337226</v>
      </c>
      <c r="G136" s="108"/>
      <c r="H136" s="108"/>
      <c r="I136" s="108"/>
      <c r="J136" s="108"/>
      <c r="K136" s="108"/>
      <c r="L136" s="108"/>
      <c r="M136" s="108"/>
      <c r="N136" s="108"/>
      <c r="O136" s="108"/>
      <c r="P136" s="108"/>
      <c r="Q136" s="108"/>
    </row>
    <row r="137" spans="1:17" ht="12.75" customHeight="1">
      <c r="A137" s="72" t="s">
        <v>352</v>
      </c>
      <c r="B137" s="122">
        <v>0</v>
      </c>
      <c r="C137" s="122">
        <v>0</v>
      </c>
      <c r="D137" s="122">
        <v>0</v>
      </c>
      <c r="E137" s="122">
        <v>0</v>
      </c>
      <c r="F137" s="122">
        <v>0</v>
      </c>
      <c r="G137" s="108"/>
      <c r="H137" s="108"/>
      <c r="I137" s="108"/>
      <c r="J137" s="108"/>
      <c r="K137" s="108"/>
      <c r="L137" s="108"/>
      <c r="M137" s="108"/>
      <c r="N137" s="108"/>
      <c r="O137" s="108"/>
      <c r="P137" s="108"/>
      <c r="Q137" s="108"/>
    </row>
    <row r="138" spans="1:17" ht="12.75" customHeight="1">
      <c r="A138" s="72" t="s">
        <v>353</v>
      </c>
      <c r="B138" s="147">
        <f>SUM(B71:B80)</f>
        <v>1228160.9181337226</v>
      </c>
      <c r="C138" s="147">
        <f>SUM(C71:C80)</f>
        <v>1228160.9181337226</v>
      </c>
      <c r="D138" s="147">
        <f>SUM(D71:D80)</f>
        <v>1228160.9181337226</v>
      </c>
      <c r="E138" s="147">
        <f>SUM(E71:E80)</f>
        <v>1228160.9181337226</v>
      </c>
      <c r="F138" s="147">
        <f>SUM(F71:F80)</f>
        <v>1228160.9181337226</v>
      </c>
      <c r="G138" s="108"/>
      <c r="H138" s="108"/>
      <c r="I138" s="108"/>
      <c r="J138" s="108"/>
      <c r="K138" s="108"/>
      <c r="L138" s="108"/>
      <c r="M138" s="108"/>
      <c r="N138" s="108"/>
      <c r="O138" s="108"/>
      <c r="P138" s="108"/>
      <c r="Q138" s="108"/>
    </row>
    <row r="139" spans="1:17" ht="12.75" customHeight="1">
      <c r="A139" s="72" t="s">
        <v>354</v>
      </c>
      <c r="B139" s="122">
        <v>0</v>
      </c>
      <c r="C139" s="122">
        <v>0</v>
      </c>
      <c r="D139" s="122">
        <v>0</v>
      </c>
      <c r="E139" s="122">
        <v>0</v>
      </c>
      <c r="F139" s="122">
        <v>0</v>
      </c>
      <c r="G139" s="124"/>
      <c r="H139" s="108"/>
      <c r="I139" s="108"/>
      <c r="J139" s="108"/>
      <c r="K139" s="108"/>
      <c r="L139" s="108"/>
      <c r="M139" s="108"/>
      <c r="N139" s="108"/>
      <c r="O139" s="108"/>
      <c r="P139" s="108"/>
      <c r="Q139" s="108"/>
    </row>
    <row r="140" spans="1:17" ht="12.75" customHeight="1">
      <c r="A140" s="72" t="s">
        <v>355</v>
      </c>
      <c r="B140" s="122">
        <f>B94-(B135+B137+B139)</f>
        <v>27940600</v>
      </c>
      <c r="C140" s="122">
        <f t="shared" ref="C140:F140" si="40">C94-(C135+C137+C139)</f>
        <v>31823005.5</v>
      </c>
      <c r="D140" s="122">
        <f t="shared" si="40"/>
        <v>31823005.5</v>
      </c>
      <c r="E140" s="122">
        <f t="shared" si="40"/>
        <v>31823005.5</v>
      </c>
      <c r="F140" s="122">
        <f t="shared" si="40"/>
        <v>31823005.5</v>
      </c>
      <c r="G140" s="124"/>
      <c r="H140" s="108"/>
      <c r="I140" s="108"/>
      <c r="J140" s="108"/>
      <c r="K140" s="108"/>
      <c r="L140" s="108"/>
      <c r="M140" s="108"/>
      <c r="N140" s="108"/>
      <c r="O140" s="108"/>
      <c r="P140" s="108"/>
      <c r="Q140" s="108"/>
    </row>
    <row r="141" spans="1:17" ht="12.75" customHeight="1">
      <c r="A141" s="63" t="s">
        <v>356</v>
      </c>
      <c r="B141" s="129">
        <f t="shared" ref="B141:F141" si="41">(B134+B136+B138)/(B94-(B134+B135+B136+B137+B138+B139))</f>
        <v>0.21897594197356463</v>
      </c>
      <c r="C141" s="129">
        <f t="shared" si="41"/>
        <v>0.18803637272158497</v>
      </c>
      <c r="D141" s="129">
        <f t="shared" si="41"/>
        <v>0.18803637272158497</v>
      </c>
      <c r="E141" s="129">
        <f t="shared" si="41"/>
        <v>0.18803637272158497</v>
      </c>
      <c r="F141" s="129">
        <f t="shared" si="41"/>
        <v>0.18803637272158497</v>
      </c>
      <c r="G141" s="108"/>
      <c r="H141" s="108"/>
      <c r="I141" s="108"/>
      <c r="J141" s="108"/>
      <c r="K141" s="108"/>
      <c r="L141" s="108"/>
      <c r="M141" s="108"/>
      <c r="N141" s="108"/>
      <c r="O141" s="108"/>
      <c r="P141" s="108"/>
      <c r="Q141" s="108"/>
    </row>
    <row r="142" spans="1:17" ht="15.75" customHeight="1">
      <c r="A142" s="113" t="s">
        <v>357</v>
      </c>
      <c r="B142" s="108"/>
      <c r="C142" s="108"/>
      <c r="D142" s="108"/>
      <c r="E142" s="108"/>
      <c r="F142" s="108"/>
      <c r="G142" s="108"/>
      <c r="H142" s="108"/>
      <c r="I142" s="108"/>
      <c r="J142" s="108"/>
      <c r="K142" s="108"/>
      <c r="L142" s="108"/>
      <c r="M142" s="108"/>
      <c r="N142" s="108"/>
      <c r="O142" s="108"/>
      <c r="P142" s="108"/>
      <c r="Q142" s="108"/>
    </row>
    <row r="143" spans="1:17" ht="12.75" customHeight="1">
      <c r="A143" s="108"/>
      <c r="B143" s="127">
        <f>(B134+B136+B138)/B140</f>
        <v>0.17963926475778919</v>
      </c>
      <c r="C143" s="127">
        <f t="shared" ref="C143:F143" si="42">(C134+C136+C138)/C140</f>
        <v>0.15827492915122313</v>
      </c>
      <c r="D143" s="127">
        <f t="shared" si="42"/>
        <v>0.15827492915122313</v>
      </c>
      <c r="E143" s="127">
        <f t="shared" si="42"/>
        <v>0.15827492915122313</v>
      </c>
      <c r="F143" s="127">
        <f t="shared" si="42"/>
        <v>0.15827492915122313</v>
      </c>
      <c r="G143" s="108"/>
      <c r="H143" s="108"/>
      <c r="I143" s="108"/>
      <c r="J143" s="108"/>
      <c r="K143" s="108"/>
      <c r="L143" s="108"/>
      <c r="M143" s="108"/>
      <c r="N143" s="108"/>
      <c r="O143" s="108"/>
      <c r="P143" s="108"/>
      <c r="Q143" s="108"/>
    </row>
    <row r="144" spans="1:17" ht="12.75" customHeight="1">
      <c r="A144" s="108"/>
      <c r="B144" s="108"/>
      <c r="C144" s="108"/>
      <c r="D144" s="108"/>
      <c r="E144" s="108"/>
      <c r="F144" s="108"/>
      <c r="G144" s="108"/>
      <c r="H144" s="108"/>
      <c r="I144" s="108"/>
      <c r="J144" s="108"/>
      <c r="K144" s="108"/>
      <c r="L144" s="108"/>
      <c r="M144" s="108"/>
      <c r="N144" s="108"/>
      <c r="O144" s="108"/>
      <c r="P144" s="108"/>
      <c r="Q144" s="108"/>
    </row>
    <row r="145" spans="1:17" ht="12.75" customHeight="1">
      <c r="A145" s="108"/>
      <c r="B145" s="108"/>
      <c r="C145" s="108"/>
      <c r="D145" s="108"/>
      <c r="E145" s="108"/>
      <c r="F145" s="108"/>
      <c r="G145" s="108"/>
      <c r="H145" s="108"/>
      <c r="I145" s="108"/>
      <c r="J145" s="108"/>
      <c r="K145" s="108"/>
      <c r="L145" s="108"/>
      <c r="M145" s="108"/>
      <c r="N145" s="108"/>
      <c r="O145" s="108"/>
      <c r="P145" s="108"/>
      <c r="Q145" s="108"/>
    </row>
    <row r="146" spans="1:17" ht="12.75" customHeight="1">
      <c r="A146" s="108" t="s">
        <v>8</v>
      </c>
      <c r="B146" s="108" t="s">
        <v>358</v>
      </c>
      <c r="C146" s="108"/>
      <c r="D146" s="108" t="s">
        <v>174</v>
      </c>
      <c r="E146" s="108"/>
      <c r="F146" s="108"/>
      <c r="G146" s="108"/>
      <c r="H146" s="108"/>
      <c r="I146" s="108"/>
      <c r="J146" s="108"/>
      <c r="K146" s="108"/>
      <c r="L146" s="108"/>
      <c r="M146" s="108"/>
      <c r="N146" s="108"/>
      <c r="O146" s="108"/>
      <c r="P146" s="108"/>
      <c r="Q146" s="108"/>
    </row>
    <row r="147" spans="1:17" ht="12.75" customHeight="1">
      <c r="A147" s="148">
        <v>0</v>
      </c>
      <c r="B147" s="108">
        <v>0</v>
      </c>
      <c r="C147" s="108"/>
      <c r="D147" s="149">
        <f>B138+B136+B134</f>
        <v>5019228.8408914842</v>
      </c>
      <c r="E147" s="108"/>
      <c r="F147" s="108"/>
      <c r="G147" s="108"/>
      <c r="H147" s="108"/>
      <c r="I147" s="108"/>
      <c r="J147" s="108"/>
      <c r="K147" s="108"/>
      <c r="L147" s="108"/>
      <c r="M147" s="108"/>
      <c r="N147" s="108"/>
      <c r="O147" s="108"/>
      <c r="P147" s="108"/>
      <c r="Q147" s="108"/>
    </row>
    <row r="148" spans="1:17" ht="12.75" customHeight="1">
      <c r="A148" s="148">
        <v>1</v>
      </c>
      <c r="B148" s="124">
        <f>B122</f>
        <v>23051170.786887817</v>
      </c>
      <c r="C148" s="108"/>
      <c r="D148" s="124">
        <f>B118</f>
        <v>10652429.213112181</v>
      </c>
      <c r="E148" s="108"/>
      <c r="F148" s="108"/>
      <c r="G148" s="108"/>
      <c r="H148" s="108"/>
      <c r="I148" s="108"/>
      <c r="J148" s="108"/>
      <c r="K148" s="108"/>
      <c r="L148" s="108"/>
      <c r="M148" s="108"/>
      <c r="N148" s="108"/>
      <c r="O148" s="108"/>
      <c r="P148" s="108"/>
      <c r="Q148" s="108"/>
    </row>
    <row r="149" spans="1:17" ht="12.75" customHeight="1">
      <c r="A149" s="108"/>
      <c r="B149" s="108"/>
      <c r="C149" s="108"/>
      <c r="D149" s="108"/>
      <c r="E149" s="108"/>
      <c r="F149" s="108"/>
      <c r="G149" s="108"/>
      <c r="H149" s="108"/>
      <c r="I149" s="108"/>
      <c r="J149" s="108"/>
      <c r="K149" s="108"/>
      <c r="L149" s="108"/>
      <c r="M149" s="108"/>
      <c r="N149" s="108"/>
      <c r="O149" s="108"/>
      <c r="P149" s="108"/>
      <c r="Q149" s="108"/>
    </row>
    <row r="150" spans="1:17" ht="12.75" customHeight="1">
      <c r="A150" s="108"/>
      <c r="B150" s="108"/>
      <c r="C150" s="108"/>
      <c r="D150" s="108"/>
      <c r="E150" s="108"/>
      <c r="F150" s="108"/>
      <c r="G150" s="108"/>
      <c r="H150" s="108"/>
      <c r="I150" s="108"/>
      <c r="J150" s="108"/>
      <c r="K150" s="108"/>
      <c r="L150" s="108"/>
      <c r="M150" s="108"/>
      <c r="N150" s="108"/>
      <c r="O150" s="108"/>
      <c r="P150" s="108"/>
      <c r="Q150" s="108"/>
    </row>
    <row r="151" spans="1:17" ht="12.75" customHeight="1">
      <c r="A151" s="108"/>
      <c r="B151" s="108"/>
      <c r="C151" s="108"/>
      <c r="D151" s="108"/>
      <c r="E151" s="108"/>
      <c r="F151" s="108"/>
      <c r="G151" s="108"/>
      <c r="H151" s="108"/>
      <c r="I151" s="108"/>
      <c r="J151" s="108"/>
      <c r="K151" s="108"/>
      <c r="L151" s="108"/>
      <c r="M151" s="108"/>
      <c r="N151" s="108"/>
      <c r="O151" s="108"/>
      <c r="P151" s="108"/>
      <c r="Q151" s="108"/>
    </row>
    <row r="152" spans="1:17" ht="12.75" customHeight="1">
      <c r="A152" s="108"/>
      <c r="B152" s="108"/>
      <c r="C152" s="108"/>
      <c r="D152" s="108"/>
      <c r="E152" s="108"/>
      <c r="F152" s="108"/>
      <c r="G152" s="108"/>
      <c r="H152" s="108"/>
      <c r="I152" s="108"/>
      <c r="J152" s="108"/>
      <c r="K152" s="108"/>
      <c r="L152" s="108"/>
      <c r="M152" s="108"/>
      <c r="N152" s="108"/>
      <c r="O152" s="108"/>
      <c r="P152" s="108"/>
      <c r="Q152" s="108"/>
    </row>
    <row r="153" spans="1:17" ht="12.75" customHeight="1">
      <c r="A153" s="108"/>
      <c r="B153" s="108"/>
      <c r="C153" s="108"/>
      <c r="D153" s="108"/>
      <c r="E153" s="108"/>
      <c r="F153" s="108"/>
      <c r="G153" s="108"/>
      <c r="H153" s="108"/>
      <c r="I153" s="108"/>
      <c r="J153" s="108"/>
      <c r="K153" s="108"/>
      <c r="L153" s="108"/>
      <c r="M153" s="108"/>
      <c r="N153" s="108"/>
      <c r="O153" s="108"/>
      <c r="P153" s="108"/>
      <c r="Q153" s="108"/>
    </row>
    <row r="154" spans="1:17" ht="12.75" customHeight="1">
      <c r="A154" s="108"/>
      <c r="B154" s="108"/>
      <c r="C154" s="108"/>
      <c r="D154" s="108"/>
      <c r="E154" s="108"/>
      <c r="F154" s="108"/>
      <c r="G154" s="108"/>
      <c r="H154" s="108"/>
      <c r="I154" s="108"/>
      <c r="J154" s="108"/>
      <c r="K154" s="108"/>
      <c r="L154" s="108"/>
      <c r="M154" s="108"/>
      <c r="N154" s="108"/>
      <c r="O154" s="108"/>
      <c r="P154" s="108"/>
      <c r="Q154" s="108"/>
    </row>
    <row r="155" spans="1:17" ht="12.75" customHeight="1">
      <c r="A155" s="108"/>
      <c r="B155" s="108"/>
      <c r="C155" s="108"/>
      <c r="D155" s="108"/>
      <c r="E155" s="108"/>
      <c r="F155" s="108"/>
      <c r="G155" s="108"/>
      <c r="H155" s="108"/>
      <c r="I155" s="108"/>
      <c r="J155" s="108"/>
      <c r="K155" s="108"/>
      <c r="L155" s="108"/>
      <c r="M155" s="108"/>
      <c r="N155" s="108"/>
      <c r="O155" s="108"/>
      <c r="P155" s="108"/>
      <c r="Q155" s="108"/>
    </row>
    <row r="156" spans="1:17" ht="12.75" customHeight="1">
      <c r="A156" s="108"/>
      <c r="B156" s="108"/>
      <c r="C156" s="108"/>
      <c r="D156" s="108"/>
      <c r="E156" s="108"/>
      <c r="F156" s="108"/>
      <c r="G156" s="108"/>
      <c r="H156" s="108"/>
      <c r="I156" s="108"/>
      <c r="J156" s="108"/>
      <c r="K156" s="108"/>
      <c r="L156" s="108"/>
      <c r="M156" s="108"/>
      <c r="N156" s="108"/>
      <c r="O156" s="108"/>
      <c r="P156" s="108"/>
      <c r="Q156" s="108"/>
    </row>
    <row r="157" spans="1:17" ht="12.75" customHeight="1">
      <c r="A157" s="108"/>
      <c r="B157" s="108"/>
      <c r="C157" s="108"/>
      <c r="D157" s="108"/>
      <c r="E157" s="108"/>
      <c r="F157" s="108"/>
      <c r="G157" s="108"/>
      <c r="H157" s="108"/>
      <c r="I157" s="108"/>
      <c r="J157" s="108"/>
      <c r="K157" s="108"/>
      <c r="L157" s="108"/>
      <c r="M157" s="108"/>
      <c r="N157" s="108"/>
      <c r="O157" s="108"/>
      <c r="P157" s="108"/>
      <c r="Q157" s="108"/>
    </row>
    <row r="158" spans="1:17" ht="12.75" customHeight="1">
      <c r="A158" s="108"/>
      <c r="B158" s="108"/>
      <c r="C158" s="108"/>
      <c r="D158" s="108"/>
      <c r="E158" s="108"/>
      <c r="F158" s="108"/>
      <c r="G158" s="108"/>
      <c r="H158" s="108"/>
      <c r="I158" s="108"/>
      <c r="J158" s="108"/>
      <c r="K158" s="108"/>
      <c r="L158" s="108"/>
      <c r="M158" s="108"/>
      <c r="N158" s="108"/>
      <c r="O158" s="108"/>
      <c r="P158" s="108"/>
      <c r="Q158" s="108"/>
    </row>
    <row r="159" spans="1:17" ht="12.75" customHeight="1">
      <c r="A159" s="108"/>
      <c r="B159" s="108"/>
      <c r="C159" s="108"/>
      <c r="D159" s="108"/>
      <c r="E159" s="108"/>
      <c r="F159" s="108"/>
      <c r="G159" s="108"/>
      <c r="H159" s="108"/>
      <c r="I159" s="108"/>
      <c r="J159" s="108"/>
      <c r="K159" s="108"/>
      <c r="L159" s="108"/>
      <c r="M159" s="108"/>
      <c r="N159" s="108"/>
      <c r="O159" s="108"/>
      <c r="P159" s="108"/>
      <c r="Q159" s="108"/>
    </row>
    <row r="160" spans="1:17" ht="12.75" customHeight="1">
      <c r="A160" s="108"/>
      <c r="B160" s="108"/>
      <c r="C160" s="108"/>
      <c r="D160" s="108"/>
      <c r="E160" s="108"/>
      <c r="F160" s="108"/>
      <c r="G160" s="108"/>
      <c r="H160" s="108"/>
      <c r="I160" s="108"/>
      <c r="J160" s="108"/>
      <c r="K160" s="108"/>
      <c r="L160" s="108"/>
      <c r="M160" s="108"/>
      <c r="N160" s="108"/>
      <c r="O160" s="108"/>
      <c r="P160" s="108"/>
      <c r="Q160" s="108"/>
    </row>
    <row r="161" spans="1:17" ht="12.75" customHeight="1">
      <c r="A161" s="108"/>
      <c r="B161" s="108"/>
      <c r="C161" s="108"/>
      <c r="D161" s="108"/>
      <c r="E161" s="108"/>
      <c r="F161" s="108"/>
      <c r="G161" s="108"/>
      <c r="H161" s="108"/>
      <c r="I161" s="108"/>
      <c r="J161" s="108"/>
      <c r="K161" s="108"/>
      <c r="L161" s="108"/>
      <c r="M161" s="108"/>
      <c r="N161" s="108"/>
      <c r="O161" s="108"/>
      <c r="P161" s="108"/>
      <c r="Q161" s="108"/>
    </row>
    <row r="162" spans="1:17" ht="12.75" customHeight="1">
      <c r="A162" s="108"/>
      <c r="B162" s="108"/>
      <c r="C162" s="108"/>
      <c r="D162" s="108"/>
      <c r="E162" s="108"/>
      <c r="F162" s="108"/>
      <c r="G162" s="108"/>
      <c r="H162" s="108"/>
      <c r="I162" s="108"/>
      <c r="J162" s="108"/>
      <c r="K162" s="108"/>
      <c r="L162" s="108"/>
      <c r="M162" s="108"/>
      <c r="N162" s="108"/>
      <c r="O162" s="108"/>
      <c r="P162" s="108"/>
      <c r="Q162" s="108"/>
    </row>
    <row r="163" spans="1:17" ht="12.75" customHeight="1">
      <c r="A163" s="108"/>
      <c r="B163" s="108"/>
      <c r="C163" s="108"/>
      <c r="D163" s="108"/>
      <c r="E163" s="108"/>
      <c r="F163" s="108"/>
      <c r="G163" s="108"/>
      <c r="H163" s="108"/>
      <c r="I163" s="108"/>
      <c r="J163" s="108"/>
      <c r="K163" s="108"/>
      <c r="L163" s="108"/>
      <c r="M163" s="108"/>
      <c r="N163" s="108"/>
      <c r="O163" s="108"/>
      <c r="P163" s="108"/>
      <c r="Q163" s="108"/>
    </row>
    <row r="164" spans="1:17" ht="12.75" customHeight="1">
      <c r="A164" s="108" t="s">
        <v>8</v>
      </c>
      <c r="B164" s="108" t="s">
        <v>358</v>
      </c>
      <c r="C164" s="108"/>
      <c r="D164" s="108" t="s">
        <v>174</v>
      </c>
      <c r="E164" s="108"/>
      <c r="F164" s="108"/>
      <c r="G164" s="108"/>
      <c r="H164" s="108"/>
      <c r="I164" s="108"/>
      <c r="J164" s="108"/>
      <c r="K164" s="108"/>
      <c r="L164" s="108"/>
      <c r="M164" s="108"/>
      <c r="N164" s="108"/>
      <c r="O164" s="108"/>
      <c r="P164" s="108"/>
      <c r="Q164" s="108"/>
    </row>
    <row r="165" spans="1:17" ht="12.75" customHeight="1">
      <c r="A165" s="148">
        <v>0</v>
      </c>
      <c r="B165" s="108">
        <v>0</v>
      </c>
      <c r="C165" s="108"/>
      <c r="D165" s="133">
        <f>SUM(F134,F136,F138)</f>
        <v>5036783.9408914838</v>
      </c>
      <c r="E165" s="108"/>
      <c r="F165" s="108"/>
      <c r="G165" s="108"/>
      <c r="H165" s="108"/>
      <c r="I165" s="108"/>
      <c r="J165" s="108"/>
      <c r="K165" s="108"/>
      <c r="L165" s="108"/>
      <c r="M165" s="108"/>
      <c r="N165" s="108"/>
      <c r="O165" s="108"/>
      <c r="P165" s="108"/>
      <c r="Q165" s="108"/>
    </row>
    <row r="166" spans="1:17" ht="12.75" customHeight="1">
      <c r="A166" s="148">
        <v>1</v>
      </c>
      <c r="B166" s="124">
        <f>F140</f>
        <v>31823005.5</v>
      </c>
      <c r="C166" s="108"/>
      <c r="D166" s="149">
        <f>SUM(F134:F138)</f>
        <v>11238661.440891484</v>
      </c>
      <c r="E166" s="108"/>
      <c r="F166" s="108"/>
      <c r="G166" s="108"/>
      <c r="H166" s="108"/>
      <c r="I166" s="108"/>
      <c r="J166" s="108"/>
      <c r="K166" s="108"/>
      <c r="L166" s="108"/>
      <c r="M166" s="108"/>
      <c r="N166" s="108"/>
      <c r="O166" s="108"/>
      <c r="P166" s="108"/>
      <c r="Q166" s="108"/>
    </row>
    <row r="167" spans="1:17" ht="12.75" customHeight="1">
      <c r="A167" s="108"/>
      <c r="B167" s="108"/>
      <c r="C167" s="108"/>
      <c r="D167" s="108"/>
      <c r="E167" s="108"/>
      <c r="F167" s="108"/>
      <c r="G167" s="108"/>
      <c r="H167" s="108"/>
      <c r="I167" s="108"/>
      <c r="J167" s="108"/>
      <c r="K167" s="108"/>
      <c r="L167" s="108"/>
      <c r="M167" s="108"/>
      <c r="N167" s="108"/>
      <c r="O167" s="108"/>
      <c r="P167" s="108"/>
      <c r="Q167" s="108"/>
    </row>
    <row r="168" spans="1:17" ht="12.75">
      <c r="L168" s="108"/>
    </row>
    <row r="169" spans="1:17" ht="12.75">
      <c r="L169" s="108"/>
    </row>
    <row r="170" spans="1:17" ht="12.75">
      <c r="L170" s="108"/>
    </row>
    <row r="171" spans="1:17" ht="12.75"/>
    <row r="172" spans="1:17" ht="12.75"/>
    <row r="173" spans="1:17" ht="12.75"/>
    <row r="174" spans="1:17" ht="12.75"/>
    <row r="175" spans="1:17" ht="12.75"/>
    <row r="176" spans="1:17" ht="12.75"/>
    <row r="177" ht="12.75"/>
    <row r="178" ht="12.75"/>
    <row r="179" ht="12.75"/>
    <row r="180" ht="12.75"/>
    <row r="181" ht="12.75"/>
    <row r="182" ht="12.75"/>
    <row r="183" ht="12.75"/>
    <row r="184" ht="12.75"/>
    <row r="185" ht="12.75"/>
    <row r="186" ht="12.75"/>
    <row r="187" ht="12.75"/>
    <row r="188" ht="12.75"/>
    <row r="189" ht="12.75"/>
    <row r="190" ht="12.75"/>
    <row r="191" ht="12.75"/>
    <row r="192" ht="12.75"/>
    <row r="193" ht="12.75"/>
    <row r="194" ht="12.75"/>
    <row r="195" ht="12.75"/>
    <row r="196" ht="12.75"/>
    <row r="197" ht="12.75"/>
    <row r="198" ht="12.75"/>
    <row r="199" ht="12.75"/>
    <row r="200" ht="12.75"/>
    <row r="201" ht="12.75"/>
    <row r="202" ht="12.75"/>
    <row r="203" ht="12.75"/>
    <row r="204" ht="12.75"/>
    <row r="205" ht="12.75"/>
    <row r="206" ht="12.75"/>
    <row r="207" ht="12.75"/>
    <row r="208" ht="12.75"/>
    <row r="209" ht="12.75"/>
    <row r="210" ht="12.75"/>
    <row r="211" ht="12.75"/>
    <row r="212" ht="12.75"/>
    <row r="213" ht="12.75"/>
    <row r="214" ht="12.75"/>
    <row r="215" ht="12.75"/>
    <row r="216" ht="12.75"/>
    <row r="217" ht="12.75"/>
    <row r="218" ht="12.75"/>
    <row r="219" ht="12.75"/>
    <row r="220" ht="12.75"/>
    <row r="221" ht="12.75"/>
    <row r="222" ht="12.75"/>
    <row r="223" ht="12.75"/>
    <row r="224" ht="12.75"/>
    <row r="225" ht="12.75"/>
    <row r="226" ht="12.75"/>
    <row r="227" ht="12.75"/>
    <row r="228" ht="12.75"/>
    <row r="229" ht="12.75"/>
    <row r="230" ht="12.75"/>
    <row r="231" ht="12.75"/>
    <row r="232" ht="12.75"/>
    <row r="233" ht="12.75"/>
    <row r="234" ht="12.75"/>
    <row r="235" ht="12.75"/>
    <row r="236" ht="12.75"/>
    <row r="237" ht="12.75"/>
    <row r="238" ht="12.75"/>
    <row r="239" ht="12.75"/>
    <row r="240" ht="12.75"/>
    <row r="241" ht="12.75"/>
    <row r="242" ht="12.75"/>
    <row r="243" ht="12.75"/>
    <row r="244" ht="12.75"/>
    <row r="245" ht="12.75"/>
    <row r="246" ht="12.75"/>
    <row r="247" ht="12.75"/>
    <row r="248" ht="12.75"/>
    <row r="249" ht="12.75"/>
    <row r="250" ht="12.75"/>
    <row r="251" ht="12.75"/>
    <row r="252" ht="12.75"/>
    <row r="253" ht="12.75"/>
    <row r="254" ht="12.75"/>
    <row r="255" ht="12.75"/>
    <row r="256" ht="12.75"/>
    <row r="257" ht="12.75"/>
    <row r="258" ht="12.75"/>
    <row r="259" ht="12.75"/>
    <row r="260" ht="12.75"/>
    <row r="261" ht="12.75"/>
    <row r="262" ht="12.75"/>
    <row r="263" ht="12.75"/>
    <row r="264" ht="12.75"/>
    <row r="265" ht="12.75"/>
    <row r="266" ht="12.75"/>
    <row r="267" ht="12.75"/>
    <row r="268" ht="12.75"/>
    <row r="269" ht="12.75"/>
    <row r="270" ht="12.75"/>
    <row r="271" ht="12.75"/>
    <row r="272" ht="12.75"/>
    <row r="273" ht="12.75"/>
    <row r="274" ht="12.75"/>
    <row r="275" ht="12.75"/>
    <row r="276" ht="12.75"/>
    <row r="277" ht="12.75"/>
    <row r="278" ht="12.75"/>
    <row r="279" ht="12.75"/>
    <row r="280" ht="12.75"/>
    <row r="281" ht="12.75"/>
    <row r="282" ht="12.75"/>
    <row r="283" ht="12.75"/>
    <row r="284" ht="12.75"/>
    <row r="285" ht="12.75"/>
    <row r="286" ht="12.75"/>
    <row r="287" ht="12.75"/>
    <row r="288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  <row r="993" ht="12.75"/>
    <row r="994" ht="12.75"/>
    <row r="995" ht="12.75"/>
    <row r="996" ht="12.75"/>
    <row r="997" ht="12.75"/>
    <row r="998" ht="12.75"/>
    <row r="999" ht="12.75"/>
    <row r="1000" ht="12.75"/>
    <row r="1001" ht="12.75"/>
    <row r="1002" ht="12.75"/>
    <row r="1003" ht="12.75"/>
    <row r="1004" ht="12.75"/>
    <row r="1005" ht="12.75"/>
    <row r="1006" ht="12.75"/>
  </sheetData>
  <pageMargins left="0.75" right="0.75" top="1" bottom="1" header="0.5" footer="0.5"/>
  <pageSetup paperSize="9" orientation="portrait" horizontalDpi="4294967292" verticalDpi="4294967292"/>
  <drawing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topLeftCell="A4" workbookViewId="0">
      <selection activeCell="H18" sqref="H18:H19"/>
    </sheetView>
  </sheetViews>
  <sheetFormatPr baseColWidth="10" defaultColWidth="14.42578125" defaultRowHeight="15" customHeight="1"/>
  <cols>
    <col min="1" max="1" width="28.140625" customWidth="1"/>
    <col min="2" max="2" width="14" customWidth="1"/>
    <col min="3" max="6" width="15.42578125" customWidth="1"/>
    <col min="7" max="7" width="16.42578125" customWidth="1"/>
    <col min="8" max="8" width="17.42578125" customWidth="1"/>
    <col min="9" max="17" width="11.42578125" customWidth="1"/>
    <col min="18" max="18" width="10" customWidth="1"/>
  </cols>
  <sheetData>
    <row r="1" spans="1:26" ht="12.75" customHeight="1">
      <c r="A1" s="1" t="s">
        <v>0</v>
      </c>
      <c r="B1" s="2"/>
      <c r="C1" s="2"/>
      <c r="D1" s="2"/>
      <c r="E1" s="2"/>
      <c r="F1" s="2"/>
      <c r="G1" s="3">
        <f>InfoInicial!E1</f>
        <v>7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4"/>
      <c r="T1" s="4"/>
      <c r="U1" s="4"/>
      <c r="V1" s="4"/>
      <c r="W1" s="4"/>
      <c r="X1" s="4"/>
      <c r="Y1" s="4"/>
      <c r="Z1" s="4"/>
    </row>
    <row r="2" spans="1:26" ht="15.75" customHeight="1">
      <c r="A2" s="424" t="s">
        <v>217</v>
      </c>
      <c r="B2" s="425"/>
      <c r="C2" s="425"/>
      <c r="D2" s="425"/>
      <c r="E2" s="425"/>
      <c r="F2" s="425"/>
      <c r="G2" s="426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4"/>
      <c r="T2" s="4"/>
      <c r="U2" s="4"/>
      <c r="V2" s="4"/>
      <c r="W2" s="4"/>
      <c r="X2" s="4"/>
      <c r="Y2" s="4"/>
      <c r="Z2" s="4"/>
    </row>
    <row r="3" spans="1:26" ht="15.75" customHeight="1">
      <c r="A3" s="427"/>
      <c r="B3" s="428" t="s">
        <v>218</v>
      </c>
      <c r="C3" s="428"/>
      <c r="D3" s="428"/>
      <c r="E3" s="428"/>
      <c r="F3" s="428"/>
      <c r="G3" s="429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4"/>
      <c r="T3" s="4"/>
      <c r="U3" s="4"/>
      <c r="V3" s="4"/>
      <c r="W3" s="4"/>
      <c r="X3" s="4"/>
      <c r="Y3" s="4"/>
      <c r="Z3" s="4"/>
    </row>
    <row r="4" spans="1:26" ht="12.75" customHeight="1" thickBot="1">
      <c r="A4" s="430" t="s">
        <v>164</v>
      </c>
      <c r="B4" s="431" t="s">
        <v>124</v>
      </c>
      <c r="C4" s="432" t="s">
        <v>8</v>
      </c>
      <c r="D4" s="432" t="s">
        <v>165</v>
      </c>
      <c r="E4" s="432" t="s">
        <v>166</v>
      </c>
      <c r="F4" s="432" t="s">
        <v>167</v>
      </c>
      <c r="G4" s="433" t="s">
        <v>168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4"/>
      <c r="T4" s="4"/>
      <c r="U4" s="4"/>
      <c r="V4" s="4"/>
      <c r="W4" s="4"/>
      <c r="X4" s="4"/>
      <c r="Y4" s="4"/>
      <c r="Z4" s="4"/>
    </row>
    <row r="5" spans="1:26" ht="12.75" customHeight="1" thickTop="1">
      <c r="A5" s="89" t="s">
        <v>219</v>
      </c>
      <c r="B5" s="90"/>
      <c r="C5" s="354"/>
      <c r="D5" s="81"/>
      <c r="E5" s="81"/>
      <c r="F5" s="81"/>
      <c r="G5" s="35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4"/>
      <c r="T5" s="4"/>
      <c r="U5" s="4"/>
      <c r="V5" s="4"/>
      <c r="W5" s="4"/>
      <c r="X5" s="4"/>
      <c r="Y5" s="4"/>
      <c r="Z5" s="4"/>
    </row>
    <row r="6" spans="1:26" ht="12.75" customHeight="1">
      <c r="A6" s="91" t="s">
        <v>220</v>
      </c>
      <c r="B6" s="4"/>
      <c r="C6" s="355">
        <f>'E-Costos'!B6*0.21</f>
        <v>718830</v>
      </c>
      <c r="D6" s="92">
        <f>'E-Costos'!C6*0.21</f>
        <v>810994.27500000002</v>
      </c>
      <c r="E6" s="92">
        <f>'E-Costos'!D6*0.21</f>
        <v>810994.27500000002</v>
      </c>
      <c r="F6" s="92">
        <f>'E-Costos'!E6*0.21</f>
        <v>810994.27500000002</v>
      </c>
      <c r="G6" s="355">
        <f>'E-Costos'!F6*0.21</f>
        <v>810994.27500000002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4"/>
      <c r="T6" s="4"/>
      <c r="U6" s="4"/>
      <c r="V6" s="4"/>
      <c r="W6" s="4"/>
      <c r="X6" s="4"/>
      <c r="Y6" s="4"/>
      <c r="Z6" s="4"/>
    </row>
    <row r="7" spans="1:26" ht="12.75" customHeight="1">
      <c r="A7" s="91" t="s">
        <v>221</v>
      </c>
      <c r="B7" s="92"/>
      <c r="C7" s="355">
        <f>'E-Costos'!$J$67*0.21</f>
        <v>212332.68</v>
      </c>
      <c r="D7" s="355">
        <f>'E-Costos'!$J$67*0.21</f>
        <v>212332.68</v>
      </c>
      <c r="E7" s="355">
        <f>'E-Costos'!$J$67*0.21</f>
        <v>212332.68</v>
      </c>
      <c r="F7" s="355">
        <f>'E-Costos'!$J$67*0.21</f>
        <v>212332.68</v>
      </c>
      <c r="G7" s="355">
        <f>'E-Costos'!$J$67*0.21</f>
        <v>212332.68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4"/>
      <c r="T7" s="4"/>
      <c r="U7" s="4"/>
      <c r="V7" s="4"/>
      <c r="W7" s="4"/>
      <c r="X7" s="4"/>
      <c r="Y7" s="4"/>
      <c r="Z7" s="4"/>
    </row>
    <row r="8" spans="1:26" ht="12.75" customHeight="1">
      <c r="A8" s="91" t="s">
        <v>222</v>
      </c>
      <c r="B8" s="92"/>
      <c r="C8" s="355">
        <f>'E-Costos'!$I$30*0.21</f>
        <v>31500</v>
      </c>
      <c r="D8" s="355">
        <f>'E-Costos'!$I$30*0.21</f>
        <v>31500</v>
      </c>
      <c r="E8" s="355">
        <f>'E-Costos'!$I$30*0.21</f>
        <v>31500</v>
      </c>
      <c r="F8" s="355">
        <f>'E-Costos'!$I$30*0.21</f>
        <v>31500</v>
      </c>
      <c r="G8" s="355">
        <f>'E-Costos'!$I$30*0.21</f>
        <v>31500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4"/>
      <c r="T8" s="4"/>
      <c r="U8" s="4"/>
      <c r="V8" s="4"/>
      <c r="W8" s="4"/>
      <c r="X8" s="4"/>
      <c r="Y8" s="4"/>
      <c r="Z8" s="4"/>
    </row>
    <row r="9" spans="1:26" ht="12.75" customHeight="1">
      <c r="A9" s="91" t="s">
        <v>223</v>
      </c>
      <c r="B9" s="92"/>
      <c r="C9" s="355">
        <f>'E-Costos'!$J$75*0.21</f>
        <v>0</v>
      </c>
      <c r="D9" s="355">
        <f>'E-Costos'!$J$75*0.21</f>
        <v>0</v>
      </c>
      <c r="E9" s="355">
        <f>'E-Costos'!$J$75*0.21</f>
        <v>0</v>
      </c>
      <c r="F9" s="355">
        <f>'E-Costos'!$J$75*0.21</f>
        <v>0</v>
      </c>
      <c r="G9" s="355">
        <f>'E-Costos'!$J$75*0.21</f>
        <v>0</v>
      </c>
      <c r="H9" s="353"/>
      <c r="I9" s="2"/>
      <c r="J9" s="2"/>
      <c r="K9" s="2"/>
      <c r="L9" s="2"/>
      <c r="M9" s="2"/>
      <c r="N9" s="2"/>
      <c r="O9" s="2"/>
      <c r="P9" s="2"/>
      <c r="Q9" s="2"/>
      <c r="R9" s="2"/>
      <c r="S9" s="4"/>
      <c r="T9" s="4"/>
      <c r="U9" s="4"/>
      <c r="V9" s="4"/>
      <c r="W9" s="4"/>
      <c r="X9" s="4"/>
      <c r="Y9" s="4"/>
      <c r="Z9" s="4"/>
    </row>
    <row r="10" spans="1:26" ht="12.75" customHeight="1">
      <c r="A10" s="91" t="s">
        <v>224</v>
      </c>
      <c r="B10" s="92"/>
      <c r="C10" s="355">
        <f>'E-Costos'!$J$83*0.21</f>
        <v>0</v>
      </c>
      <c r="D10" s="355">
        <f>'E-Costos'!$J$83*0.21</f>
        <v>0</v>
      </c>
      <c r="E10" s="355">
        <f>'E-Costos'!$J$83*0.21</f>
        <v>0</v>
      </c>
      <c r="F10" s="355">
        <f>'E-Costos'!$J$83*0.21</f>
        <v>0</v>
      </c>
      <c r="G10" s="355">
        <f>'E-Costos'!$J$83*0.21</f>
        <v>0</v>
      </c>
      <c r="H10" s="353"/>
      <c r="I10" s="2"/>
      <c r="J10" s="2"/>
      <c r="K10" s="2"/>
      <c r="L10" s="2"/>
      <c r="M10" s="2"/>
      <c r="N10" s="2"/>
      <c r="O10" s="2"/>
      <c r="P10" s="2"/>
      <c r="Q10" s="2"/>
      <c r="R10" s="2"/>
      <c r="S10" s="4"/>
      <c r="T10" s="4"/>
      <c r="U10" s="4"/>
      <c r="V10" s="4"/>
      <c r="W10" s="4"/>
      <c r="X10" s="4"/>
      <c r="Y10" s="4"/>
      <c r="Z10" s="4"/>
    </row>
    <row r="11" spans="1:26" ht="12.75" customHeight="1">
      <c r="A11" s="91" t="s">
        <v>225</v>
      </c>
      <c r="B11" s="92"/>
      <c r="C11" s="355">
        <f>('E-Costos'!B16+'E-Costos'!B61+'E-Costos'!B80)*0.21</f>
        <v>87087.232945661977</v>
      </c>
      <c r="D11" s="355">
        <f>('E-Costos'!C16+'E-Costos'!C61+'E-Costos'!C80)*0.21</f>
        <v>90773.803945661974</v>
      </c>
      <c r="E11" s="355">
        <f>('E-Costos'!D16+'E-Costos'!D61+'E-Costos'!D80)*0.21</f>
        <v>90773.803945661974</v>
      </c>
      <c r="F11" s="355">
        <f>('E-Costos'!E16+'E-Costos'!E61+'E-Costos'!E80)*0.21</f>
        <v>90773.803945661974</v>
      </c>
      <c r="G11" s="355">
        <f>('E-Costos'!F16+'E-Costos'!F61+'E-Costos'!F80)*0.21</f>
        <v>90773.803945661974</v>
      </c>
      <c r="H11" s="353"/>
      <c r="I11" s="2"/>
      <c r="J11" s="2"/>
      <c r="K11" s="2"/>
      <c r="L11" s="2"/>
      <c r="M11" s="2"/>
      <c r="N11" s="2"/>
      <c r="O11" s="2"/>
      <c r="P11" s="2"/>
      <c r="Q11" s="2"/>
      <c r="R11" s="2"/>
      <c r="S11" s="4"/>
      <c r="T11" s="4"/>
      <c r="U11" s="4"/>
      <c r="V11" s="4"/>
      <c r="W11" s="4"/>
      <c r="X11" s="4"/>
      <c r="Y11" s="4"/>
      <c r="Z11" s="4"/>
    </row>
    <row r="12" spans="1:26" ht="12.75" customHeight="1">
      <c r="A12" s="93" t="s">
        <v>160</v>
      </c>
      <c r="B12" s="92"/>
      <c r="C12" s="355">
        <f t="shared" ref="C12:G12" si="0">SUM(C6:C11)</f>
        <v>1049749.9129456619</v>
      </c>
      <c r="D12" s="83">
        <f t="shared" si="0"/>
        <v>1145600.7589456621</v>
      </c>
      <c r="E12" s="83">
        <f t="shared" si="0"/>
        <v>1145600.7589456621</v>
      </c>
      <c r="F12" s="83">
        <f t="shared" si="0"/>
        <v>1145600.7589456621</v>
      </c>
      <c r="G12" s="355">
        <f t="shared" si="0"/>
        <v>1145600.7589456621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4"/>
      <c r="T12" s="4"/>
      <c r="U12" s="4"/>
      <c r="V12" s="4"/>
      <c r="W12" s="4"/>
      <c r="X12" s="4"/>
      <c r="Y12" s="4"/>
      <c r="Z12" s="4"/>
    </row>
    <row r="13" spans="1:26" ht="12.75" customHeight="1">
      <c r="A13" s="91" t="s">
        <v>226</v>
      </c>
      <c r="B13" s="92"/>
      <c r="C13" s="355">
        <f>('E-Costos'!G35-'E-Costos'!G26)*0.21</f>
        <v>9305.2718303999991</v>
      </c>
      <c r="D13" s="83"/>
      <c r="E13" s="83"/>
      <c r="F13" s="83"/>
      <c r="G13" s="355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4"/>
      <c r="T13" s="4"/>
      <c r="U13" s="4"/>
      <c r="V13" s="4"/>
      <c r="W13" s="4"/>
      <c r="X13" s="4"/>
      <c r="Y13" s="4"/>
      <c r="Z13" s="4"/>
    </row>
    <row r="14" spans="1:26" ht="12.75" customHeight="1">
      <c r="A14" s="91" t="s">
        <v>227</v>
      </c>
      <c r="B14" s="92"/>
      <c r="C14" s="355"/>
      <c r="D14" s="83"/>
      <c r="E14" s="83"/>
      <c r="F14" s="83"/>
      <c r="G14" s="355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4"/>
      <c r="T14" s="4"/>
      <c r="U14" s="4"/>
      <c r="V14" s="4"/>
      <c r="W14" s="4"/>
      <c r="X14" s="4"/>
      <c r="Y14" s="4"/>
      <c r="Z14" s="4"/>
    </row>
    <row r="15" spans="1:26" ht="12.75" customHeight="1">
      <c r="A15" s="91" t="s">
        <v>228</v>
      </c>
      <c r="B15" s="92"/>
      <c r="C15" s="355">
        <f>'E-InvAT'!C32</f>
        <v>5751.2825032539104</v>
      </c>
      <c r="D15" s="83">
        <f>'E-InvAT'!D32</f>
        <v>31.335853500002145</v>
      </c>
      <c r="E15" s="83">
        <f>'E-InvAT'!E32</f>
        <v>0</v>
      </c>
      <c r="F15" s="83">
        <f>'E-InvAT'!F32</f>
        <v>0</v>
      </c>
      <c r="G15" s="355">
        <f>'E-InvAT'!G32</f>
        <v>0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4"/>
      <c r="T15" s="4"/>
      <c r="U15" s="4"/>
      <c r="V15" s="4"/>
      <c r="W15" s="4"/>
      <c r="X15" s="4"/>
      <c r="Y15" s="4"/>
      <c r="Z15" s="4"/>
    </row>
    <row r="16" spans="1:26" ht="12.75" customHeight="1">
      <c r="A16" s="91" t="s">
        <v>229</v>
      </c>
      <c r="B16" s="92"/>
      <c r="C16" s="355">
        <f>'E-InvAT'!C33</f>
        <v>810994.27500000002</v>
      </c>
      <c r="D16" s="83">
        <f>'E-InvAT'!D33</f>
        <v>0</v>
      </c>
      <c r="E16" s="83">
        <f>'E-InvAT'!E33</f>
        <v>0</v>
      </c>
      <c r="F16" s="83">
        <f>'E-InvAT'!F33</f>
        <v>0</v>
      </c>
      <c r="G16" s="355">
        <f>'E-InvAT'!G33</f>
        <v>0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4"/>
      <c r="T16" s="4"/>
      <c r="U16" s="4"/>
      <c r="V16" s="4"/>
      <c r="W16" s="4"/>
      <c r="X16" s="4"/>
      <c r="Y16" s="4"/>
      <c r="Z16" s="4"/>
    </row>
    <row r="17" spans="1:26" ht="12.75" customHeight="1">
      <c r="A17" s="93" t="s">
        <v>230</v>
      </c>
      <c r="B17" s="4"/>
      <c r="C17" s="392">
        <f>C12-C13-C15-C16</f>
        <v>223699.08361200802</v>
      </c>
      <c r="D17" s="393">
        <f t="shared" ref="D17:G17" si="1">D12-D13-D15-D16</f>
        <v>1145569.423092162</v>
      </c>
      <c r="E17" s="393">
        <f t="shared" si="1"/>
        <v>1145600.7589456621</v>
      </c>
      <c r="F17" s="393">
        <f t="shared" si="1"/>
        <v>1145600.7589456621</v>
      </c>
      <c r="G17" s="392">
        <f t="shared" si="1"/>
        <v>1145600.7589456621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4"/>
      <c r="T17" s="4"/>
      <c r="U17" s="4"/>
      <c r="V17" s="4"/>
      <c r="W17" s="4"/>
      <c r="X17" s="4"/>
      <c r="Y17" s="4"/>
      <c r="Z17" s="4"/>
    </row>
    <row r="18" spans="1:26" ht="12.75" customHeight="1">
      <c r="A18" s="93" t="s">
        <v>231</v>
      </c>
      <c r="B18" s="92"/>
      <c r="C18" s="392">
        <f>('E-Costos'!B54+'E-Costos'!B55+'E-Costos'!B56+'E-Costos'!B57+'E-Costos'!B58+'E-Costos'!B61)*0.21</f>
        <v>91911.321261849298</v>
      </c>
      <c r="D18" s="392">
        <f>('E-Costos'!C54+'E-Costos'!C55+'E-Costos'!C56+'E-Costos'!C57+'E-Costos'!C58+'E-Costos'!C61)*0.21</f>
        <v>91911.321261849298</v>
      </c>
      <c r="E18" s="392">
        <f>('E-Costos'!D54+'E-Costos'!D55+'E-Costos'!D56+'E-Costos'!D57+'E-Costos'!D58+'E-Costos'!D61)*0.21</f>
        <v>91911.321261849298</v>
      </c>
      <c r="F18" s="392">
        <f>('E-Costos'!E54+'E-Costos'!E55+'E-Costos'!E56+'E-Costos'!E57+'E-Costos'!E58+'E-Costos'!E61)*0.21</f>
        <v>91911.321261849298</v>
      </c>
      <c r="G18" s="392">
        <f>('E-Costos'!F54+'E-Costos'!F55+'E-Costos'!F56+'E-Costos'!F57+'E-Costos'!F58+'E-Costos'!F61)*0.21</f>
        <v>91911.321261849298</v>
      </c>
      <c r="H18" s="1"/>
      <c r="I18" s="2"/>
      <c r="J18" s="2"/>
      <c r="K18" s="2"/>
      <c r="L18" s="2"/>
      <c r="M18" s="2"/>
      <c r="N18" s="2"/>
      <c r="O18" s="2"/>
      <c r="P18" s="2"/>
      <c r="Q18" s="2"/>
      <c r="R18" s="2"/>
      <c r="S18" s="4"/>
      <c r="T18" s="4"/>
      <c r="U18" s="4"/>
      <c r="V18" s="4"/>
      <c r="W18" s="4"/>
      <c r="X18" s="4"/>
      <c r="Y18" s="4"/>
      <c r="Z18" s="4"/>
    </row>
    <row r="19" spans="1:26" ht="12.75" customHeight="1">
      <c r="A19" s="93" t="s">
        <v>232</v>
      </c>
      <c r="B19" s="92"/>
      <c r="C19" s="392">
        <f>('E-Costos'!B73+'E-Costos'!B74+'E-Costos'!B75+'E-Costos'!B76+'E-Costos'!B77+'E-Costos'!B78+'E-Costos'!B80)*0.21</f>
        <v>86997.321261849283</v>
      </c>
      <c r="D19" s="392">
        <f>('E-Costos'!C73+'E-Costos'!C74+'E-Costos'!C75+'E-Costos'!C76+'E-Costos'!C77+'E-Costos'!C78+'E-Costos'!C80)*0.21</f>
        <v>86997.321261849283</v>
      </c>
      <c r="E19" s="392">
        <f>('E-Costos'!D73+'E-Costos'!D74+'E-Costos'!D75+'E-Costos'!D76+'E-Costos'!D77+'E-Costos'!D78+'E-Costos'!D80)*0.21</f>
        <v>86997.321261849283</v>
      </c>
      <c r="F19" s="392">
        <f>('E-Costos'!E73+'E-Costos'!E74+'E-Costos'!E75+'E-Costos'!E76+'E-Costos'!E77+'E-Costos'!E78+'E-Costos'!E80)*0.21</f>
        <v>86997.321261849283</v>
      </c>
      <c r="G19" s="392">
        <f>('E-Costos'!F73+'E-Costos'!F74+'E-Costos'!F75+'E-Costos'!F76+'E-Costos'!F77+'E-Costos'!F78+'E-Costos'!F80)*0.21</f>
        <v>86997.321261849283</v>
      </c>
      <c r="H19" s="1"/>
      <c r="I19" s="2"/>
      <c r="J19" s="2"/>
      <c r="K19" s="2"/>
      <c r="L19" s="2"/>
      <c r="M19" s="2"/>
      <c r="N19" s="2"/>
      <c r="O19" s="2"/>
      <c r="P19" s="2"/>
      <c r="Q19" s="2"/>
      <c r="R19" s="2"/>
      <c r="S19" s="4"/>
      <c r="T19" s="4"/>
      <c r="U19" s="4"/>
      <c r="V19" s="4"/>
      <c r="W19" s="4"/>
      <c r="X19" s="4"/>
      <c r="Y19" s="4"/>
      <c r="Z19" s="4"/>
    </row>
    <row r="20" spans="1:26" ht="12.75" customHeight="1">
      <c r="A20" s="93"/>
      <c r="B20" s="92"/>
      <c r="C20" s="355"/>
      <c r="D20" s="83"/>
      <c r="E20" s="83"/>
      <c r="F20" s="83"/>
      <c r="G20" s="355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4"/>
      <c r="T20" s="4"/>
      <c r="U20" s="4"/>
      <c r="V20" s="4"/>
      <c r="W20" s="4"/>
      <c r="X20" s="4"/>
      <c r="Y20" s="4"/>
      <c r="Z20" s="4"/>
    </row>
    <row r="21" spans="1:26" ht="12.75" customHeight="1">
      <c r="A21" s="91" t="s">
        <v>233</v>
      </c>
      <c r="B21" s="92"/>
      <c r="C21" s="355">
        <f t="shared" ref="C21:G21" si="2">SUM(C17:C19)</f>
        <v>402607.72613570665</v>
      </c>
      <c r="D21" s="83">
        <f t="shared" si="2"/>
        <v>1324478.0656158605</v>
      </c>
      <c r="E21" s="83">
        <f t="shared" si="2"/>
        <v>1324509.4014693606</v>
      </c>
      <c r="F21" s="83">
        <f t="shared" si="2"/>
        <v>1324509.4014693606</v>
      </c>
      <c r="G21" s="355">
        <f t="shared" si="2"/>
        <v>1324509.4014693606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4"/>
      <c r="T21" s="4"/>
      <c r="U21" s="4"/>
      <c r="V21" s="4"/>
      <c r="W21" s="4"/>
      <c r="X21" s="4"/>
      <c r="Y21" s="4"/>
      <c r="Z21" s="4"/>
    </row>
    <row r="22" spans="1:26" ht="12.75" customHeight="1">
      <c r="A22" s="91" t="s">
        <v>234</v>
      </c>
      <c r="B22" s="92"/>
      <c r="C22" s="355">
        <f>'E-Costos'!B94*0.21</f>
        <v>7077756</v>
      </c>
      <c r="D22" s="83">
        <f>'E-Costos'!C94*0.21</f>
        <v>7985225.4299999997</v>
      </c>
      <c r="E22" s="83">
        <f>'E-Costos'!D94*0.21</f>
        <v>7985225.4299999997</v>
      </c>
      <c r="F22" s="83">
        <f>'E-Costos'!E94*0.21</f>
        <v>7985225.4299999997</v>
      </c>
      <c r="G22" s="355">
        <f>'E-Costos'!F94*0.21</f>
        <v>7985225.4299999997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4"/>
      <c r="T22" s="4"/>
      <c r="U22" s="4"/>
      <c r="V22" s="4"/>
      <c r="W22" s="4"/>
      <c r="X22" s="4"/>
      <c r="Y22" s="4"/>
      <c r="Z22" s="4"/>
    </row>
    <row r="23" spans="1:26" ht="12.75" customHeight="1">
      <c r="A23" s="93" t="s">
        <v>235</v>
      </c>
      <c r="B23" s="92"/>
      <c r="C23" s="355">
        <f t="shared" ref="C23:G23" si="3">C22-C21</f>
        <v>6675148.2738642935</v>
      </c>
      <c r="D23" s="83">
        <f t="shared" si="3"/>
        <v>6660747.364384139</v>
      </c>
      <c r="E23" s="83">
        <f t="shared" si="3"/>
        <v>6660716.0285306387</v>
      </c>
      <c r="F23" s="83">
        <f t="shared" si="3"/>
        <v>6660716.0285306387</v>
      </c>
      <c r="G23" s="355">
        <f t="shared" si="3"/>
        <v>6660716.0285306387</v>
      </c>
      <c r="H23" s="256"/>
      <c r="I23" s="2"/>
      <c r="J23" s="2"/>
      <c r="K23" s="2"/>
      <c r="L23" s="2"/>
      <c r="M23" s="2"/>
      <c r="N23" s="2"/>
      <c r="O23" s="2"/>
      <c r="P23" s="2"/>
      <c r="Q23" s="2"/>
      <c r="R23" s="2"/>
      <c r="S23" s="4"/>
      <c r="T23" s="4"/>
      <c r="U23" s="4"/>
      <c r="V23" s="4"/>
      <c r="W23" s="4"/>
      <c r="X23" s="4"/>
      <c r="Y23" s="4"/>
      <c r="Z23" s="4"/>
    </row>
    <row r="24" spans="1:26" ht="12.75" customHeight="1">
      <c r="A24" s="91"/>
      <c r="B24" s="92"/>
      <c r="C24" s="355"/>
      <c r="D24" s="83"/>
      <c r="E24" s="83"/>
      <c r="F24" s="83"/>
      <c r="G24" s="355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4"/>
      <c r="T24" s="4"/>
      <c r="U24" s="4"/>
      <c r="V24" s="4"/>
      <c r="W24" s="4"/>
      <c r="X24" s="4"/>
      <c r="Y24" s="4"/>
      <c r="Z24" s="4"/>
    </row>
    <row r="25" spans="1:26" ht="12.75" customHeight="1">
      <c r="A25" s="94" t="s">
        <v>236</v>
      </c>
      <c r="B25" s="92"/>
      <c r="C25" s="355">
        <f t="shared" ref="C25:G25" si="4">B27</f>
        <v>504412.25950413215</v>
      </c>
      <c r="D25" s="83">
        <f t="shared" si="4"/>
        <v>0</v>
      </c>
      <c r="E25" s="83">
        <f t="shared" si="4"/>
        <v>0</v>
      </c>
      <c r="F25" s="83">
        <f t="shared" si="4"/>
        <v>0</v>
      </c>
      <c r="G25" s="355">
        <f t="shared" si="4"/>
        <v>0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4"/>
      <c r="T25" s="4"/>
      <c r="U25" s="4"/>
      <c r="V25" s="4"/>
      <c r="W25" s="4"/>
      <c r="X25" s="4"/>
      <c r="Y25" s="4"/>
      <c r="Z25" s="4"/>
    </row>
    <row r="26" spans="1:26" ht="12.75" customHeight="1">
      <c r="A26" s="94" t="s">
        <v>237</v>
      </c>
      <c r="B26" s="92">
        <f>'E-Cal Inv.'!B23+'E-Cal Inv.'!C23</f>
        <v>504412.25950413215</v>
      </c>
      <c r="C26" s="355">
        <f>'E-Cal Inv.'!D23</f>
        <v>845950.46980686986</v>
      </c>
      <c r="D26" s="83">
        <f>'E-Cal Inv.'!E23</f>
        <v>5561.1923535000014</v>
      </c>
      <c r="E26" s="83">
        <f>'E-Cal Inv.'!F23</f>
        <v>0</v>
      </c>
      <c r="F26" s="83">
        <f>'E-Cal Inv.'!G23</f>
        <v>0</v>
      </c>
      <c r="G26" s="355">
        <f>'E-Cal Inv.'!H23</f>
        <v>0</v>
      </c>
      <c r="H26" s="95"/>
      <c r="I26" s="2"/>
      <c r="J26" s="2"/>
      <c r="K26" s="2"/>
      <c r="L26" s="2"/>
      <c r="M26" s="2"/>
      <c r="N26" s="2"/>
      <c r="O26" s="2"/>
      <c r="P26" s="2"/>
      <c r="Q26" s="2"/>
      <c r="R26" s="2"/>
      <c r="S26" s="4"/>
      <c r="T26" s="4"/>
      <c r="U26" s="4"/>
      <c r="V26" s="4"/>
      <c r="W26" s="4"/>
      <c r="X26" s="4"/>
      <c r="Y26" s="4"/>
      <c r="Z26" s="4"/>
    </row>
    <row r="27" spans="1:26" ht="12.75" customHeight="1">
      <c r="A27" s="93" t="s">
        <v>238</v>
      </c>
      <c r="B27" s="92">
        <f>B26</f>
        <v>504412.25950413215</v>
      </c>
      <c r="C27" s="355">
        <f t="shared" ref="C27:G27" si="5">IF((C25+C26-C23)&lt;0,0,(C25+C26-C23))</f>
        <v>0</v>
      </c>
      <c r="D27" s="92">
        <f t="shared" si="5"/>
        <v>0</v>
      </c>
      <c r="E27" s="92">
        <f t="shared" si="5"/>
        <v>0</v>
      </c>
      <c r="F27" s="92">
        <f t="shared" si="5"/>
        <v>0</v>
      </c>
      <c r="G27" s="355">
        <f t="shared" si="5"/>
        <v>0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4"/>
      <c r="T27" s="4"/>
      <c r="U27" s="4"/>
      <c r="V27" s="4"/>
      <c r="W27" s="4"/>
      <c r="X27" s="4"/>
      <c r="Y27" s="4"/>
      <c r="Z27" s="4"/>
    </row>
    <row r="28" spans="1:26" ht="12.75" customHeight="1">
      <c r="A28" s="93" t="s">
        <v>239</v>
      </c>
      <c r="B28" s="92">
        <f>IF(B27&gt;0,B23,0)</f>
        <v>0</v>
      </c>
      <c r="C28" s="355">
        <f>IF(C27&gt;0,C23,C25+C26)</f>
        <v>1350362.729311002</v>
      </c>
      <c r="D28" s="92">
        <f>IF(D27&gt;0,D23,D25+D26)</f>
        <v>5561.1923535000014</v>
      </c>
      <c r="E28" s="92">
        <f>IF(E27&gt;0,E23,E25+E26)</f>
        <v>0</v>
      </c>
      <c r="F28" s="92">
        <f>IF(F27&gt;0,F23,F25+F26)</f>
        <v>0</v>
      </c>
      <c r="G28" s="355">
        <f>IF(G27&gt;0,G23,G25+G26)</f>
        <v>0</v>
      </c>
      <c r="H28" s="95"/>
      <c r="I28" s="2"/>
      <c r="J28" s="2"/>
      <c r="K28" s="2"/>
      <c r="L28" s="2"/>
      <c r="M28" s="2"/>
      <c r="N28" s="2"/>
      <c r="O28" s="2"/>
      <c r="P28" s="2"/>
      <c r="Q28" s="2"/>
      <c r="R28" s="2"/>
      <c r="S28" s="4"/>
      <c r="T28" s="4"/>
      <c r="U28" s="4"/>
      <c r="V28" s="4"/>
      <c r="W28" s="4"/>
      <c r="X28" s="4"/>
      <c r="Y28" s="4"/>
      <c r="Z28" s="4"/>
    </row>
    <row r="29" spans="1:26" ht="12.75" customHeight="1">
      <c r="A29" s="91"/>
      <c r="B29" s="92"/>
      <c r="C29" s="355"/>
      <c r="D29" s="83"/>
      <c r="E29" s="83"/>
      <c r="F29" s="83"/>
      <c r="G29" s="355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4"/>
      <c r="T29" s="4"/>
      <c r="U29" s="4"/>
      <c r="V29" s="4"/>
      <c r="W29" s="4"/>
      <c r="X29" s="4"/>
      <c r="Y29" s="4"/>
      <c r="Z29" s="4"/>
    </row>
    <row r="30" spans="1:26" ht="12.75" customHeight="1" thickBot="1">
      <c r="A30" s="96" t="s">
        <v>240</v>
      </c>
      <c r="B30" s="97">
        <f>B23-B28</f>
        <v>0</v>
      </c>
      <c r="C30" s="356">
        <f>C23-C28</f>
        <v>5324785.5445532911</v>
      </c>
      <c r="D30" s="97">
        <f t="shared" ref="D30:G30" si="6">D23-D28</f>
        <v>6655186.1720306389</v>
      </c>
      <c r="E30" s="97">
        <f t="shared" si="6"/>
        <v>6660716.0285306387</v>
      </c>
      <c r="F30" s="97">
        <f t="shared" si="6"/>
        <v>6660716.0285306387</v>
      </c>
      <c r="G30" s="356">
        <f t="shared" si="6"/>
        <v>6660716.0285306387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4"/>
      <c r="T30" s="4"/>
      <c r="U30" s="4"/>
      <c r="V30" s="4"/>
      <c r="W30" s="4"/>
      <c r="X30" s="4"/>
      <c r="Y30" s="4"/>
      <c r="Z30" s="4"/>
    </row>
    <row r="31" spans="1:26" ht="12.75" customHeight="1" thickTop="1">
      <c r="A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4"/>
      <c r="T31" s="4"/>
      <c r="U31" s="4"/>
      <c r="V31" s="4"/>
      <c r="W31" s="4"/>
      <c r="X31" s="4"/>
      <c r="Y31" s="4"/>
      <c r="Z31" s="4"/>
    </row>
    <row r="32" spans="1:26" ht="12.75">
      <c r="A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>
      <c r="A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>
      <c r="A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>
      <c r="A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topLeftCell="A25" zoomScaleNormal="100" workbookViewId="0">
      <selection activeCell="G46" sqref="G46"/>
    </sheetView>
  </sheetViews>
  <sheetFormatPr baseColWidth="10" defaultColWidth="14.42578125" defaultRowHeight="15" customHeight="1"/>
  <cols>
    <col min="1" max="1" width="45.42578125" customWidth="1"/>
    <col min="2" max="5" width="14.85546875" customWidth="1"/>
    <col min="6" max="6" width="15.42578125" bestFit="1" customWidth="1"/>
    <col min="7" max="7" width="17.42578125" customWidth="1"/>
    <col min="8" max="8" width="11.42578125" customWidth="1"/>
    <col min="9" max="9" width="19.7109375" customWidth="1"/>
    <col min="10" max="15" width="11.42578125" customWidth="1"/>
    <col min="16" max="16" width="10" customWidth="1"/>
  </cols>
  <sheetData>
    <row r="1" spans="1:26" ht="12.75" customHeight="1">
      <c r="A1" s="1" t="s">
        <v>120</v>
      </c>
      <c r="B1" s="2"/>
      <c r="C1" s="2"/>
      <c r="D1" s="2"/>
      <c r="E1" s="3">
        <f>InfoInicial!E1</f>
        <v>7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4"/>
      <c r="R1" s="4"/>
      <c r="S1" s="4"/>
      <c r="T1" s="4"/>
      <c r="U1" s="4"/>
      <c r="V1" s="4"/>
      <c r="W1" s="4"/>
      <c r="X1" s="4"/>
      <c r="Y1" s="4"/>
      <c r="Z1" s="4"/>
    </row>
    <row r="2" spans="1:26" ht="12.75" customHeight="1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4"/>
      <c r="R2" s="4"/>
      <c r="S2" s="4"/>
      <c r="T2" s="4"/>
      <c r="U2" s="4"/>
      <c r="V2" s="4"/>
      <c r="W2" s="4"/>
      <c r="X2" s="4"/>
      <c r="Y2" s="4"/>
      <c r="Z2" s="4"/>
    </row>
    <row r="3" spans="1:26" ht="15.75" customHeight="1" thickTop="1">
      <c r="A3" s="434" t="s">
        <v>121</v>
      </c>
      <c r="B3" s="643" t="s">
        <v>122</v>
      </c>
      <c r="C3" s="644"/>
      <c r="D3" s="643" t="s">
        <v>123</v>
      </c>
      <c r="E3" s="645"/>
      <c r="F3" s="647" t="s">
        <v>624</v>
      </c>
      <c r="H3" s="2"/>
      <c r="I3" s="336" t="s">
        <v>461</v>
      </c>
      <c r="J3" s="2"/>
      <c r="K3" s="2"/>
      <c r="L3" s="2"/>
      <c r="M3" s="2"/>
      <c r="N3" s="2"/>
      <c r="O3" s="2"/>
      <c r="P3" s="2"/>
      <c r="Q3" s="4"/>
      <c r="R3" s="4"/>
      <c r="S3" s="4"/>
      <c r="T3" s="4"/>
      <c r="U3" s="4"/>
      <c r="V3" s="4"/>
      <c r="W3" s="4"/>
      <c r="X3" s="4"/>
      <c r="Y3" s="4"/>
      <c r="Z3" s="4"/>
    </row>
    <row r="4" spans="1:26" ht="16.5" customHeight="1" thickBot="1">
      <c r="A4" s="435"/>
      <c r="B4" s="432" t="s">
        <v>124</v>
      </c>
      <c r="C4" s="432" t="s">
        <v>8</v>
      </c>
      <c r="D4" s="432" t="s">
        <v>124</v>
      </c>
      <c r="E4" s="433" t="s">
        <v>8</v>
      </c>
      <c r="F4" s="648"/>
      <c r="H4" s="2"/>
      <c r="I4" s="2"/>
      <c r="J4" s="2"/>
      <c r="K4" s="2"/>
      <c r="L4" s="2"/>
      <c r="M4" s="2"/>
      <c r="N4" s="2"/>
      <c r="O4" s="2"/>
      <c r="P4" s="2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ht="13.5" customHeight="1" thickTop="1">
      <c r="A5" s="55"/>
      <c r="B5" s="56"/>
      <c r="C5" s="56"/>
      <c r="D5" s="56"/>
      <c r="E5" s="362"/>
      <c r="F5" s="366"/>
      <c r="H5" s="2"/>
      <c r="I5" s="2"/>
      <c r="J5" s="2"/>
      <c r="K5" s="2"/>
      <c r="L5" s="2"/>
      <c r="M5" s="2"/>
      <c r="N5" s="2"/>
      <c r="O5" s="2"/>
      <c r="P5" s="2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ht="12.75" customHeight="1">
      <c r="A6" s="57" t="s">
        <v>125</v>
      </c>
      <c r="B6" s="58"/>
      <c r="C6" s="58"/>
      <c r="D6" s="58"/>
      <c r="E6" s="363"/>
      <c r="F6" s="367"/>
      <c r="H6" s="2"/>
      <c r="I6" s="2"/>
      <c r="J6" s="2"/>
      <c r="K6" s="2"/>
      <c r="L6" s="2"/>
      <c r="M6" s="2"/>
      <c r="N6" s="2"/>
      <c r="O6" s="2"/>
      <c r="P6" s="2"/>
      <c r="Q6" s="4"/>
      <c r="R6" s="4"/>
      <c r="S6" s="4"/>
      <c r="T6" s="4"/>
      <c r="U6" s="4"/>
      <c r="V6" s="4"/>
      <c r="W6" s="4"/>
      <c r="X6" s="4"/>
      <c r="Y6" s="4"/>
      <c r="Z6" s="4"/>
    </row>
    <row r="7" spans="1:26" ht="12.75" customHeight="1">
      <c r="A7" s="59" t="s">
        <v>126</v>
      </c>
      <c r="B7" s="305">
        <v>900000</v>
      </c>
      <c r="C7" s="60">
        <v>0</v>
      </c>
      <c r="D7" s="60"/>
      <c r="E7" s="364"/>
      <c r="F7" s="368">
        <f>B7+C7+(D7+E7)*InfoInicial!$C$31</f>
        <v>900000</v>
      </c>
      <c r="H7" s="2"/>
      <c r="I7" s="286" t="s">
        <v>521</v>
      </c>
      <c r="J7" s="287" t="s">
        <v>526</v>
      </c>
      <c r="K7" s="287"/>
      <c r="L7" s="287"/>
      <c r="M7" s="287"/>
      <c r="N7" s="287"/>
      <c r="O7" s="287"/>
      <c r="P7" s="287"/>
      <c r="Q7" s="273"/>
      <c r="R7" s="273"/>
      <c r="S7" s="273"/>
      <c r="T7" s="274"/>
      <c r="U7" s="4"/>
      <c r="V7" s="4"/>
      <c r="W7" s="4"/>
      <c r="X7" s="4"/>
      <c r="Y7" s="4"/>
      <c r="Z7" s="4"/>
    </row>
    <row r="8" spans="1:26" ht="12.75" customHeight="1">
      <c r="A8" s="59" t="s">
        <v>127</v>
      </c>
      <c r="B8" s="60">
        <v>80000</v>
      </c>
      <c r="C8" s="60">
        <v>50000</v>
      </c>
      <c r="D8" s="60"/>
      <c r="E8" s="364"/>
      <c r="F8" s="368">
        <f>B8+C8+(D8+E8)*InfoInicial!$C$31</f>
        <v>130000</v>
      </c>
      <c r="G8" s="360"/>
      <c r="H8" s="2"/>
      <c r="I8" s="288" t="s">
        <v>524</v>
      </c>
      <c r="J8" s="279">
        <v>360000</v>
      </c>
      <c r="K8" s="279" t="s">
        <v>522</v>
      </c>
      <c r="L8" s="115"/>
      <c r="M8" s="115"/>
      <c r="N8" s="115"/>
      <c r="O8" s="115"/>
      <c r="P8" s="115"/>
      <c r="Q8" s="150"/>
      <c r="R8" s="150"/>
      <c r="S8" s="150"/>
      <c r="T8" s="289"/>
      <c r="U8" s="4"/>
      <c r="V8" s="4"/>
      <c r="W8" s="4"/>
      <c r="X8" s="4"/>
      <c r="Y8" s="4"/>
      <c r="Z8" s="4"/>
    </row>
    <row r="9" spans="1:26" ht="12.75" customHeight="1">
      <c r="A9" s="59" t="s">
        <v>128</v>
      </c>
      <c r="B9" s="60">
        <v>80000</v>
      </c>
      <c r="C9" s="60"/>
      <c r="D9" s="60"/>
      <c r="E9" s="364"/>
      <c r="F9" s="368">
        <f>B9+C9+(D9+E9)*InfoInicial!$C$31</f>
        <v>80000</v>
      </c>
      <c r="H9" s="2"/>
      <c r="I9" s="288" t="s">
        <v>525</v>
      </c>
      <c r="J9" s="279">
        <f>4000*2</f>
        <v>8000</v>
      </c>
      <c r="K9" s="279" t="s">
        <v>523</v>
      </c>
      <c r="L9" s="115"/>
      <c r="M9" s="115"/>
      <c r="N9" s="115"/>
      <c r="O9" s="115"/>
      <c r="P9" s="115"/>
      <c r="Q9" s="150"/>
      <c r="R9" s="150"/>
      <c r="S9" s="150"/>
      <c r="T9" s="289"/>
      <c r="U9" s="4"/>
      <c r="V9" s="4"/>
      <c r="W9" s="4"/>
      <c r="X9" s="4"/>
      <c r="Y9" s="4"/>
      <c r="Z9" s="4"/>
    </row>
    <row r="10" spans="1:26" ht="12.75" customHeight="1">
      <c r="A10" s="59" t="s">
        <v>129</v>
      </c>
      <c r="B10" s="2"/>
      <c r="C10" s="60"/>
      <c r="D10" s="60"/>
      <c r="E10" s="364"/>
      <c r="F10" s="368">
        <f>B10+C10+(D10+E10)*InfoInicial!$C$31</f>
        <v>0</v>
      </c>
      <c r="H10" s="2"/>
      <c r="I10" s="290" t="s">
        <v>517</v>
      </c>
      <c r="J10" s="291">
        <f>+J8+2*J9</f>
        <v>376000</v>
      </c>
      <c r="K10" s="291"/>
      <c r="L10" s="292"/>
      <c r="M10" s="292"/>
      <c r="N10" s="292"/>
      <c r="O10" s="292"/>
      <c r="P10" s="292"/>
      <c r="Q10" s="293"/>
      <c r="R10" s="293"/>
      <c r="S10" s="293"/>
      <c r="T10" s="294"/>
      <c r="U10" s="4"/>
      <c r="V10" s="4"/>
      <c r="W10" s="4"/>
      <c r="X10" s="4"/>
      <c r="Y10" s="4"/>
      <c r="Z10" s="4"/>
    </row>
    <row r="11" spans="1:26" ht="12.75" customHeight="1">
      <c r="A11" s="59" t="s">
        <v>130</v>
      </c>
      <c r="B11" s="60"/>
      <c r="C11" s="60">
        <v>0</v>
      </c>
      <c r="D11" s="60"/>
      <c r="E11" s="364"/>
      <c r="F11" s="368">
        <f>B11+C11+(D11+E11)*InfoInicial!$C$31</f>
        <v>0</v>
      </c>
      <c r="H11" s="2"/>
      <c r="L11" s="2"/>
      <c r="M11" s="2"/>
      <c r="N11" s="2"/>
      <c r="O11" s="2"/>
      <c r="P11" s="2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 spans="1:26" ht="12.75" customHeight="1">
      <c r="A12" s="59" t="s">
        <v>131</v>
      </c>
      <c r="B12" s="60">
        <f>J13+J14+J15</f>
        <v>270000</v>
      </c>
      <c r="C12" s="60">
        <v>0</v>
      </c>
      <c r="D12" s="60"/>
      <c r="E12" s="364"/>
      <c r="F12" s="368">
        <f>B12+C12+(D12+E12)*InfoInicial!$C$31</f>
        <v>270000</v>
      </c>
      <c r="H12" s="2"/>
      <c r="I12" s="295" t="s">
        <v>466</v>
      </c>
      <c r="J12" s="287" t="s">
        <v>526</v>
      </c>
      <c r="K12" s="287"/>
      <c r="L12" s="287"/>
      <c r="M12" s="287"/>
      <c r="N12" s="287"/>
      <c r="O12" s="287"/>
      <c r="P12" s="287"/>
      <c r="Q12" s="273"/>
      <c r="R12" s="273"/>
      <c r="S12" s="273"/>
      <c r="T12" s="274"/>
      <c r="U12" s="4"/>
      <c r="V12" s="4"/>
      <c r="W12" s="4"/>
      <c r="X12" s="4"/>
      <c r="Y12" s="4"/>
      <c r="Z12" s="4"/>
    </row>
    <row r="13" spans="1:26" ht="12.75" customHeight="1">
      <c r="A13" s="61" t="s">
        <v>132</v>
      </c>
      <c r="B13" s="60">
        <v>0</v>
      </c>
      <c r="C13" s="60">
        <v>0</v>
      </c>
      <c r="D13" s="60"/>
      <c r="E13" s="364"/>
      <c r="F13" s="368">
        <f>B13+C13+(D13+E13)*InfoInicial!$C$31</f>
        <v>0</v>
      </c>
      <c r="H13" s="2"/>
      <c r="I13" s="296" t="s">
        <v>467</v>
      </c>
      <c r="J13" s="297">
        <v>55000</v>
      </c>
      <c r="K13" s="115" t="s">
        <v>471</v>
      </c>
      <c r="L13" s="115"/>
      <c r="M13" s="115"/>
      <c r="N13" s="115"/>
      <c r="O13" s="115"/>
      <c r="P13" s="115"/>
      <c r="Q13" s="150"/>
      <c r="R13" s="150"/>
      <c r="S13" s="150"/>
      <c r="T13" s="289"/>
      <c r="U13" s="4"/>
      <c r="V13" s="4"/>
      <c r="W13" s="4"/>
      <c r="X13" s="4"/>
      <c r="Y13" s="4"/>
      <c r="Z13" s="4"/>
    </row>
    <row r="14" spans="1:26" ht="12.75" customHeight="1">
      <c r="A14" s="59" t="s">
        <v>133</v>
      </c>
      <c r="B14" s="60">
        <v>5000</v>
      </c>
      <c r="C14" s="60">
        <v>0</v>
      </c>
      <c r="D14" s="60"/>
      <c r="E14" s="364"/>
      <c r="F14" s="368">
        <f>B14+C14+(D14+E14)*InfoInicial!$C$31</f>
        <v>5000</v>
      </c>
      <c r="G14" s="360"/>
      <c r="H14" s="2"/>
      <c r="I14" s="296" t="s">
        <v>468</v>
      </c>
      <c r="J14" s="297">
        <v>160000</v>
      </c>
      <c r="K14" s="115" t="s">
        <v>472</v>
      </c>
      <c r="L14" s="115"/>
      <c r="M14" s="115"/>
      <c r="N14" s="115"/>
      <c r="O14" s="115"/>
      <c r="P14" s="115"/>
      <c r="Q14" s="150"/>
      <c r="R14" s="150"/>
      <c r="S14" s="150"/>
      <c r="T14" s="289"/>
      <c r="U14" s="4"/>
      <c r="V14" s="4"/>
      <c r="W14" s="4"/>
      <c r="X14" s="4"/>
      <c r="Y14" s="4"/>
      <c r="Z14" s="4"/>
    </row>
    <row r="15" spans="1:26" ht="12.75" customHeight="1">
      <c r="A15" s="59" t="s">
        <v>134</v>
      </c>
      <c r="B15" s="60">
        <f>J8+J9</f>
        <v>368000</v>
      </c>
      <c r="C15" s="60">
        <v>0</v>
      </c>
      <c r="D15" s="60"/>
      <c r="E15" s="364"/>
      <c r="F15" s="368">
        <f>B15+C15+(D15+E15)*InfoInicial!$C$31</f>
        <v>368000</v>
      </c>
      <c r="G15" s="360"/>
      <c r="H15" s="2"/>
      <c r="I15" s="296" t="s">
        <v>469</v>
      </c>
      <c r="J15" s="298">
        <v>55000</v>
      </c>
      <c r="K15" s="115" t="s">
        <v>470</v>
      </c>
      <c r="L15" s="115"/>
      <c r="M15" s="115"/>
      <c r="N15" s="115"/>
      <c r="O15" s="115"/>
      <c r="P15" s="115"/>
      <c r="Q15" s="150"/>
      <c r="R15" s="150"/>
      <c r="S15" s="150"/>
      <c r="T15" s="289"/>
      <c r="U15" s="4"/>
      <c r="V15" s="4"/>
      <c r="W15" s="4"/>
      <c r="X15" s="4"/>
      <c r="Y15" s="4"/>
      <c r="Z15" s="4"/>
    </row>
    <row r="16" spans="1:26" ht="12.75" customHeight="1">
      <c r="A16" s="59" t="s">
        <v>135</v>
      </c>
      <c r="B16" s="60">
        <f>L64</f>
        <v>279099.17355371901</v>
      </c>
      <c r="C16" s="60">
        <v>0</v>
      </c>
      <c r="D16" s="60"/>
      <c r="E16" s="364"/>
      <c r="F16" s="368">
        <f>B16+C16+(D16+E16)*InfoInicial!$C$31</f>
        <v>279099.17355371901</v>
      </c>
      <c r="G16" s="360"/>
      <c r="H16" s="2"/>
      <c r="I16" s="299" t="s">
        <v>517</v>
      </c>
      <c r="J16" s="300">
        <f>+J13+J14+J15</f>
        <v>270000</v>
      </c>
      <c r="K16" s="292"/>
      <c r="L16" s="292"/>
      <c r="M16" s="292"/>
      <c r="N16" s="292"/>
      <c r="O16" s="292"/>
      <c r="P16" s="292"/>
      <c r="Q16" s="293"/>
      <c r="R16" s="293"/>
      <c r="S16" s="293"/>
      <c r="T16" s="294"/>
      <c r="U16" s="4"/>
      <c r="V16" s="4"/>
      <c r="W16" s="4"/>
      <c r="X16" s="4"/>
      <c r="Y16" s="4"/>
      <c r="Z16" s="4"/>
    </row>
    <row r="17" spans="1:26" ht="12.75" customHeight="1">
      <c r="A17" s="59" t="s">
        <v>136</v>
      </c>
      <c r="B17" s="60">
        <v>0</v>
      </c>
      <c r="C17" s="60">
        <v>0</v>
      </c>
      <c r="D17" s="60"/>
      <c r="E17" s="364"/>
      <c r="F17" s="368">
        <f>B17+C17+(D17+E17)*InfoInicial!$C$31</f>
        <v>0</v>
      </c>
      <c r="H17" s="2"/>
      <c r="I17" s="2"/>
      <c r="J17" s="2"/>
      <c r="K17" s="2"/>
      <c r="L17" s="2"/>
      <c r="M17" s="2"/>
      <c r="N17" s="2"/>
      <c r="O17" s="2"/>
      <c r="P17" s="2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 spans="1:26" ht="12.75" customHeight="1">
      <c r="A18" s="59" t="s">
        <v>31</v>
      </c>
      <c r="B18" s="60">
        <f>0.04*SUM(B7:B17)</f>
        <v>79283.966942148763</v>
      </c>
      <c r="C18" s="60"/>
      <c r="D18" s="60"/>
      <c r="E18" s="364"/>
      <c r="F18" s="368">
        <f>B18+C18+(D18+E18)*InfoInicial!$C$31</f>
        <v>79283.966942148763</v>
      </c>
      <c r="H18" s="2"/>
      <c r="I18" s="295" t="s">
        <v>518</v>
      </c>
      <c r="J18" s="287" t="s">
        <v>527</v>
      </c>
      <c r="K18" s="287" t="s">
        <v>526</v>
      </c>
      <c r="L18" s="287" t="s">
        <v>348</v>
      </c>
      <c r="M18" s="287"/>
      <c r="N18" s="287"/>
      <c r="O18" s="287"/>
      <c r="P18" s="287"/>
      <c r="Q18" s="273"/>
      <c r="R18" s="273"/>
      <c r="S18" s="273"/>
      <c r="T18" s="274"/>
      <c r="U18" s="4"/>
      <c r="V18" s="4"/>
      <c r="W18" s="4"/>
      <c r="X18" s="4"/>
      <c r="Y18" s="4"/>
      <c r="Z18" s="4"/>
    </row>
    <row r="19" spans="1:26" ht="12.75" customHeight="1">
      <c r="A19" s="59"/>
      <c r="B19" s="60"/>
      <c r="C19" s="60"/>
      <c r="D19" s="60"/>
      <c r="E19" s="364"/>
      <c r="F19" s="368">
        <f>B19+C19+(D19+E19)*InfoInicial!$C$31</f>
        <v>0</v>
      </c>
      <c r="H19" s="2"/>
      <c r="I19" s="296" t="s">
        <v>473</v>
      </c>
      <c r="J19" s="115">
        <v>7</v>
      </c>
      <c r="K19" s="115">
        <v>4000</v>
      </c>
      <c r="L19" s="115">
        <f>+J19*K19</f>
        <v>28000</v>
      </c>
      <c r="M19" s="115" t="s">
        <v>528</v>
      </c>
      <c r="N19" s="279"/>
      <c r="O19" s="115"/>
      <c r="P19" s="115"/>
      <c r="Q19" s="150"/>
      <c r="R19" s="150"/>
      <c r="S19" s="150"/>
      <c r="T19" s="289"/>
      <c r="U19" s="4"/>
      <c r="V19" s="4"/>
      <c r="W19" s="4"/>
      <c r="X19" s="4"/>
      <c r="Y19" s="4"/>
      <c r="Z19" s="4"/>
    </row>
    <row r="20" spans="1:26" ht="12.75" customHeight="1">
      <c r="A20" s="62" t="s">
        <v>137</v>
      </c>
      <c r="B20" s="60">
        <f t="shared" ref="B20" si="0">SUM(B7:B18)</f>
        <v>2061383.1404958677</v>
      </c>
      <c r="C20" s="60">
        <f>SUM(C7:C18)</f>
        <v>50000</v>
      </c>
      <c r="D20" s="60"/>
      <c r="E20" s="364"/>
      <c r="F20" s="368">
        <f>B20+C20+(D20+E20)*InfoInicial!$C$31</f>
        <v>2111383.1404958675</v>
      </c>
      <c r="H20" s="2"/>
      <c r="I20" s="296" t="s">
        <v>474</v>
      </c>
      <c r="J20" s="115">
        <v>8</v>
      </c>
      <c r="K20" s="115">
        <v>1500</v>
      </c>
      <c r="L20" s="115">
        <f t="shared" ref="L20:L62" si="1">+J20*K20</f>
        <v>12000</v>
      </c>
      <c r="M20" s="115" t="s">
        <v>529</v>
      </c>
      <c r="N20" s="115"/>
      <c r="O20" s="115"/>
      <c r="P20" s="115"/>
      <c r="Q20" s="150"/>
      <c r="R20" s="150"/>
      <c r="S20" s="150"/>
      <c r="T20" s="289"/>
      <c r="U20" s="4"/>
      <c r="V20" s="4"/>
      <c r="W20" s="4"/>
      <c r="X20" s="4"/>
      <c r="Y20" s="4"/>
      <c r="Z20" s="4"/>
    </row>
    <row r="21" spans="1:26" ht="12.75" customHeight="1">
      <c r="A21" s="59"/>
      <c r="B21" s="60"/>
      <c r="C21" s="60"/>
      <c r="D21" s="60"/>
      <c r="E21" s="364"/>
      <c r="F21" s="368">
        <f>B21+C21+(D21+E21)*InfoInicial!$C$31</f>
        <v>0</v>
      </c>
      <c r="H21" s="2"/>
      <c r="I21" s="296" t="s">
        <v>475</v>
      </c>
      <c r="J21" s="115">
        <v>17</v>
      </c>
      <c r="K21" s="115">
        <v>1000</v>
      </c>
      <c r="L21" s="115">
        <f t="shared" si="1"/>
        <v>17000</v>
      </c>
      <c r="M21" s="115" t="s">
        <v>530</v>
      </c>
      <c r="N21" s="115"/>
      <c r="O21" s="115"/>
      <c r="P21" s="115"/>
      <c r="Q21" s="150"/>
      <c r="R21" s="150"/>
      <c r="S21" s="150"/>
      <c r="T21" s="289"/>
      <c r="U21" s="4"/>
      <c r="V21" s="4"/>
      <c r="W21" s="4"/>
      <c r="X21" s="4"/>
      <c r="Y21" s="4"/>
      <c r="Z21" s="4"/>
    </row>
    <row r="22" spans="1:26" ht="12.75" customHeight="1">
      <c r="A22" s="62" t="s">
        <v>138</v>
      </c>
      <c r="B22" s="60"/>
      <c r="C22" s="60"/>
      <c r="D22" s="60"/>
      <c r="E22" s="364"/>
      <c r="F22" s="368">
        <f>B22+C22+(D22+E22)*InfoInicial!$C$31</f>
        <v>0</v>
      </c>
      <c r="H22" s="2"/>
      <c r="I22" s="296" t="s">
        <v>476</v>
      </c>
      <c r="J22" s="115">
        <v>18</v>
      </c>
      <c r="K22" s="115">
        <v>50</v>
      </c>
      <c r="L22" s="115">
        <f t="shared" si="1"/>
        <v>900</v>
      </c>
      <c r="M22" s="115" t="s">
        <v>531</v>
      </c>
      <c r="N22" s="115"/>
      <c r="O22" s="115"/>
      <c r="P22" s="115"/>
      <c r="Q22" s="150"/>
      <c r="R22" s="150"/>
      <c r="S22" s="150"/>
      <c r="T22" s="289"/>
      <c r="U22" s="4"/>
      <c r="V22" s="4"/>
      <c r="W22" s="4"/>
      <c r="X22" s="4"/>
      <c r="Y22" s="4"/>
      <c r="Z22" s="4"/>
    </row>
    <row r="23" spans="1:26" ht="12.75" customHeight="1">
      <c r="A23" s="59" t="s">
        <v>139</v>
      </c>
      <c r="B23" s="180">
        <v>50000</v>
      </c>
      <c r="C23" s="60">
        <v>2000</v>
      </c>
      <c r="D23" s="60"/>
      <c r="E23" s="364"/>
      <c r="F23" s="368">
        <f>B23+C23+(D23+E23)*InfoInicial!$C$31</f>
        <v>52000</v>
      </c>
      <c r="H23" s="2"/>
      <c r="I23" s="296" t="s">
        <v>477</v>
      </c>
      <c r="J23" s="115">
        <v>2</v>
      </c>
      <c r="K23" s="115">
        <v>4250</v>
      </c>
      <c r="L23" s="115">
        <f t="shared" si="1"/>
        <v>8500</v>
      </c>
      <c r="M23" s="115" t="s">
        <v>532</v>
      </c>
      <c r="N23" s="115"/>
      <c r="O23" s="115"/>
      <c r="P23" s="115"/>
      <c r="Q23" s="150"/>
      <c r="R23" s="150"/>
      <c r="S23" s="150"/>
      <c r="T23" s="289"/>
      <c r="U23" s="4"/>
      <c r="V23" s="4"/>
      <c r="W23" s="4"/>
      <c r="X23" s="4"/>
      <c r="Y23" s="4"/>
      <c r="Z23" s="4"/>
    </row>
    <row r="24" spans="1:26" ht="12.75" customHeight="1">
      <c r="A24" s="59" t="s">
        <v>140</v>
      </c>
      <c r="B24" s="180">
        <v>20000</v>
      </c>
      <c r="C24" s="60">
        <v>0</v>
      </c>
      <c r="D24" s="60"/>
      <c r="E24" s="364"/>
      <c r="F24" s="368">
        <f>B24+C24+(D24+E24)*InfoInicial!$C$31</f>
        <v>20000</v>
      </c>
      <c r="H24" s="2"/>
      <c r="I24" s="296" t="s">
        <v>478</v>
      </c>
      <c r="J24" s="115">
        <v>16</v>
      </c>
      <c r="K24" s="115">
        <v>2000</v>
      </c>
      <c r="L24" s="115">
        <f t="shared" si="1"/>
        <v>32000</v>
      </c>
      <c r="M24" s="115" t="s">
        <v>533</v>
      </c>
      <c r="N24" s="115"/>
      <c r="O24" s="115"/>
      <c r="P24" s="115"/>
      <c r="Q24" s="150"/>
      <c r="R24" s="150"/>
      <c r="S24" s="150"/>
      <c r="T24" s="289"/>
      <c r="U24" s="4"/>
      <c r="V24" s="4"/>
      <c r="W24" s="4"/>
      <c r="X24" s="4"/>
      <c r="Y24" s="4"/>
      <c r="Z24" s="4"/>
    </row>
    <row r="25" spans="1:26" ht="12.75" customHeight="1">
      <c r="A25" s="59" t="s">
        <v>141</v>
      </c>
      <c r="B25" s="181">
        <v>10000</v>
      </c>
      <c r="C25" s="60"/>
      <c r="D25" s="60"/>
      <c r="E25" s="364"/>
      <c r="F25" s="368">
        <f>B25+C25+(D25+E25)*InfoInicial!$C$31</f>
        <v>10000</v>
      </c>
      <c r="H25" s="2"/>
      <c r="I25" s="296" t="s">
        <v>479</v>
      </c>
      <c r="J25" s="115">
        <v>3</v>
      </c>
      <c r="K25" s="115">
        <v>850</v>
      </c>
      <c r="L25" s="115">
        <f t="shared" si="1"/>
        <v>2550</v>
      </c>
      <c r="M25" s="115" t="s">
        <v>534</v>
      </c>
      <c r="N25" s="115"/>
      <c r="O25" s="115"/>
      <c r="P25" s="115"/>
      <c r="Q25" s="150"/>
      <c r="R25" s="150"/>
      <c r="S25" s="150"/>
      <c r="T25" s="289"/>
      <c r="U25" s="4"/>
      <c r="V25" s="4"/>
      <c r="W25" s="4"/>
      <c r="X25" s="4"/>
      <c r="Y25" s="4"/>
      <c r="Z25" s="4"/>
    </row>
    <row r="26" spans="1:26" ht="12.75" customHeight="1">
      <c r="A26" s="61" t="s">
        <v>142</v>
      </c>
      <c r="B26" s="60">
        <v>0</v>
      </c>
      <c r="C26" s="370">
        <f>'E-Costos'!G35</f>
        <v>64200.818239999993</v>
      </c>
      <c r="D26" s="60"/>
      <c r="E26" s="364"/>
      <c r="F26" s="368">
        <f>B26+C26+(D26+E26)*InfoInicial!$C$31</f>
        <v>64200.818239999993</v>
      </c>
      <c r="H26" s="2"/>
      <c r="I26" s="296" t="s">
        <v>480</v>
      </c>
      <c r="J26" s="115">
        <v>3</v>
      </c>
      <c r="K26" s="115">
        <v>3000</v>
      </c>
      <c r="L26" s="115">
        <f t="shared" si="1"/>
        <v>9000</v>
      </c>
      <c r="M26" s="115" t="s">
        <v>535</v>
      </c>
      <c r="N26" s="115"/>
      <c r="O26" s="115"/>
      <c r="P26" s="115"/>
      <c r="Q26" s="150"/>
      <c r="R26" s="150"/>
      <c r="S26" s="150"/>
      <c r="T26" s="289"/>
      <c r="U26" s="4"/>
      <c r="V26" s="4"/>
      <c r="W26" s="4"/>
      <c r="X26" s="4"/>
      <c r="Y26" s="4"/>
      <c r="Z26" s="4"/>
    </row>
    <row r="27" spans="1:26" ht="12.75" customHeight="1">
      <c r="A27" s="361" t="s">
        <v>143</v>
      </c>
      <c r="B27" s="60">
        <v>50000</v>
      </c>
      <c r="C27" s="60">
        <v>0</v>
      </c>
      <c r="D27" s="60"/>
      <c r="E27" s="364"/>
      <c r="F27" s="368">
        <f>B27+C27+(D27+E27)*InfoInicial!$C$31</f>
        <v>50000</v>
      </c>
      <c r="H27" s="2"/>
      <c r="I27" s="296" t="s">
        <v>481</v>
      </c>
      <c r="J27" s="115">
        <v>2</v>
      </c>
      <c r="K27" s="115">
        <v>2200</v>
      </c>
      <c r="L27" s="115">
        <f t="shared" si="1"/>
        <v>4400</v>
      </c>
      <c r="M27" s="115" t="s">
        <v>536</v>
      </c>
      <c r="N27" s="115"/>
      <c r="O27" s="115"/>
      <c r="P27" s="115"/>
      <c r="Q27" s="150"/>
      <c r="R27" s="150"/>
      <c r="S27" s="150"/>
      <c r="T27" s="289"/>
      <c r="U27" s="4"/>
      <c r="V27" s="4"/>
      <c r="W27" s="4"/>
      <c r="X27" s="4"/>
      <c r="Y27" s="4"/>
      <c r="Z27" s="4"/>
    </row>
    <row r="28" spans="1:26" ht="12.75" customHeight="1">
      <c r="A28" s="61" t="s">
        <v>144</v>
      </c>
      <c r="B28" s="60">
        <v>0</v>
      </c>
      <c r="C28" s="60">
        <v>0</v>
      </c>
      <c r="D28" s="60"/>
      <c r="E28" s="364"/>
      <c r="F28" s="368">
        <f>B28+C28+(D28+E28)*InfoInicial!$C$31</f>
        <v>0</v>
      </c>
      <c r="H28" s="2"/>
      <c r="I28" s="296" t="s">
        <v>482</v>
      </c>
      <c r="J28" s="115">
        <v>2</v>
      </c>
      <c r="K28" s="115"/>
      <c r="L28" s="115">
        <f t="shared" si="1"/>
        <v>0</v>
      </c>
      <c r="M28" s="115"/>
      <c r="N28" s="115"/>
      <c r="O28" s="115"/>
      <c r="P28" s="115"/>
      <c r="Q28" s="150"/>
      <c r="R28" s="150"/>
      <c r="S28" s="150"/>
      <c r="T28" s="289"/>
      <c r="U28" s="4"/>
      <c r="V28" s="4"/>
      <c r="W28" s="4"/>
      <c r="X28" s="4"/>
      <c r="Y28" s="4"/>
      <c r="Z28" s="4"/>
    </row>
    <row r="29" spans="1:26" ht="12.75" customHeight="1">
      <c r="A29" s="59" t="s">
        <v>31</v>
      </c>
      <c r="B29" s="181">
        <f>0.04*SUM(B23:B28)</f>
        <v>5200</v>
      </c>
      <c r="C29" s="60">
        <f>0.04*SUM(C23:C28)</f>
        <v>2648.0327295999996</v>
      </c>
      <c r="D29" s="60"/>
      <c r="E29" s="364"/>
      <c r="F29" s="368">
        <f>B29+C29+(D29+E29)*InfoInicial!$C$31</f>
        <v>7848.0327295999996</v>
      </c>
      <c r="H29" s="2"/>
      <c r="I29" s="296" t="s">
        <v>483</v>
      </c>
      <c r="J29" s="115">
        <v>4</v>
      </c>
      <c r="K29" s="115">
        <v>3800</v>
      </c>
      <c r="L29" s="115">
        <f t="shared" si="1"/>
        <v>15200</v>
      </c>
      <c r="M29" s="115" t="s">
        <v>537</v>
      </c>
      <c r="N29" s="115"/>
      <c r="O29" s="115"/>
      <c r="P29" s="115"/>
      <c r="Q29" s="150"/>
      <c r="R29" s="150"/>
      <c r="S29" s="150"/>
      <c r="T29" s="289"/>
      <c r="U29" s="4"/>
      <c r="V29" s="4"/>
      <c r="W29" s="4"/>
      <c r="X29" s="4"/>
      <c r="Y29" s="4"/>
      <c r="Z29" s="4"/>
    </row>
    <row r="30" spans="1:26" ht="12.75" customHeight="1">
      <c r="A30" s="59"/>
      <c r="B30" s="60"/>
      <c r="C30" s="60"/>
      <c r="D30" s="60"/>
      <c r="E30" s="364"/>
      <c r="F30" s="368">
        <f>B30+C30+(D30+E30)*InfoInicial!$C$31</f>
        <v>0</v>
      </c>
      <c r="H30" s="2"/>
      <c r="I30" s="296" t="s">
        <v>484</v>
      </c>
      <c r="J30" s="115">
        <v>1</v>
      </c>
      <c r="K30" s="115"/>
      <c r="L30" s="115">
        <f t="shared" si="1"/>
        <v>0</v>
      </c>
      <c r="M30" s="115"/>
      <c r="N30" s="115"/>
      <c r="O30" s="115"/>
      <c r="P30" s="115"/>
      <c r="Q30" s="150"/>
      <c r="R30" s="150"/>
      <c r="S30" s="150"/>
      <c r="T30" s="289"/>
      <c r="U30" s="4"/>
      <c r="V30" s="4"/>
      <c r="W30" s="4"/>
      <c r="X30" s="4"/>
      <c r="Y30" s="4"/>
      <c r="Z30" s="4"/>
    </row>
    <row r="31" spans="1:26" ht="12.75" customHeight="1">
      <c r="A31" s="62" t="s">
        <v>145</v>
      </c>
      <c r="B31" s="60">
        <f t="shared" ref="B31:C31" si="2">SUM(B22:B29)</f>
        <v>135200</v>
      </c>
      <c r="C31" s="60">
        <f t="shared" si="2"/>
        <v>68848.850969599996</v>
      </c>
      <c r="D31" s="60"/>
      <c r="E31" s="364"/>
      <c r="F31" s="368">
        <f>B31+C31+(D31+E31)*InfoInicial!$C$31</f>
        <v>204048.8509696</v>
      </c>
      <c r="H31" s="2"/>
      <c r="I31" s="296" t="s">
        <v>485</v>
      </c>
      <c r="J31" s="115">
        <v>2</v>
      </c>
      <c r="K31" s="115">
        <v>1700</v>
      </c>
      <c r="L31" s="115">
        <f t="shared" si="1"/>
        <v>3400</v>
      </c>
      <c r="M31" s="115" t="s">
        <v>538</v>
      </c>
      <c r="N31" s="115"/>
      <c r="O31" s="115"/>
      <c r="P31" s="115"/>
      <c r="Q31" s="150"/>
      <c r="R31" s="150"/>
      <c r="S31" s="150"/>
      <c r="T31" s="289"/>
      <c r="U31" s="4"/>
      <c r="V31" s="4"/>
      <c r="W31" s="4"/>
      <c r="X31" s="4"/>
      <c r="Y31" s="4"/>
      <c r="Z31" s="4"/>
    </row>
    <row r="32" spans="1:26" ht="12.75" customHeight="1">
      <c r="A32" s="59"/>
      <c r="B32" s="60"/>
      <c r="C32" s="60"/>
      <c r="D32" s="60"/>
      <c r="E32" s="364"/>
      <c r="F32" s="368">
        <f>B32+C32+(D32+E32)*InfoInicial!$C$31</f>
        <v>0</v>
      </c>
      <c r="H32" s="2"/>
      <c r="I32" s="296" t="s">
        <v>486</v>
      </c>
      <c r="J32" s="115">
        <v>4</v>
      </c>
      <c r="K32" s="115">
        <v>5300</v>
      </c>
      <c r="L32" s="115">
        <f t="shared" si="1"/>
        <v>21200</v>
      </c>
      <c r="M32" s="115" t="s">
        <v>539</v>
      </c>
      <c r="N32" s="115"/>
      <c r="O32" s="115"/>
      <c r="P32" s="115"/>
      <c r="Q32" s="150"/>
      <c r="R32" s="150"/>
      <c r="S32" s="150"/>
      <c r="T32" s="289"/>
      <c r="U32" s="4"/>
      <c r="V32" s="4"/>
      <c r="W32" s="4"/>
      <c r="X32" s="4"/>
      <c r="Y32" s="4"/>
      <c r="Z32" s="4"/>
    </row>
    <row r="33" spans="1:26" ht="12.75" customHeight="1">
      <c r="A33" s="62" t="s">
        <v>146</v>
      </c>
      <c r="B33" s="60">
        <f t="shared" ref="B33:C33" si="3">B20+B31</f>
        <v>2196583.1404958675</v>
      </c>
      <c r="C33" s="60">
        <f t="shared" si="3"/>
        <v>118848.8509696</v>
      </c>
      <c r="D33" s="60"/>
      <c r="E33" s="364"/>
      <c r="F33" s="368">
        <f>B33+C33+(D33+E33)*InfoInicial!$C$31</f>
        <v>2315431.9914654675</v>
      </c>
      <c r="H33" s="2"/>
      <c r="I33" s="296" t="s">
        <v>487</v>
      </c>
      <c r="J33" s="115">
        <v>1</v>
      </c>
      <c r="K33" s="115"/>
      <c r="L33" s="115">
        <f t="shared" si="1"/>
        <v>0</v>
      </c>
      <c r="M33" s="115"/>
      <c r="N33" s="115"/>
      <c r="O33" s="115"/>
      <c r="P33" s="115"/>
      <c r="Q33" s="150"/>
      <c r="R33" s="150"/>
      <c r="S33" s="150"/>
      <c r="T33" s="289"/>
      <c r="U33" s="4"/>
      <c r="V33" s="4"/>
      <c r="W33" s="4"/>
      <c r="X33" s="4"/>
      <c r="Y33" s="4"/>
      <c r="Z33" s="4"/>
    </row>
    <row r="34" spans="1:26" ht="12.75" customHeight="1">
      <c r="A34" s="62" t="s">
        <v>147</v>
      </c>
      <c r="B34" s="60">
        <f t="shared" ref="B34:C34" si="4">B33*0.21</f>
        <v>461282.45950413216</v>
      </c>
      <c r="C34" s="60">
        <f t="shared" si="4"/>
        <v>24958.258703615997</v>
      </c>
      <c r="D34" s="60"/>
      <c r="E34" s="364"/>
      <c r="F34" s="368">
        <f>B34+C34+(D34+E34)*InfoInicial!$C$31</f>
        <v>486240.71820774814</v>
      </c>
      <c r="H34" s="2"/>
      <c r="I34" s="296" t="s">
        <v>488</v>
      </c>
      <c r="J34" s="115">
        <v>1</v>
      </c>
      <c r="K34" s="115"/>
      <c r="L34" s="115">
        <f t="shared" si="1"/>
        <v>0</v>
      </c>
      <c r="M34" s="115"/>
      <c r="N34" s="115"/>
      <c r="O34" s="115"/>
      <c r="P34" s="115"/>
      <c r="Q34" s="150"/>
      <c r="R34" s="150"/>
      <c r="S34" s="150"/>
      <c r="T34" s="289"/>
      <c r="U34" s="4"/>
      <c r="V34" s="4"/>
      <c r="W34" s="4"/>
      <c r="X34" s="4"/>
      <c r="Y34" s="4"/>
      <c r="Z34" s="4"/>
    </row>
    <row r="35" spans="1:26" ht="12.75" customHeight="1">
      <c r="A35" s="59"/>
      <c r="B35" s="60"/>
      <c r="C35" s="60"/>
      <c r="D35" s="60"/>
      <c r="E35" s="364"/>
      <c r="F35" s="368">
        <f>B35+C35+(D35+E35)*InfoInicial!$C$31</f>
        <v>0</v>
      </c>
      <c r="H35" s="2"/>
      <c r="I35" s="296" t="s">
        <v>489</v>
      </c>
      <c r="J35" s="115">
        <v>1</v>
      </c>
      <c r="K35" s="115"/>
      <c r="L35" s="115">
        <f t="shared" si="1"/>
        <v>0</v>
      </c>
      <c r="M35" s="115"/>
      <c r="N35" s="115"/>
      <c r="O35" s="115"/>
      <c r="P35" s="115"/>
      <c r="Q35" s="150"/>
      <c r="R35" s="150"/>
      <c r="S35" s="150"/>
      <c r="T35" s="289"/>
      <c r="U35" s="4"/>
      <c r="V35" s="4"/>
      <c r="W35" s="4"/>
      <c r="X35" s="4"/>
      <c r="Y35" s="4"/>
      <c r="Z35" s="4"/>
    </row>
    <row r="36" spans="1:26" ht="13.5" customHeight="1" thickBot="1">
      <c r="A36" s="63" t="s">
        <v>148</v>
      </c>
      <c r="B36" s="64">
        <f t="shared" ref="B36:C36" si="5">B33+B34</f>
        <v>2657865.5999999996</v>
      </c>
      <c r="C36" s="64">
        <f t="shared" si="5"/>
        <v>143807.10967321601</v>
      </c>
      <c r="D36" s="64"/>
      <c r="E36" s="365"/>
      <c r="F36" s="369">
        <f>B36+C36+(D36+E36)*InfoInicial!$C$31</f>
        <v>2801672.7096732156</v>
      </c>
      <c r="H36" s="2"/>
      <c r="I36" s="296" t="s">
        <v>490</v>
      </c>
      <c r="J36" s="115">
        <v>1</v>
      </c>
      <c r="K36" s="115"/>
      <c r="L36" s="115">
        <f t="shared" si="1"/>
        <v>0</v>
      </c>
      <c r="M36" s="115"/>
      <c r="N36" s="115"/>
      <c r="O36" s="115"/>
      <c r="P36" s="115"/>
      <c r="Q36" s="150"/>
      <c r="R36" s="150"/>
      <c r="S36" s="150"/>
      <c r="T36" s="289"/>
      <c r="U36" s="4"/>
      <c r="V36" s="4"/>
      <c r="W36" s="4"/>
      <c r="X36" s="4"/>
      <c r="Y36" s="4"/>
      <c r="Z36" s="4"/>
    </row>
    <row r="37" spans="1:26" ht="13.5" customHeight="1" thickTop="1">
      <c r="A37" s="2"/>
      <c r="B37" s="2"/>
      <c r="C37" s="2"/>
      <c r="D37" s="2"/>
      <c r="E37" s="2"/>
      <c r="F37" s="2"/>
      <c r="G37" s="2"/>
      <c r="H37" s="2"/>
      <c r="I37" s="296" t="s">
        <v>491</v>
      </c>
      <c r="J37" s="115">
        <v>4</v>
      </c>
      <c r="K37" s="115"/>
      <c r="L37" s="115">
        <f t="shared" si="1"/>
        <v>0</v>
      </c>
      <c r="M37" s="115"/>
      <c r="N37" s="115"/>
      <c r="O37" s="115"/>
      <c r="P37" s="115"/>
      <c r="Q37" s="150"/>
      <c r="R37" s="150"/>
      <c r="S37" s="150"/>
      <c r="T37" s="289"/>
      <c r="U37" s="4"/>
      <c r="V37" s="4"/>
      <c r="W37" s="4"/>
      <c r="X37" s="4"/>
      <c r="Y37" s="4"/>
      <c r="Z37" s="4"/>
    </row>
    <row r="38" spans="1:26" ht="13.5" customHeight="1">
      <c r="A38" s="2"/>
      <c r="B38" s="2"/>
      <c r="C38" s="2"/>
      <c r="D38" s="2"/>
      <c r="E38" s="2"/>
      <c r="F38" s="2"/>
      <c r="G38" s="2"/>
      <c r="H38" s="2"/>
      <c r="I38" s="296" t="s">
        <v>492</v>
      </c>
      <c r="J38" s="115">
        <v>4</v>
      </c>
      <c r="K38" s="115"/>
      <c r="L38" s="115">
        <f t="shared" si="1"/>
        <v>0</v>
      </c>
      <c r="M38" s="115"/>
      <c r="N38" s="115"/>
      <c r="O38" s="115"/>
      <c r="P38" s="115"/>
      <c r="Q38" s="150"/>
      <c r="R38" s="150"/>
      <c r="S38" s="150"/>
      <c r="T38" s="289"/>
      <c r="U38" s="4"/>
      <c r="V38" s="4"/>
      <c r="W38" s="4"/>
      <c r="X38" s="4"/>
      <c r="Y38" s="4"/>
      <c r="Z38" s="4"/>
    </row>
    <row r="39" spans="1:26" ht="13.5" customHeight="1" thickBot="1">
      <c r="G39" s="2"/>
      <c r="H39" s="2"/>
      <c r="I39" s="296" t="s">
        <v>493</v>
      </c>
      <c r="J39" s="115">
        <v>12</v>
      </c>
      <c r="K39" s="115">
        <v>240</v>
      </c>
      <c r="L39" s="115">
        <f t="shared" si="1"/>
        <v>2880</v>
      </c>
      <c r="M39" s="115" t="s">
        <v>544</v>
      </c>
      <c r="N39" s="115"/>
      <c r="O39" s="115"/>
      <c r="P39" s="115"/>
      <c r="Q39" s="150"/>
      <c r="R39" s="150"/>
      <c r="S39" s="150"/>
      <c r="T39" s="289"/>
      <c r="U39" s="4"/>
      <c r="V39" s="4"/>
      <c r="W39" s="4"/>
      <c r="X39" s="4"/>
      <c r="Y39" s="4"/>
      <c r="Z39" s="4"/>
    </row>
    <row r="40" spans="1:26" ht="13.5" customHeight="1" thickTop="1">
      <c r="A40" s="157" t="s">
        <v>149</v>
      </c>
      <c r="B40" s="436" t="s">
        <v>150</v>
      </c>
      <c r="C40" s="436" t="s">
        <v>151</v>
      </c>
      <c r="D40" s="643" t="s">
        <v>152</v>
      </c>
      <c r="E40" s="646"/>
      <c r="F40" s="644"/>
      <c r="G40" s="2"/>
      <c r="H40" s="2"/>
      <c r="I40" s="296" t="s">
        <v>494</v>
      </c>
      <c r="J40" s="115">
        <v>4</v>
      </c>
      <c r="K40" s="115">
        <v>300</v>
      </c>
      <c r="L40" s="115">
        <f t="shared" si="1"/>
        <v>1200</v>
      </c>
      <c r="M40" s="115" t="s">
        <v>545</v>
      </c>
      <c r="N40" s="115"/>
      <c r="O40" s="115"/>
      <c r="P40" s="115"/>
      <c r="Q40" s="150"/>
      <c r="R40" s="150"/>
      <c r="S40" s="150"/>
      <c r="T40" s="289"/>
      <c r="U40" s="4"/>
      <c r="V40" s="4"/>
      <c r="W40" s="4"/>
      <c r="X40" s="4"/>
      <c r="Y40" s="4"/>
      <c r="Z40" s="4"/>
    </row>
    <row r="41" spans="1:26" ht="13.5" customHeight="1" thickBot="1">
      <c r="A41" s="158"/>
      <c r="B41" s="432" t="s">
        <v>153</v>
      </c>
      <c r="C41" s="432"/>
      <c r="D41" s="432" t="s">
        <v>154</v>
      </c>
      <c r="E41" s="432" t="s">
        <v>155</v>
      </c>
      <c r="F41" s="432" t="s">
        <v>156</v>
      </c>
      <c r="G41" s="2"/>
      <c r="H41" s="2"/>
      <c r="I41" s="296" t="s">
        <v>495</v>
      </c>
      <c r="J41" s="115" t="s">
        <v>225</v>
      </c>
      <c r="K41" s="115"/>
      <c r="L41" s="115"/>
      <c r="M41" s="115"/>
      <c r="N41" s="115"/>
      <c r="O41" s="115"/>
      <c r="P41" s="115"/>
      <c r="Q41" s="150"/>
      <c r="R41" s="150"/>
      <c r="S41" s="150"/>
      <c r="T41" s="289"/>
      <c r="U41" s="4"/>
      <c r="V41" s="4"/>
      <c r="W41" s="4"/>
      <c r="X41" s="4"/>
      <c r="Y41" s="4"/>
      <c r="Z41" s="4"/>
    </row>
    <row r="42" spans="1:26" ht="12.75" customHeight="1" thickTop="1">
      <c r="A42" s="65" t="s">
        <v>157</v>
      </c>
      <c r="B42" s="66"/>
      <c r="C42" s="66"/>
      <c r="D42" s="66"/>
      <c r="E42" s="66"/>
      <c r="F42" s="67"/>
      <c r="G42" s="2"/>
      <c r="H42" s="2"/>
      <c r="I42" s="296" t="s">
        <v>496</v>
      </c>
      <c r="J42" s="115">
        <v>1</v>
      </c>
      <c r="K42" s="115"/>
      <c r="L42" s="115">
        <f t="shared" si="1"/>
        <v>0</v>
      </c>
      <c r="M42" s="115"/>
      <c r="N42" s="115"/>
      <c r="O42" s="115"/>
      <c r="P42" s="115"/>
      <c r="Q42" s="150"/>
      <c r="R42" s="150"/>
      <c r="S42" s="150"/>
      <c r="T42" s="289"/>
      <c r="U42" s="4"/>
      <c r="V42" s="4"/>
      <c r="W42" s="4"/>
      <c r="X42" s="4"/>
      <c r="Y42" s="4"/>
      <c r="Z42" s="4"/>
    </row>
    <row r="43" spans="1:26" ht="12.75" customHeight="1">
      <c r="A43" s="68"/>
      <c r="B43" s="69"/>
      <c r="C43" s="69"/>
      <c r="D43" s="69"/>
      <c r="E43" s="69"/>
      <c r="F43" s="70"/>
      <c r="H43" s="2"/>
      <c r="I43" s="296" t="s">
        <v>497</v>
      </c>
      <c r="J43" s="115">
        <v>8</v>
      </c>
      <c r="K43" s="115">
        <v>60</v>
      </c>
      <c r="L43" s="115">
        <f t="shared" si="1"/>
        <v>480</v>
      </c>
      <c r="M43" s="115" t="s">
        <v>546</v>
      </c>
      <c r="N43" s="115"/>
      <c r="O43" s="115"/>
      <c r="P43" s="115"/>
      <c r="Q43" s="150"/>
      <c r="R43" s="150"/>
      <c r="S43" s="150"/>
      <c r="T43" s="289"/>
      <c r="U43" s="4"/>
      <c r="V43" s="4"/>
      <c r="W43" s="4"/>
      <c r="X43" s="4"/>
      <c r="Y43" s="4"/>
      <c r="Z43" s="4"/>
    </row>
    <row r="44" spans="1:26" ht="12.75" customHeight="1">
      <c r="A44" s="59" t="s">
        <v>126</v>
      </c>
      <c r="B44" s="305">
        <f>F7</f>
        <v>900000</v>
      </c>
      <c r="C44" s="60"/>
      <c r="D44" s="60"/>
      <c r="E44" s="60"/>
      <c r="F44" s="60">
        <f>B44</f>
        <v>900000</v>
      </c>
      <c r="H44" s="2"/>
      <c r="I44" s="296" t="s">
        <v>498</v>
      </c>
      <c r="J44" s="115">
        <v>4</v>
      </c>
      <c r="K44" s="115"/>
      <c r="L44" s="115">
        <f t="shared" si="1"/>
        <v>0</v>
      </c>
      <c r="M44" s="115"/>
      <c r="N44" s="115"/>
      <c r="O44" s="115"/>
      <c r="P44" s="115"/>
      <c r="Q44" s="150"/>
      <c r="R44" s="150"/>
      <c r="S44" s="150"/>
      <c r="T44" s="289"/>
      <c r="U44" s="4"/>
      <c r="V44" s="4"/>
      <c r="W44" s="4"/>
      <c r="X44" s="4"/>
      <c r="Y44" s="4"/>
      <c r="Z44" s="4"/>
    </row>
    <row r="45" spans="1:26" ht="12.75" customHeight="1">
      <c r="A45" s="59" t="s">
        <v>127</v>
      </c>
      <c r="B45" s="60">
        <f>F8</f>
        <v>130000</v>
      </c>
      <c r="C45" s="71">
        <f>1/InfoInicial!B8</f>
        <v>3.3333333333333333E-2</v>
      </c>
      <c r="D45" s="60">
        <f>C45*B45</f>
        <v>4333.333333333333</v>
      </c>
      <c r="E45" s="60">
        <f>C45*B45</f>
        <v>4333.333333333333</v>
      </c>
      <c r="F45" s="60">
        <f t="shared" ref="F45:F51" si="6">B45-D45*3-E45*2</f>
        <v>108333.33333333333</v>
      </c>
      <c r="H45" s="2"/>
      <c r="I45" s="296" t="s">
        <v>499</v>
      </c>
      <c r="J45" s="115" t="s">
        <v>225</v>
      </c>
      <c r="K45" s="115"/>
      <c r="L45" s="115"/>
      <c r="M45" s="115"/>
      <c r="N45" s="115"/>
      <c r="O45" s="115"/>
      <c r="P45" s="115"/>
      <c r="Q45" s="150"/>
      <c r="R45" s="150"/>
      <c r="S45" s="150"/>
      <c r="T45" s="289"/>
      <c r="U45" s="4"/>
      <c r="V45" s="4"/>
      <c r="W45" s="4"/>
      <c r="X45" s="4"/>
      <c r="Y45" s="4"/>
      <c r="Z45" s="4"/>
    </row>
    <row r="46" spans="1:26" ht="12.75" customHeight="1">
      <c r="A46" s="59" t="s">
        <v>128</v>
      </c>
      <c r="B46" s="60">
        <f>F9</f>
        <v>80000</v>
      </c>
      <c r="C46" s="71">
        <f>1/InfoInicial!B9</f>
        <v>0.1</v>
      </c>
      <c r="D46" s="60">
        <f>C46*B46</f>
        <v>8000</v>
      </c>
      <c r="E46" s="60">
        <f>C46*B46</f>
        <v>8000</v>
      </c>
      <c r="F46" s="60">
        <f t="shared" si="6"/>
        <v>40000</v>
      </c>
      <c r="G46" s="360"/>
      <c r="H46" s="2"/>
      <c r="I46" s="296" t="s">
        <v>500</v>
      </c>
      <c r="J46" s="115">
        <v>1</v>
      </c>
      <c r="K46" s="115"/>
      <c r="L46" s="115">
        <f t="shared" si="1"/>
        <v>0</v>
      </c>
      <c r="M46" s="115"/>
      <c r="N46" s="115"/>
      <c r="O46" s="115"/>
      <c r="P46" s="115"/>
      <c r="Q46" s="150"/>
      <c r="R46" s="150"/>
      <c r="S46" s="150"/>
      <c r="T46" s="289"/>
      <c r="U46" s="4"/>
      <c r="V46" s="4"/>
      <c r="W46" s="4"/>
      <c r="X46" s="4"/>
      <c r="Y46" s="4"/>
      <c r="Z46" s="4"/>
    </row>
    <row r="47" spans="1:26" ht="12.75" customHeight="1">
      <c r="A47" s="61" t="s">
        <v>129</v>
      </c>
      <c r="B47" s="60">
        <f>F11+F12+F13+F14</f>
        <v>275000</v>
      </c>
      <c r="C47" s="71">
        <f>1/InfoInicial!B10</f>
        <v>0.1</v>
      </c>
      <c r="D47" s="60">
        <f t="shared" ref="D47:D51" si="7">C47*B47</f>
        <v>27500</v>
      </c>
      <c r="E47" s="60">
        <f t="shared" ref="E47:E51" si="8">C47*B47</f>
        <v>27500</v>
      </c>
      <c r="F47" s="60">
        <f t="shared" si="6"/>
        <v>137500</v>
      </c>
      <c r="H47" s="2"/>
      <c r="I47" s="296" t="s">
        <v>501</v>
      </c>
      <c r="J47" s="115">
        <v>2</v>
      </c>
      <c r="K47" s="115">
        <v>4600</v>
      </c>
      <c r="L47" s="115">
        <f t="shared" si="1"/>
        <v>9200</v>
      </c>
      <c r="M47" s="115" t="s">
        <v>543</v>
      </c>
      <c r="N47" s="115"/>
      <c r="O47" s="115"/>
      <c r="P47" s="115"/>
      <c r="Q47" s="150"/>
      <c r="R47" s="150"/>
      <c r="S47" s="150"/>
      <c r="T47" s="289"/>
      <c r="U47" s="4"/>
      <c r="V47" s="4"/>
      <c r="W47" s="4"/>
      <c r="X47" s="4"/>
      <c r="Y47" s="4"/>
      <c r="Z47" s="4"/>
    </row>
    <row r="48" spans="1:26" ht="12.75" customHeight="1">
      <c r="A48" s="61" t="s">
        <v>134</v>
      </c>
      <c r="B48" s="305">
        <f>F15</f>
        <v>368000</v>
      </c>
      <c r="C48" s="71">
        <f>1/InfoInicial!B11</f>
        <v>0.2</v>
      </c>
      <c r="D48" s="60">
        <f t="shared" si="7"/>
        <v>73600</v>
      </c>
      <c r="E48" s="60">
        <f t="shared" si="8"/>
        <v>73600</v>
      </c>
      <c r="F48" s="60">
        <f t="shared" si="6"/>
        <v>0</v>
      </c>
      <c r="H48" s="2"/>
      <c r="I48" s="296" t="s">
        <v>502</v>
      </c>
      <c r="J48" s="115">
        <v>1</v>
      </c>
      <c r="K48" s="115">
        <v>6400</v>
      </c>
      <c r="L48" s="115">
        <f t="shared" si="1"/>
        <v>6400</v>
      </c>
      <c r="M48" s="115" t="s">
        <v>542</v>
      </c>
      <c r="N48" s="115"/>
      <c r="O48" s="115"/>
      <c r="P48" s="115"/>
      <c r="Q48" s="150"/>
      <c r="R48" s="150"/>
      <c r="S48" s="150"/>
      <c r="T48" s="289"/>
      <c r="U48" s="4"/>
      <c r="V48" s="4"/>
      <c r="W48" s="4"/>
      <c r="X48" s="4"/>
      <c r="Y48" s="4"/>
      <c r="Z48" s="4"/>
    </row>
    <row r="49" spans="1:26" ht="12.75" customHeight="1">
      <c r="A49" s="61" t="s">
        <v>135</v>
      </c>
      <c r="B49" s="60">
        <f>F16</f>
        <v>279099.17355371901</v>
      </c>
      <c r="C49" s="71">
        <f>1/InfoInicial!B12</f>
        <v>0.2</v>
      </c>
      <c r="D49" s="60">
        <f t="shared" si="7"/>
        <v>55819.834710743802</v>
      </c>
      <c r="E49" s="60">
        <f t="shared" si="8"/>
        <v>55819.834710743802</v>
      </c>
      <c r="F49" s="60">
        <f t="shared" si="6"/>
        <v>0</v>
      </c>
      <c r="G49" s="2"/>
      <c r="H49" s="2"/>
      <c r="I49" s="296" t="s">
        <v>503</v>
      </c>
      <c r="J49" s="115">
        <v>2</v>
      </c>
      <c r="K49" s="115">
        <v>2000</v>
      </c>
      <c r="L49" s="115">
        <f t="shared" si="1"/>
        <v>4000</v>
      </c>
      <c r="M49" s="115" t="s">
        <v>548</v>
      </c>
      <c r="N49" s="115"/>
      <c r="O49" s="115"/>
      <c r="P49" s="115"/>
      <c r="Q49" s="150"/>
      <c r="R49" s="150"/>
      <c r="S49" s="150"/>
      <c r="T49" s="289"/>
      <c r="U49" s="4"/>
      <c r="V49" s="4"/>
      <c r="W49" s="4"/>
      <c r="X49" s="4"/>
      <c r="Y49" s="4"/>
      <c r="Z49" s="4"/>
    </row>
    <row r="50" spans="1:26" ht="12.75" customHeight="1">
      <c r="A50" s="61" t="s">
        <v>31</v>
      </c>
      <c r="B50" s="60">
        <f>F18</f>
        <v>79283.966942148763</v>
      </c>
      <c r="C50" s="71">
        <f>1/5</f>
        <v>0.2</v>
      </c>
      <c r="D50" s="60">
        <f t="shared" si="7"/>
        <v>15856.793388429753</v>
      </c>
      <c r="E50" s="60">
        <f t="shared" si="8"/>
        <v>15856.793388429753</v>
      </c>
      <c r="F50" s="60">
        <f t="shared" si="6"/>
        <v>0</v>
      </c>
      <c r="G50" s="2"/>
      <c r="H50" s="2"/>
      <c r="I50" s="296" t="s">
        <v>504</v>
      </c>
      <c r="J50" s="115">
        <v>2</v>
      </c>
      <c r="K50" s="115">
        <v>2400</v>
      </c>
      <c r="L50" s="115">
        <f t="shared" si="1"/>
        <v>4800</v>
      </c>
      <c r="M50" s="115" t="s">
        <v>547</v>
      </c>
      <c r="N50" s="115"/>
      <c r="O50" s="115"/>
      <c r="P50" s="115"/>
      <c r="Q50" s="150"/>
      <c r="R50" s="150"/>
      <c r="S50" s="150"/>
      <c r="T50" s="289"/>
      <c r="U50" s="4"/>
      <c r="V50" s="4"/>
      <c r="W50" s="4"/>
      <c r="X50" s="4"/>
      <c r="Y50" s="4"/>
      <c r="Z50" s="4"/>
    </row>
    <row r="51" spans="1:26" ht="12.75" customHeight="1">
      <c r="A51" s="61" t="s">
        <v>159</v>
      </c>
      <c r="B51" s="60">
        <v>0</v>
      </c>
      <c r="C51" s="71">
        <f>1/InfoInicial!B13</f>
        <v>0.33333333333333331</v>
      </c>
      <c r="D51" s="60">
        <f t="shared" si="7"/>
        <v>0</v>
      </c>
      <c r="E51" s="60">
        <f t="shared" si="8"/>
        <v>0</v>
      </c>
      <c r="F51" s="60">
        <f t="shared" si="6"/>
        <v>0</v>
      </c>
      <c r="G51" s="2"/>
      <c r="H51" s="2"/>
      <c r="I51" s="296" t="s">
        <v>505</v>
      </c>
      <c r="J51" s="115"/>
      <c r="K51" s="279"/>
      <c r="L51" s="279"/>
      <c r="M51" s="279"/>
      <c r="N51" s="115"/>
      <c r="O51" s="115"/>
      <c r="P51" s="115"/>
      <c r="Q51" s="150"/>
      <c r="R51" s="150"/>
      <c r="S51" s="150"/>
      <c r="T51" s="289"/>
      <c r="U51" s="4"/>
      <c r="V51" s="4"/>
      <c r="W51" s="4"/>
      <c r="X51" s="4"/>
      <c r="Y51" s="4"/>
      <c r="Z51" s="4"/>
    </row>
    <row r="52" spans="1:26" ht="12.75" customHeight="1">
      <c r="A52" s="72" t="s">
        <v>160</v>
      </c>
      <c r="B52" s="60">
        <f>SUM(B44:B51)</f>
        <v>2111383.1404958679</v>
      </c>
      <c r="C52" s="71"/>
      <c r="D52" s="60">
        <f t="shared" ref="D52:E52" si="9">SUM(D45:D51)</f>
        <v>185109.96143250685</v>
      </c>
      <c r="E52" s="60">
        <f t="shared" si="9"/>
        <v>185109.96143250685</v>
      </c>
      <c r="F52" s="60">
        <f>SUM(F44:F51)</f>
        <v>1185833.3333333335</v>
      </c>
      <c r="G52" s="2"/>
      <c r="H52" s="2"/>
      <c r="I52" s="296" t="s">
        <v>506</v>
      </c>
      <c r="J52" s="115">
        <v>4</v>
      </c>
      <c r="K52" s="115">
        <v>1800</v>
      </c>
      <c r="L52" s="115">
        <f t="shared" si="1"/>
        <v>7200</v>
      </c>
      <c r="M52" s="115" t="s">
        <v>549</v>
      </c>
      <c r="N52" s="115"/>
      <c r="O52" s="115"/>
      <c r="P52" s="115"/>
      <c r="Q52" s="150"/>
      <c r="R52" s="150"/>
      <c r="S52" s="150"/>
      <c r="T52" s="289"/>
      <c r="U52" s="4"/>
      <c r="V52" s="4"/>
      <c r="W52" s="4"/>
      <c r="X52" s="4"/>
      <c r="Y52" s="4"/>
      <c r="Z52" s="4"/>
    </row>
    <row r="53" spans="1:26" ht="12.75" customHeight="1">
      <c r="A53" s="62"/>
      <c r="B53" s="73"/>
      <c r="C53" s="74"/>
      <c r="D53" s="75"/>
      <c r="E53" s="75"/>
      <c r="F53" s="60"/>
      <c r="G53" s="2"/>
      <c r="H53" s="2"/>
      <c r="I53" s="296" t="s">
        <v>507</v>
      </c>
      <c r="J53" s="115" t="s">
        <v>225</v>
      </c>
      <c r="K53" s="115"/>
      <c r="L53" s="115"/>
      <c r="M53" s="115"/>
      <c r="N53" s="115"/>
      <c r="O53" s="115"/>
      <c r="P53" s="115"/>
      <c r="Q53" s="150"/>
      <c r="R53" s="150"/>
      <c r="S53" s="150"/>
      <c r="T53" s="289"/>
      <c r="U53" s="4"/>
      <c r="V53" s="4"/>
      <c r="W53" s="4"/>
      <c r="X53" s="4"/>
      <c r="Y53" s="4"/>
      <c r="Z53" s="4"/>
    </row>
    <row r="54" spans="1:26" ht="12.75" customHeight="1">
      <c r="A54" s="72" t="s">
        <v>161</v>
      </c>
      <c r="B54" s="60">
        <f>F31</f>
        <v>204048.8509696</v>
      </c>
      <c r="C54" s="60">
        <f>1/InfoInicial!B14</f>
        <v>0.2</v>
      </c>
      <c r="D54" s="60">
        <f>C54*B54</f>
        <v>40809.770193920005</v>
      </c>
      <c r="E54" s="60">
        <f>C54*B54</f>
        <v>40809.770193920005</v>
      </c>
      <c r="F54" s="60">
        <f>B54-D54*3-E54*2</f>
        <v>0</v>
      </c>
      <c r="G54" s="2"/>
      <c r="H54" s="2"/>
      <c r="I54" s="296" t="s">
        <v>508</v>
      </c>
      <c r="J54" s="115">
        <v>2</v>
      </c>
      <c r="K54" s="115"/>
      <c r="L54" s="115">
        <f t="shared" si="1"/>
        <v>0</v>
      </c>
      <c r="M54" s="115"/>
      <c r="N54" s="115"/>
      <c r="O54" s="115"/>
      <c r="P54" s="115"/>
      <c r="Q54" s="150"/>
      <c r="R54" s="150"/>
      <c r="S54" s="150"/>
      <c r="T54" s="289"/>
      <c r="U54" s="4"/>
      <c r="V54" s="4"/>
      <c r="W54" s="4"/>
      <c r="X54" s="4"/>
      <c r="Y54" s="4"/>
      <c r="Z54" s="4"/>
    </row>
    <row r="55" spans="1:26" ht="12.75" customHeight="1">
      <c r="A55" s="72"/>
      <c r="B55" s="60"/>
      <c r="C55" s="60"/>
      <c r="D55" s="60"/>
      <c r="E55" s="60"/>
      <c r="F55" s="60"/>
      <c r="G55" s="2"/>
      <c r="H55" s="78"/>
      <c r="I55" s="301" t="s">
        <v>509</v>
      </c>
      <c r="J55" s="115" t="s">
        <v>550</v>
      </c>
      <c r="K55" s="115"/>
      <c r="L55" s="115"/>
      <c r="M55" s="115"/>
      <c r="N55" s="115"/>
      <c r="O55" s="115"/>
      <c r="P55" s="115"/>
      <c r="Q55" s="150"/>
      <c r="R55" s="150"/>
      <c r="S55" s="150"/>
      <c r="T55" s="289"/>
      <c r="U55" s="4"/>
      <c r="V55" s="4"/>
      <c r="W55" s="4"/>
      <c r="X55" s="4"/>
      <c r="Y55" s="4"/>
      <c r="Z55" s="4"/>
    </row>
    <row r="56" spans="1:26" ht="13.5" customHeight="1">
      <c r="A56" s="62"/>
      <c r="B56" s="58"/>
      <c r="C56" s="58"/>
      <c r="D56" s="76"/>
      <c r="E56" s="77"/>
      <c r="F56" s="77"/>
      <c r="G56" s="2"/>
      <c r="H56" s="79"/>
      <c r="I56" s="302" t="s">
        <v>510</v>
      </c>
      <c r="J56" s="115">
        <v>6</v>
      </c>
      <c r="K56" s="115">
        <v>300</v>
      </c>
      <c r="L56" s="115">
        <f t="shared" si="1"/>
        <v>1800</v>
      </c>
      <c r="M56" s="115" t="s">
        <v>540</v>
      </c>
      <c r="N56" s="115"/>
      <c r="O56" s="115"/>
      <c r="P56" s="115"/>
      <c r="Q56" s="150"/>
      <c r="R56" s="150"/>
      <c r="S56" s="150"/>
      <c r="T56" s="289"/>
      <c r="U56" s="4"/>
      <c r="V56" s="4"/>
      <c r="W56" s="4"/>
      <c r="X56" s="4"/>
      <c r="Y56" s="4"/>
      <c r="Z56" s="4"/>
    </row>
    <row r="57" spans="1:26" ht="12.75" customHeight="1" thickBot="1">
      <c r="A57" s="63" t="s">
        <v>162</v>
      </c>
      <c r="B57" s="64">
        <f>SUM(B54,B52)</f>
        <v>2315431.991465468</v>
      </c>
      <c r="C57" s="64"/>
      <c r="D57" s="64">
        <f t="shared" ref="D57:E57" si="10">D54+D52</f>
        <v>225919.73162642686</v>
      </c>
      <c r="E57" s="64">
        <f t="shared" si="10"/>
        <v>225919.73162642686</v>
      </c>
      <c r="F57" s="64">
        <f>B57-D57*3-E57*2</f>
        <v>1185833.3333333335</v>
      </c>
      <c r="G57" s="2"/>
      <c r="H57" s="2"/>
      <c r="I57" s="296" t="s">
        <v>511</v>
      </c>
      <c r="J57" s="115">
        <v>6</v>
      </c>
      <c r="K57" s="115">
        <v>7600</v>
      </c>
      <c r="L57" s="115">
        <f t="shared" si="1"/>
        <v>45600</v>
      </c>
      <c r="M57" s="115" t="s">
        <v>541</v>
      </c>
      <c r="N57" s="115"/>
      <c r="O57" s="115"/>
      <c r="P57" s="115"/>
      <c r="Q57" s="150"/>
      <c r="R57" s="150"/>
      <c r="S57" s="150"/>
      <c r="T57" s="289"/>
      <c r="U57" s="4"/>
      <c r="V57" s="4"/>
      <c r="W57" s="4"/>
      <c r="X57" s="4"/>
      <c r="Y57" s="4"/>
      <c r="Z57" s="4"/>
    </row>
    <row r="58" spans="1:26" ht="13.5" thickTop="1">
      <c r="A58" s="4"/>
      <c r="B58" s="4"/>
      <c r="C58" s="4"/>
      <c r="D58" s="4"/>
      <c r="E58" s="4"/>
      <c r="F58" s="4"/>
      <c r="G58" s="4"/>
      <c r="H58" s="4"/>
      <c r="I58" s="303" t="s">
        <v>512</v>
      </c>
      <c r="J58" s="150">
        <v>6</v>
      </c>
      <c r="K58" s="150"/>
      <c r="L58" s="115">
        <f t="shared" si="1"/>
        <v>0</v>
      </c>
      <c r="M58" s="150"/>
      <c r="N58" s="150"/>
      <c r="O58" s="150"/>
      <c r="P58" s="150"/>
      <c r="Q58" s="150"/>
      <c r="R58" s="150"/>
      <c r="S58" s="150"/>
      <c r="T58" s="289"/>
      <c r="U58" s="4"/>
      <c r="V58" s="4"/>
      <c r="W58" s="4"/>
      <c r="X58" s="4"/>
      <c r="Y58" s="4"/>
      <c r="Z58" s="4"/>
    </row>
    <row r="59" spans="1:26" ht="12.75">
      <c r="A59" s="4"/>
      <c r="B59" s="4"/>
      <c r="C59" s="4"/>
      <c r="D59" s="4"/>
      <c r="E59" s="4"/>
      <c r="F59" s="4"/>
      <c r="G59" s="4"/>
      <c r="H59" s="4"/>
      <c r="I59" s="303" t="s">
        <v>513</v>
      </c>
      <c r="J59" s="150">
        <v>4</v>
      </c>
      <c r="K59" s="150"/>
      <c r="L59" s="115">
        <f t="shared" si="1"/>
        <v>0</v>
      </c>
      <c r="M59" s="150"/>
      <c r="N59" s="150"/>
      <c r="O59" s="150"/>
      <c r="P59" s="150"/>
      <c r="Q59" s="150"/>
      <c r="R59" s="150"/>
      <c r="S59" s="150"/>
      <c r="T59" s="289"/>
      <c r="U59" s="4"/>
      <c r="V59" s="4"/>
      <c r="W59" s="4"/>
      <c r="X59" s="4"/>
      <c r="Y59" s="4"/>
      <c r="Z59" s="4"/>
    </row>
    <row r="60" spans="1:26" ht="12.75">
      <c r="A60" s="4"/>
      <c r="B60" s="4"/>
      <c r="C60" s="4"/>
      <c r="D60" s="4"/>
      <c r="E60" s="4"/>
      <c r="F60" s="4"/>
      <c r="G60" s="4"/>
      <c r="H60" s="4"/>
      <c r="I60" s="303" t="s">
        <v>514</v>
      </c>
      <c r="J60" s="150">
        <v>1</v>
      </c>
      <c r="K60" s="150"/>
      <c r="L60" s="115">
        <f t="shared" si="1"/>
        <v>0</v>
      </c>
      <c r="M60" s="150"/>
      <c r="N60" s="150"/>
      <c r="O60" s="150"/>
      <c r="P60" s="150"/>
      <c r="Q60" s="150"/>
      <c r="R60" s="150"/>
      <c r="S60" s="150"/>
      <c r="T60" s="289"/>
      <c r="U60" s="4"/>
      <c r="V60" s="4"/>
      <c r="W60" s="4"/>
      <c r="X60" s="4"/>
      <c r="Y60" s="4"/>
      <c r="Z60" s="4"/>
    </row>
    <row r="61" spans="1:26" ht="12.75">
      <c r="A61" s="4"/>
      <c r="B61" s="4"/>
      <c r="C61" s="4"/>
      <c r="D61" s="4"/>
      <c r="E61" s="4"/>
      <c r="F61" s="4"/>
      <c r="G61" s="4"/>
      <c r="H61" s="4"/>
      <c r="I61" s="303" t="s">
        <v>515</v>
      </c>
      <c r="J61" s="150">
        <v>2</v>
      </c>
      <c r="K61" s="150"/>
      <c r="L61" s="115">
        <f t="shared" si="1"/>
        <v>0</v>
      </c>
      <c r="M61" s="150"/>
      <c r="N61" s="150"/>
      <c r="O61" s="150"/>
      <c r="P61" s="150"/>
      <c r="Q61" s="150"/>
      <c r="R61" s="150"/>
      <c r="S61" s="150"/>
      <c r="T61" s="289"/>
      <c r="U61" s="4"/>
      <c r="V61" s="4"/>
      <c r="W61" s="4"/>
      <c r="X61" s="4"/>
      <c r="Y61" s="4"/>
      <c r="Z61" s="4"/>
    </row>
    <row r="62" spans="1:26" ht="12.75">
      <c r="A62" s="4"/>
      <c r="B62" s="4"/>
      <c r="C62" s="4"/>
      <c r="D62" s="4"/>
      <c r="E62" s="4"/>
      <c r="F62" s="4"/>
      <c r="G62" s="4"/>
      <c r="H62" s="4"/>
      <c r="I62" s="303" t="s">
        <v>516</v>
      </c>
      <c r="J62" s="150">
        <v>1</v>
      </c>
      <c r="K62" s="150">
        <v>100000</v>
      </c>
      <c r="L62" s="115">
        <f t="shared" si="1"/>
        <v>100000</v>
      </c>
      <c r="M62" s="150"/>
      <c r="N62" s="150"/>
      <c r="O62" s="150"/>
      <c r="P62" s="150"/>
      <c r="Q62" s="150"/>
      <c r="R62" s="150"/>
      <c r="S62" s="150"/>
      <c r="T62" s="289"/>
      <c r="U62" s="4"/>
      <c r="V62" s="4"/>
      <c r="W62" s="4"/>
      <c r="X62" s="4"/>
      <c r="Y62" s="4"/>
      <c r="Z62" s="4"/>
    </row>
    <row r="63" spans="1:26" ht="12.75">
      <c r="A63" s="4"/>
      <c r="B63" s="4"/>
      <c r="C63" s="4"/>
      <c r="D63" s="4"/>
      <c r="E63" s="4"/>
      <c r="F63" s="4"/>
      <c r="G63" s="4"/>
      <c r="H63" s="4"/>
      <c r="I63" s="304" t="s">
        <v>729</v>
      </c>
      <c r="J63" s="293"/>
      <c r="K63" s="293"/>
      <c r="L63" s="292">
        <f>SUM(L19:L62)</f>
        <v>337710</v>
      </c>
      <c r="M63" s="293"/>
      <c r="N63" s="293"/>
      <c r="O63" s="293"/>
      <c r="P63" s="293"/>
      <c r="Q63" s="293"/>
      <c r="R63" s="293"/>
      <c r="S63" s="293"/>
      <c r="T63" s="294"/>
      <c r="U63" s="4"/>
      <c r="V63" s="4"/>
      <c r="W63" s="4"/>
      <c r="X63" s="4"/>
      <c r="Y63" s="4"/>
      <c r="Z63" s="4"/>
    </row>
    <row r="64" spans="1:26" ht="12.75">
      <c r="A64" s="4"/>
      <c r="B64" s="4"/>
      <c r="C64" s="4"/>
      <c r="D64" s="4"/>
      <c r="E64" s="4"/>
      <c r="F64" s="4"/>
      <c r="G64" s="4"/>
      <c r="H64" s="4"/>
      <c r="I64" s="307" t="s">
        <v>728</v>
      </c>
      <c r="J64" s="4"/>
      <c r="K64" s="4"/>
      <c r="L64" s="371">
        <f>L63/1.21</f>
        <v>279099.17355371901</v>
      </c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mergeCells count="4">
    <mergeCell ref="B3:C3"/>
    <mergeCell ref="D3:E3"/>
    <mergeCell ref="D40:F40"/>
    <mergeCell ref="F3:F4"/>
  </mergeCell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>
      <selection activeCell="C11" sqref="C11"/>
    </sheetView>
  </sheetViews>
  <sheetFormatPr baseColWidth="10" defaultColWidth="14.42578125" defaultRowHeight="15" customHeight="1"/>
  <cols>
    <col min="1" max="1" width="28.140625" customWidth="1"/>
    <col min="2" max="3" width="14.85546875" bestFit="1" customWidth="1"/>
    <col min="4" max="8" width="14.85546875" customWidth="1"/>
    <col min="9" max="9" width="15.85546875" customWidth="1"/>
    <col min="10" max="10" width="17.42578125" customWidth="1"/>
    <col min="11" max="11" width="14.85546875" bestFit="1" customWidth="1"/>
    <col min="12" max="19" width="11.42578125" customWidth="1"/>
  </cols>
  <sheetData>
    <row r="1" spans="1:26" ht="12.75" customHeight="1">
      <c r="A1" s="1" t="s">
        <v>0</v>
      </c>
      <c r="B1" s="2"/>
      <c r="C1" s="2"/>
      <c r="D1" s="2"/>
      <c r="E1" s="2"/>
      <c r="F1" s="2"/>
      <c r="G1" s="3">
        <f>InfoInicial!E1</f>
        <v>7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4"/>
      <c r="U1" s="4"/>
      <c r="V1" s="4"/>
      <c r="W1" s="4"/>
      <c r="X1" s="4"/>
      <c r="Y1" s="4"/>
      <c r="Z1" s="4"/>
    </row>
    <row r="2" spans="1:26" ht="12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4"/>
      <c r="U2" s="4"/>
      <c r="V2" s="4"/>
      <c r="W2" s="4"/>
      <c r="X2" s="4"/>
      <c r="Y2" s="4"/>
      <c r="Z2" s="4"/>
    </row>
    <row r="3" spans="1:26" ht="15.75" customHeight="1">
      <c r="A3" s="437" t="s">
        <v>171</v>
      </c>
      <c r="B3" s="425"/>
      <c r="C3" s="425"/>
      <c r="D3" s="425"/>
      <c r="E3" s="425"/>
      <c r="F3" s="425"/>
      <c r="G3" s="425"/>
      <c r="H3" s="425"/>
      <c r="I3" s="426"/>
      <c r="J3" s="2"/>
      <c r="K3" s="2"/>
      <c r="L3" s="2"/>
      <c r="M3" s="2"/>
      <c r="N3" s="2"/>
      <c r="O3" s="2"/>
      <c r="P3" s="2"/>
      <c r="Q3" s="2"/>
      <c r="R3" s="2"/>
      <c r="S3" s="2"/>
      <c r="T3" s="4"/>
      <c r="U3" s="4"/>
      <c r="V3" s="4"/>
      <c r="W3" s="4"/>
      <c r="X3" s="4"/>
      <c r="Y3" s="4"/>
      <c r="Z3" s="4"/>
    </row>
    <row r="4" spans="1:26" ht="25.5" customHeight="1">
      <c r="A4" s="438" t="s">
        <v>164</v>
      </c>
      <c r="B4" s="431" t="s">
        <v>172</v>
      </c>
      <c r="C4" s="431" t="s">
        <v>173</v>
      </c>
      <c r="D4" s="432" t="s">
        <v>8</v>
      </c>
      <c r="E4" s="432" t="s">
        <v>165</v>
      </c>
      <c r="F4" s="432" t="s">
        <v>166</v>
      </c>
      <c r="G4" s="432" t="s">
        <v>167</v>
      </c>
      <c r="H4" s="439" t="s">
        <v>168</v>
      </c>
      <c r="I4" s="433" t="s">
        <v>174</v>
      </c>
      <c r="J4" s="2"/>
      <c r="K4" s="2"/>
      <c r="L4" s="2"/>
      <c r="M4" s="2"/>
      <c r="N4" s="2"/>
      <c r="O4" s="2"/>
      <c r="P4" s="2"/>
      <c r="Q4" s="2"/>
      <c r="R4" s="2"/>
      <c r="S4" s="2"/>
      <c r="T4" s="4"/>
      <c r="U4" s="4"/>
      <c r="V4" s="4"/>
      <c r="W4" s="4"/>
      <c r="X4" s="4"/>
      <c r="Y4" s="4"/>
      <c r="Z4" s="4"/>
    </row>
    <row r="5" spans="1:26" ht="12.75" customHeight="1">
      <c r="A5" s="589" t="s">
        <v>176</v>
      </c>
      <c r="B5" s="387"/>
      <c r="C5" s="387"/>
      <c r="D5" s="387"/>
      <c r="E5" s="387"/>
      <c r="F5" s="387"/>
      <c r="G5" s="387"/>
      <c r="H5" s="474"/>
      <c r="I5" s="475"/>
      <c r="J5" s="256"/>
      <c r="K5" s="2"/>
      <c r="L5" s="2"/>
      <c r="M5" s="2"/>
      <c r="N5" s="2"/>
      <c r="O5" s="2"/>
      <c r="P5" s="2"/>
      <c r="Q5" s="2"/>
      <c r="R5" s="2"/>
      <c r="S5" s="2"/>
      <c r="T5" s="4"/>
      <c r="U5" s="4"/>
      <c r="V5" s="4"/>
      <c r="W5" s="4"/>
      <c r="X5" s="4"/>
      <c r="Y5" s="4"/>
      <c r="Z5" s="4"/>
    </row>
    <row r="6" spans="1:26" ht="12.75" customHeight="1">
      <c r="A6" s="590" t="s">
        <v>177</v>
      </c>
      <c r="B6" s="262"/>
      <c r="C6" s="262">
        <f>'E-Inv AF y Am'!B20</f>
        <v>2061383.1404958677</v>
      </c>
      <c r="D6" s="262">
        <f>'E-Inv AF y Am'!C20</f>
        <v>50000</v>
      </c>
      <c r="E6" s="262"/>
      <c r="F6" s="262"/>
      <c r="G6" s="262"/>
      <c r="H6" s="385"/>
      <c r="I6" s="383">
        <f t="shared" ref="I6:I8" si="0">SUM(B6:H6)</f>
        <v>2111383.1404958675</v>
      </c>
      <c r="J6" s="256"/>
      <c r="K6" s="2"/>
      <c r="L6" s="2"/>
      <c r="M6" s="2"/>
      <c r="N6" s="2"/>
      <c r="O6" s="2"/>
      <c r="P6" s="2"/>
      <c r="Q6" s="2"/>
      <c r="R6" s="2"/>
      <c r="S6" s="2"/>
      <c r="T6" s="4"/>
      <c r="U6" s="4"/>
      <c r="V6" s="4"/>
      <c r="W6" s="4"/>
      <c r="X6" s="4"/>
      <c r="Y6" s="4"/>
      <c r="Z6" s="4"/>
    </row>
    <row r="7" spans="1:26" ht="12.75" customHeight="1">
      <c r="A7" s="590" t="s">
        <v>178</v>
      </c>
      <c r="B7" s="262">
        <v>0</v>
      </c>
      <c r="C7" s="262">
        <f>'E-Inv AF y Am'!B31</f>
        <v>135200</v>
      </c>
      <c r="D7" s="262">
        <f>'E-Inv AF y Am'!C31</f>
        <v>68848.850969599996</v>
      </c>
      <c r="E7" s="262"/>
      <c r="F7" s="262"/>
      <c r="G7" s="262"/>
      <c r="H7" s="385"/>
      <c r="I7" s="383">
        <f t="shared" si="0"/>
        <v>204048.8509696</v>
      </c>
      <c r="J7" s="256"/>
      <c r="K7" s="2"/>
      <c r="L7" s="2"/>
      <c r="M7" s="2"/>
      <c r="N7" s="2"/>
      <c r="O7" s="2"/>
      <c r="P7" s="2"/>
      <c r="Q7" s="2"/>
      <c r="R7" s="2"/>
      <c r="S7" s="2"/>
      <c r="T7" s="4"/>
      <c r="U7" s="4"/>
      <c r="V7" s="4"/>
      <c r="W7" s="4"/>
      <c r="X7" s="4"/>
      <c r="Y7" s="4"/>
      <c r="Z7" s="4"/>
    </row>
    <row r="8" spans="1:26" ht="12.75" customHeight="1">
      <c r="A8" s="589" t="s">
        <v>181</v>
      </c>
      <c r="B8" s="262">
        <f>SUM(B6:B7)</f>
        <v>0</v>
      </c>
      <c r="C8" s="262">
        <f t="shared" ref="C8:D8" si="1">SUM(C6:C7)</f>
        <v>2196583.1404958675</v>
      </c>
      <c r="D8" s="262">
        <f t="shared" si="1"/>
        <v>118848.8509696</v>
      </c>
      <c r="E8" s="262"/>
      <c r="F8" s="262"/>
      <c r="G8" s="262"/>
      <c r="H8" s="385"/>
      <c r="I8" s="383">
        <f t="shared" si="0"/>
        <v>2315431.9914654675</v>
      </c>
      <c r="J8" s="256"/>
      <c r="K8" s="2"/>
      <c r="L8" s="2"/>
      <c r="M8" s="2"/>
      <c r="N8" s="2"/>
      <c r="O8" s="2"/>
      <c r="P8" s="2"/>
      <c r="Q8" s="2"/>
      <c r="R8" s="2"/>
      <c r="S8" s="2"/>
      <c r="T8" s="4"/>
      <c r="U8" s="4"/>
      <c r="V8" s="4"/>
      <c r="W8" s="4"/>
      <c r="X8" s="4"/>
      <c r="Y8" s="4"/>
      <c r="Z8" s="4"/>
    </row>
    <row r="9" spans="1:26" ht="12.75" customHeight="1">
      <c r="A9" s="590"/>
      <c r="B9" s="262"/>
      <c r="C9" s="262"/>
      <c r="D9" s="262"/>
      <c r="E9" s="262"/>
      <c r="F9" s="262"/>
      <c r="G9" s="262"/>
      <c r="H9" s="385"/>
      <c r="I9" s="383"/>
      <c r="J9" s="256"/>
      <c r="K9" s="2"/>
      <c r="L9" s="2"/>
      <c r="M9" s="2"/>
      <c r="N9" s="2"/>
      <c r="O9" s="2"/>
      <c r="P9" s="2"/>
      <c r="Q9" s="2"/>
      <c r="R9" s="2"/>
      <c r="S9" s="2"/>
      <c r="T9" s="4"/>
      <c r="U9" s="4"/>
      <c r="V9" s="4"/>
      <c r="W9" s="4"/>
      <c r="X9" s="4"/>
      <c r="Y9" s="4"/>
      <c r="Z9" s="4"/>
    </row>
    <row r="10" spans="1:26" ht="12.75" customHeight="1">
      <c r="A10" s="589" t="s">
        <v>182</v>
      </c>
      <c r="B10" s="262"/>
      <c r="C10" s="262"/>
      <c r="D10" s="262">
        <f>'E-InvAT'!D5</f>
        <v>0</v>
      </c>
      <c r="E10" s="262"/>
      <c r="F10" s="262"/>
      <c r="G10" s="262"/>
      <c r="H10" s="385"/>
      <c r="I10" s="383"/>
      <c r="J10" s="256"/>
      <c r="K10" s="2"/>
      <c r="L10" s="2"/>
      <c r="M10" s="2"/>
      <c r="N10" s="2"/>
      <c r="O10" s="2"/>
      <c r="P10" s="2"/>
      <c r="Q10" s="2"/>
      <c r="R10" s="2"/>
      <c r="S10" s="2"/>
      <c r="T10" s="4"/>
      <c r="U10" s="4"/>
      <c r="V10" s="4"/>
      <c r="W10" s="4"/>
      <c r="X10" s="4"/>
      <c r="Y10" s="4"/>
      <c r="Z10" s="4"/>
    </row>
    <row r="11" spans="1:26" ht="12.75" customHeight="1">
      <c r="A11" s="590" t="s">
        <v>184</v>
      </c>
      <c r="B11" s="262"/>
      <c r="C11" s="262">
        <f>'E-InvAT'!B6</f>
        <v>471850.39999999997</v>
      </c>
      <c r="D11" s="262">
        <f>'E-InvAT'!C6-'E-InvAT'!B6</f>
        <v>202221.60000000003</v>
      </c>
      <c r="E11" s="262">
        <f>'E-InvAT'!D6-'E-InvAT'!C6</f>
        <v>86425.660000000033</v>
      </c>
      <c r="F11" s="262">
        <f>'E-InvAT'!E6-'E-InvAT'!D6</f>
        <v>0</v>
      </c>
      <c r="G11" s="262">
        <f>'E-InvAT'!F6-'E-InvAT'!E6</f>
        <v>0</v>
      </c>
      <c r="H11" s="262">
        <f>'E-InvAT'!G6-'E-InvAT'!F6</f>
        <v>0</v>
      </c>
      <c r="I11" s="383">
        <f t="shared" ref="I11:I12" si="2">SUM(B11:H11)</f>
        <v>760497.66</v>
      </c>
      <c r="J11" s="256"/>
      <c r="K11" s="2"/>
      <c r="L11" s="2"/>
      <c r="M11" s="2"/>
      <c r="N11" s="2"/>
      <c r="O11" s="2"/>
      <c r="P11" s="2"/>
      <c r="Q11" s="2"/>
      <c r="R11" s="2"/>
      <c r="S11" s="2"/>
      <c r="T11" s="4"/>
      <c r="U11" s="4"/>
      <c r="V11" s="4"/>
      <c r="W11" s="4"/>
      <c r="X11" s="4"/>
      <c r="Y11" s="4"/>
      <c r="Z11" s="4"/>
    </row>
    <row r="12" spans="1:26" ht="12.75" customHeight="1">
      <c r="A12" s="590" t="s">
        <v>187</v>
      </c>
      <c r="B12" s="262"/>
      <c r="C12" s="262">
        <f>'E-InvAT'!B7</f>
        <v>0</v>
      </c>
      <c r="D12" s="262">
        <f>'E-InvAT'!C7-'E-InvAT'!C19-'E-InvAT'!C20</f>
        <v>1620196.5214430469</v>
      </c>
      <c r="E12" s="262">
        <f>'E-InvAT'!D7-'E-InvAT'!D19-'E-InvAT'!D20-('E-InvAT'!C7-'E-InvAT'!C19-'E-InvAT'!C20)</f>
        <v>169647.93896885938</v>
      </c>
      <c r="F12" s="262">
        <f>'E-InvAT'!E7-'E-InvAT'!E19-'E-InvAT'!E20-('E-InvAT'!D7-'E-InvAT'!D19-'E-InvAT'!D20)</f>
        <v>358.50748069747351</v>
      </c>
      <c r="G12" s="262">
        <f>'E-InvAT'!F7-'E-InvAT'!F19-'E-InvAT'!F20-('E-InvAT'!E7-'E-InvAT'!E19-'E-InvAT'!E20)</f>
        <v>0</v>
      </c>
      <c r="H12" s="262">
        <f>'E-InvAT'!G7-'E-InvAT'!G19-'E-InvAT'!G20-('E-InvAT'!F7-'E-InvAT'!F19-'E-InvAT'!F20)</f>
        <v>0</v>
      </c>
      <c r="I12" s="383">
        <f t="shared" si="2"/>
        <v>1790202.9678926037</v>
      </c>
      <c r="J12" s="372"/>
      <c r="K12" s="2"/>
      <c r="L12" s="2"/>
      <c r="M12" s="2"/>
      <c r="N12" s="2"/>
      <c r="O12" s="2"/>
      <c r="P12" s="2"/>
      <c r="Q12" s="2"/>
      <c r="R12" s="2"/>
      <c r="S12" s="2"/>
      <c r="T12" s="4"/>
      <c r="U12" s="4"/>
      <c r="V12" s="4"/>
      <c r="W12" s="4"/>
      <c r="X12" s="4"/>
      <c r="Y12" s="4"/>
      <c r="Z12" s="4"/>
    </row>
    <row r="13" spans="1:26" ht="12.75" customHeight="1">
      <c r="A13" s="589" t="s">
        <v>191</v>
      </c>
      <c r="B13" s="262"/>
      <c r="C13" s="262"/>
      <c r="D13" s="262"/>
      <c r="E13" s="262"/>
      <c r="F13" s="262"/>
      <c r="G13" s="262"/>
      <c r="H13" s="385"/>
      <c r="I13" s="383"/>
      <c r="J13" s="372"/>
      <c r="K13" s="2"/>
      <c r="L13" s="2"/>
      <c r="M13" s="2"/>
      <c r="N13" s="2"/>
      <c r="O13" s="2"/>
      <c r="P13" s="2"/>
      <c r="Q13" s="2"/>
      <c r="R13" s="2"/>
      <c r="S13" s="2"/>
      <c r="T13" s="4"/>
      <c r="U13" s="4"/>
      <c r="V13" s="4"/>
      <c r="W13" s="4"/>
      <c r="X13" s="4"/>
      <c r="Y13" s="4"/>
      <c r="Z13" s="4"/>
    </row>
    <row r="14" spans="1:26" ht="12.75" customHeight="1">
      <c r="A14" s="590" t="s">
        <v>192</v>
      </c>
      <c r="B14" s="262"/>
      <c r="C14" s="262">
        <f>'E-InvAT'!B10</f>
        <v>205380</v>
      </c>
      <c r="D14" s="262">
        <f>'E-InvAT'!C10-'E-InvAT'!B10</f>
        <v>0</v>
      </c>
      <c r="E14" s="262">
        <f>'E-InvAT'!D10-'E-InvAT'!C10</f>
        <v>26332.649999999994</v>
      </c>
      <c r="F14" s="262">
        <f>'E-InvAT'!E10-'E-InvAT'!D10</f>
        <v>0</v>
      </c>
      <c r="G14" s="262">
        <f>'E-InvAT'!F10-'E-InvAT'!E10</f>
        <v>0</v>
      </c>
      <c r="H14" s="262">
        <f>'E-InvAT'!G10-'E-InvAT'!F10</f>
        <v>0</v>
      </c>
      <c r="I14" s="383">
        <f t="shared" ref="I14:I18" si="3">SUM(B14:H14)</f>
        <v>231712.65</v>
      </c>
      <c r="J14" s="372"/>
      <c r="K14" s="2"/>
      <c r="L14" s="2"/>
      <c r="M14" s="2"/>
      <c r="N14" s="2"/>
      <c r="O14" s="2"/>
      <c r="P14" s="2"/>
      <c r="Q14" s="2"/>
      <c r="R14" s="2"/>
      <c r="S14" s="2"/>
      <c r="T14" s="4"/>
      <c r="U14" s="4"/>
      <c r="V14" s="4"/>
      <c r="W14" s="4"/>
      <c r="X14" s="4"/>
      <c r="Y14" s="4"/>
      <c r="Z14" s="4"/>
    </row>
    <row r="15" spans="1:26" ht="12.75" customHeight="1">
      <c r="A15" s="590" t="s">
        <v>194</v>
      </c>
      <c r="B15" s="262"/>
      <c r="C15" s="262"/>
      <c r="D15" s="262">
        <f>'E-InvAT'!C11-'E-InvAT'!B11</f>
        <v>20222.16</v>
      </c>
      <c r="E15" s="262">
        <f>'E-InvAT'!D11-'E-InvAT'!C11</f>
        <v>0</v>
      </c>
      <c r="F15" s="262">
        <f>'E-InvAT'!E11-'E-InvAT'!D11</f>
        <v>0</v>
      </c>
      <c r="G15" s="262">
        <f>'E-InvAT'!F11-'E-InvAT'!E11</f>
        <v>0</v>
      </c>
      <c r="H15" s="262">
        <f>'E-InvAT'!G11-'E-InvAT'!F11</f>
        <v>0</v>
      </c>
      <c r="I15" s="383">
        <f t="shared" si="3"/>
        <v>20222.16</v>
      </c>
      <c r="J15" s="372"/>
      <c r="K15" s="2"/>
      <c r="L15" s="2"/>
      <c r="M15" s="2"/>
      <c r="N15" s="2"/>
      <c r="O15" s="2"/>
      <c r="P15" s="2"/>
      <c r="Q15" s="2"/>
      <c r="R15" s="2"/>
      <c r="S15" s="2"/>
      <c r="T15" s="4"/>
      <c r="U15" s="4"/>
      <c r="V15" s="4"/>
      <c r="W15" s="4"/>
      <c r="X15" s="4"/>
      <c r="Y15" s="4"/>
      <c r="Z15" s="4"/>
    </row>
    <row r="16" spans="1:26" ht="12.75" customHeight="1">
      <c r="A16" s="590" t="s">
        <v>196</v>
      </c>
      <c r="B16" s="262"/>
      <c r="C16" s="262"/>
      <c r="D16" s="262">
        <f>'E-InvAT'!C12-'E-InvAT'!C17</f>
        <v>64254.587136127091</v>
      </c>
      <c r="E16" s="262">
        <f>'E-InvAT'!D12-'E-InvAT'!D17-'E-InvAT'!C12+'E-InvAT'!C17</f>
        <v>3879.6771000000203</v>
      </c>
      <c r="F16" s="262">
        <f>'E-InvAT'!E12-'E-InvAT'!E17-'E-InvAT'!D12+'E-InvAT'!D17</f>
        <v>5.0022208597511053E-12</v>
      </c>
      <c r="G16" s="262">
        <f>'E-InvAT'!F12-'E-InvAT'!F17-'E-InvAT'!E12+'E-InvAT'!E17</f>
        <v>5.0022208597511053E-12</v>
      </c>
      <c r="H16" s="262">
        <f>'E-InvAT'!G12-'E-InvAT'!G17-'E-InvAT'!F12+'E-InvAT'!F17</f>
        <v>5.0022208597511053E-12</v>
      </c>
      <c r="I16" s="383">
        <f t="shared" si="3"/>
        <v>68134.264236127114</v>
      </c>
      <c r="J16" s="372"/>
      <c r="K16" s="2"/>
      <c r="L16" s="2"/>
      <c r="M16" s="2"/>
      <c r="N16" s="2"/>
      <c r="O16" s="2"/>
      <c r="P16" s="2"/>
      <c r="Q16" s="2"/>
      <c r="R16" s="2"/>
      <c r="S16" s="2"/>
      <c r="T16" s="4"/>
      <c r="U16" s="4"/>
      <c r="V16" s="4"/>
      <c r="W16" s="4"/>
      <c r="X16" s="4"/>
      <c r="Y16" s="4"/>
      <c r="Z16" s="4"/>
    </row>
    <row r="17" spans="1:26" ht="12.75" customHeight="1">
      <c r="A17" s="590" t="s">
        <v>198</v>
      </c>
      <c r="B17" s="262"/>
      <c r="C17" s="262"/>
      <c r="D17" s="262">
        <f>'E-InvAT'!C13</f>
        <v>3861877.5</v>
      </c>
      <c r="E17" s="262">
        <f>'E-InvAT'!D13-'E-InvAT'!C13</f>
        <v>0</v>
      </c>
      <c r="F17" s="262">
        <f>'E-InvAT'!E13-'E-InvAT'!D13</f>
        <v>0</v>
      </c>
      <c r="G17" s="262">
        <f>'E-InvAT'!F13-'E-InvAT'!E13</f>
        <v>0</v>
      </c>
      <c r="H17" s="262">
        <f>'E-InvAT'!G13-'E-InvAT'!F13</f>
        <v>0</v>
      </c>
      <c r="I17" s="383">
        <f t="shared" si="3"/>
        <v>3861877.5</v>
      </c>
      <c r="J17" s="372"/>
      <c r="K17" s="2"/>
      <c r="L17" s="2"/>
      <c r="M17" s="2"/>
      <c r="N17" s="2"/>
      <c r="O17" s="2"/>
      <c r="P17" s="2"/>
      <c r="Q17" s="2"/>
      <c r="R17" s="2"/>
      <c r="S17" s="2"/>
      <c r="T17" s="4"/>
      <c r="U17" s="4"/>
      <c r="V17" s="4"/>
      <c r="W17" s="4"/>
      <c r="X17" s="4"/>
      <c r="Y17" s="4"/>
      <c r="Z17" s="4"/>
    </row>
    <row r="18" spans="1:26" ht="12.75" customHeight="1">
      <c r="A18" s="589" t="s">
        <v>201</v>
      </c>
      <c r="B18" s="262"/>
      <c r="C18" s="262">
        <f>SUM(C11:C17)</f>
        <v>677230.39999999991</v>
      </c>
      <c r="D18" s="262">
        <f>SUM(D11:D17)</f>
        <v>5768772.3685791735</v>
      </c>
      <c r="E18" s="262">
        <f>SUM(E11:E17)</f>
        <v>286285.92606885947</v>
      </c>
      <c r="F18" s="262">
        <f t="shared" ref="F18:H18" si="4">SUM(F11:F17)</f>
        <v>358.50748069747851</v>
      </c>
      <c r="G18" s="262">
        <f t="shared" si="4"/>
        <v>5.0022208597511053E-12</v>
      </c>
      <c r="H18" s="262">
        <f t="shared" si="4"/>
        <v>5.0022208597511053E-12</v>
      </c>
      <c r="I18" s="383">
        <f t="shared" si="3"/>
        <v>6732647.2021287307</v>
      </c>
      <c r="J18" s="256"/>
      <c r="K18" s="2"/>
      <c r="L18" s="2"/>
      <c r="M18" s="2"/>
      <c r="N18" s="2"/>
      <c r="O18" s="2"/>
      <c r="P18" s="2"/>
      <c r="Q18" s="2"/>
      <c r="R18" s="2"/>
      <c r="S18" s="2"/>
      <c r="T18" s="4"/>
      <c r="U18" s="4"/>
      <c r="V18" s="4"/>
      <c r="W18" s="4"/>
      <c r="X18" s="4"/>
      <c r="Y18" s="4"/>
      <c r="Z18" s="4"/>
    </row>
    <row r="19" spans="1:26" ht="12.75" customHeight="1">
      <c r="A19" s="590"/>
      <c r="B19" s="262"/>
      <c r="C19" s="591">
        <f>'E-InvAT'!B25</f>
        <v>677230.39999999991</v>
      </c>
      <c r="D19" s="591">
        <f>'E-InvAT'!C25</f>
        <v>5750805.7179066036</v>
      </c>
      <c r="E19" s="591">
        <f>'E-InvAT'!D25</f>
        <v>288327.7201782139</v>
      </c>
      <c r="F19" s="591">
        <f>'E-InvAT'!E25</f>
        <v>358.50748069770634</v>
      </c>
      <c r="G19" s="591">
        <f>'E-InvAT'!F25</f>
        <v>0</v>
      </c>
      <c r="H19" s="591">
        <f>'E-InvAT'!G25</f>
        <v>0</v>
      </c>
      <c r="I19" s="592"/>
      <c r="J19" s="256"/>
      <c r="K19" s="2"/>
      <c r="L19" s="2"/>
      <c r="M19" s="2"/>
      <c r="N19" s="2"/>
      <c r="O19" s="2"/>
      <c r="P19" s="2"/>
      <c r="Q19" s="2"/>
      <c r="R19" s="2"/>
      <c r="S19" s="2"/>
      <c r="T19" s="4"/>
      <c r="U19" s="4"/>
      <c r="V19" s="4"/>
      <c r="W19" s="4"/>
      <c r="X19" s="4"/>
      <c r="Y19" s="4"/>
      <c r="Z19" s="4"/>
    </row>
    <row r="20" spans="1:26" ht="12.75" customHeight="1">
      <c r="A20" s="589" t="s">
        <v>211</v>
      </c>
      <c r="B20" s="262"/>
      <c r="C20" s="262"/>
      <c r="D20" s="262"/>
      <c r="E20" s="262"/>
      <c r="F20" s="262"/>
      <c r="G20" s="262"/>
      <c r="H20" s="385"/>
      <c r="I20" s="383"/>
      <c r="J20" s="256"/>
      <c r="K20" s="2"/>
      <c r="L20" s="2"/>
      <c r="M20" s="2"/>
      <c r="N20" s="2"/>
      <c r="O20" s="2"/>
      <c r="P20" s="2"/>
      <c r="Q20" s="2"/>
      <c r="R20" s="2"/>
      <c r="S20" s="2"/>
      <c r="T20" s="4"/>
      <c r="U20" s="4"/>
      <c r="V20" s="4"/>
      <c r="W20" s="4"/>
      <c r="X20" s="4"/>
      <c r="Y20" s="4"/>
      <c r="Z20" s="4"/>
    </row>
    <row r="21" spans="1:26" ht="12.75" customHeight="1">
      <c r="A21" s="590" t="s">
        <v>212</v>
      </c>
      <c r="B21" s="262">
        <f>0.21*B8</f>
        <v>0</v>
      </c>
      <c r="C21" s="262">
        <f t="shared" ref="C21:H21" si="5">C8*0.21</f>
        <v>461282.45950413216</v>
      </c>
      <c r="D21" s="262">
        <f t="shared" si="5"/>
        <v>24958.258703615997</v>
      </c>
      <c r="E21" s="262">
        <f t="shared" si="5"/>
        <v>0</v>
      </c>
      <c r="F21" s="262">
        <f t="shared" si="5"/>
        <v>0</v>
      </c>
      <c r="G21" s="262">
        <f t="shared" si="5"/>
        <v>0</v>
      </c>
      <c r="H21" s="262">
        <f t="shared" si="5"/>
        <v>0</v>
      </c>
      <c r="I21" s="383">
        <f t="shared" ref="I21:I23" si="6">SUM(B21:H21)</f>
        <v>486240.71820774814</v>
      </c>
      <c r="J21" s="256"/>
      <c r="K21" s="2"/>
      <c r="L21" s="2"/>
      <c r="M21" s="2"/>
      <c r="N21" s="2"/>
      <c r="O21" s="2"/>
      <c r="P21" s="2"/>
      <c r="Q21" s="2"/>
      <c r="R21" s="2"/>
      <c r="S21" s="2"/>
      <c r="T21" s="4"/>
      <c r="U21" s="4"/>
      <c r="V21" s="4"/>
      <c r="W21" s="4"/>
      <c r="X21" s="4"/>
      <c r="Y21" s="4"/>
      <c r="Z21" s="4"/>
    </row>
    <row r="22" spans="1:26" ht="12.75" customHeight="1">
      <c r="A22" s="590" t="s">
        <v>214</v>
      </c>
      <c r="B22" s="262"/>
      <c r="C22" s="262">
        <f>'E-InvAT'!B34</f>
        <v>43129.799999999996</v>
      </c>
      <c r="D22" s="262">
        <f>'E-InvAT'!C34</f>
        <v>820992.21110325388</v>
      </c>
      <c r="E22" s="262">
        <f>'E-InvAT'!D34</f>
        <v>5561.1923535000014</v>
      </c>
      <c r="F22" s="262">
        <f>'E-InvAT'!E34</f>
        <v>0</v>
      </c>
      <c r="G22" s="262">
        <f>'E-InvAT'!F34</f>
        <v>0</v>
      </c>
      <c r="H22" s="262">
        <f>'E-InvAT'!G34</f>
        <v>0</v>
      </c>
      <c r="I22" s="383">
        <f t="shared" si="6"/>
        <v>869683.20345675398</v>
      </c>
      <c r="J22" s="256"/>
      <c r="K22" s="2"/>
      <c r="L22" s="2"/>
      <c r="M22" s="2"/>
      <c r="N22" s="2"/>
      <c r="O22" s="2"/>
      <c r="P22" s="2"/>
      <c r="Q22" s="2"/>
      <c r="R22" s="2"/>
      <c r="S22" s="2"/>
      <c r="T22" s="4"/>
      <c r="U22" s="4"/>
      <c r="V22" s="4"/>
      <c r="W22" s="4"/>
      <c r="X22" s="4"/>
      <c r="Y22" s="4"/>
      <c r="Z22" s="4"/>
    </row>
    <row r="23" spans="1:26" ht="12.75" customHeight="1">
      <c r="A23" s="589" t="s">
        <v>215</v>
      </c>
      <c r="B23" s="262">
        <f>SUM(B21:B22)</f>
        <v>0</v>
      </c>
      <c r="C23" s="262">
        <f t="shared" ref="C23:H23" si="7">SUM(C21:C22)</f>
        <v>504412.25950413215</v>
      </c>
      <c r="D23" s="262">
        <f t="shared" si="7"/>
        <v>845950.46980686986</v>
      </c>
      <c r="E23" s="262">
        <f t="shared" si="7"/>
        <v>5561.1923535000014</v>
      </c>
      <c r="F23" s="262">
        <f t="shared" si="7"/>
        <v>0</v>
      </c>
      <c r="G23" s="262">
        <f t="shared" si="7"/>
        <v>0</v>
      </c>
      <c r="H23" s="262">
        <f t="shared" si="7"/>
        <v>0</v>
      </c>
      <c r="I23" s="383">
        <f t="shared" si="6"/>
        <v>1355923.921664502</v>
      </c>
      <c r="J23" s="256"/>
      <c r="K23" s="2"/>
      <c r="L23" s="2"/>
      <c r="M23" s="2"/>
      <c r="N23" s="2"/>
      <c r="O23" s="2"/>
      <c r="P23" s="2"/>
      <c r="Q23" s="2"/>
      <c r="R23" s="2"/>
      <c r="S23" s="2"/>
      <c r="T23" s="4"/>
      <c r="U23" s="4"/>
      <c r="V23" s="4"/>
      <c r="W23" s="4"/>
      <c r="X23" s="4"/>
      <c r="Y23" s="4"/>
      <c r="Z23" s="4"/>
    </row>
    <row r="24" spans="1:26" ht="12.75" customHeight="1">
      <c r="A24" s="589"/>
      <c r="B24" s="262"/>
      <c r="C24" s="262"/>
      <c r="D24" s="262"/>
      <c r="E24" s="262"/>
      <c r="F24" s="262"/>
      <c r="G24" s="262"/>
      <c r="H24" s="385"/>
      <c r="I24" s="383"/>
      <c r="J24" s="256"/>
      <c r="K24" s="2"/>
      <c r="L24" s="2"/>
      <c r="M24" s="2"/>
      <c r="N24" s="2"/>
      <c r="O24" s="2"/>
      <c r="P24" s="2"/>
      <c r="Q24" s="2"/>
      <c r="R24" s="2"/>
      <c r="S24" s="2"/>
      <c r="T24" s="4"/>
      <c r="U24" s="4"/>
      <c r="V24" s="4"/>
      <c r="W24" s="4"/>
      <c r="X24" s="4"/>
      <c r="Y24" s="4"/>
      <c r="Z24" s="4"/>
    </row>
    <row r="25" spans="1:26" ht="12.75" customHeight="1">
      <c r="A25" s="539" t="s">
        <v>216</v>
      </c>
      <c r="B25" s="489">
        <f>B23+B18+B8</f>
        <v>0</v>
      </c>
      <c r="C25" s="489">
        <f>C23+C18+C8</f>
        <v>3378225.8</v>
      </c>
      <c r="D25" s="489">
        <f t="shared" ref="D25:I25" si="8">D23+D18+D8</f>
        <v>6733571.6893556425</v>
      </c>
      <c r="E25" s="489">
        <f t="shared" si="8"/>
        <v>291847.11842235946</v>
      </c>
      <c r="F25" s="489">
        <f t="shared" si="8"/>
        <v>358.50748069747851</v>
      </c>
      <c r="G25" s="489">
        <f t="shared" si="8"/>
        <v>5.0022208597511053E-12</v>
      </c>
      <c r="H25" s="489">
        <f t="shared" si="8"/>
        <v>5.0022208597511053E-12</v>
      </c>
      <c r="I25" s="489">
        <f t="shared" si="8"/>
        <v>10404003.115258701</v>
      </c>
      <c r="J25" s="256"/>
      <c r="K25" s="2"/>
      <c r="L25" s="2"/>
      <c r="M25" s="2"/>
      <c r="N25" s="2"/>
      <c r="O25" s="2"/>
      <c r="P25" s="2"/>
      <c r="Q25" s="2"/>
      <c r="R25" s="2"/>
      <c r="S25" s="2"/>
      <c r="T25" s="4"/>
      <c r="U25" s="4"/>
      <c r="V25" s="4"/>
      <c r="W25" s="4"/>
      <c r="X25" s="4"/>
      <c r="Y25" s="4"/>
      <c r="Z25" s="4"/>
    </row>
    <row r="26" spans="1:26" ht="12.75" customHeight="1" thickTop="1">
      <c r="A26" s="256"/>
      <c r="B26" s="256"/>
      <c r="C26" s="256"/>
      <c r="D26" s="256"/>
      <c r="E26" s="256"/>
      <c r="F26" s="256"/>
      <c r="G26" s="256"/>
      <c r="H26" s="256"/>
      <c r="I26" s="256"/>
      <c r="J26" s="256"/>
      <c r="K26" s="2"/>
      <c r="L26" s="2"/>
      <c r="M26" s="2"/>
      <c r="N26" s="2"/>
      <c r="O26" s="2"/>
      <c r="P26" s="2"/>
      <c r="Q26" s="2"/>
      <c r="R26" s="2"/>
      <c r="S26" s="2"/>
      <c r="T26" s="4"/>
      <c r="U26" s="4"/>
      <c r="V26" s="4"/>
      <c r="W26" s="4"/>
      <c r="X26" s="4"/>
      <c r="Y26" s="4"/>
      <c r="Z26" s="4"/>
    </row>
    <row r="27" spans="1:26" ht="12.75">
      <c r="A27" s="526" t="s">
        <v>643</v>
      </c>
      <c r="B27" s="526"/>
      <c r="C27" s="526"/>
      <c r="D27" s="526"/>
      <c r="E27" s="593">
        <f>'E-Inv AF y Am'!F23</f>
        <v>52000</v>
      </c>
      <c r="F27" s="588" t="s">
        <v>644</v>
      </c>
      <c r="G27" s="496"/>
      <c r="H27" s="496"/>
      <c r="I27" s="496"/>
      <c r="J27" s="496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 spans="1:26" ht="12.75">
      <c r="A28" s="496"/>
      <c r="B28" s="496"/>
      <c r="C28" s="496"/>
      <c r="D28" s="496"/>
      <c r="E28" s="496"/>
      <c r="F28" s="496"/>
      <c r="G28" s="496"/>
      <c r="H28" s="496"/>
      <c r="I28" s="496"/>
      <c r="J28" s="496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 spans="1:26" ht="12.75">
      <c r="A29" s="270" t="s">
        <v>645</v>
      </c>
      <c r="B29" s="271">
        <f>InfoInicial!B28</f>
        <v>9</v>
      </c>
      <c r="C29" s="271" t="s">
        <v>646</v>
      </c>
      <c r="D29" s="272">
        <f>'E-Inv AF y Am'!F34-'E-Inv AF y Am'!F26-'E-Inv AF y Am'!F23</f>
        <v>370039.89996774815</v>
      </c>
      <c r="E29" s="273"/>
      <c r="F29" s="273"/>
      <c r="G29" s="273"/>
      <c r="H29" s="273"/>
      <c r="I29" s="273"/>
      <c r="J29" s="273"/>
      <c r="K29" s="27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 spans="1:26" ht="12.75">
      <c r="A30" s="275" t="s">
        <v>647</v>
      </c>
      <c r="B30" s="276">
        <f>'E-Inv AF y Am'!F26</f>
        <v>64200.818239999993</v>
      </c>
      <c r="C30" s="276"/>
      <c r="D30" s="276"/>
      <c r="E30" s="276"/>
      <c r="F30" s="276"/>
      <c r="G30" s="276"/>
      <c r="H30" s="276"/>
      <c r="I30" s="276"/>
      <c r="J30" s="276"/>
      <c r="K30" s="277"/>
      <c r="L30" s="238"/>
      <c r="M30" s="238"/>
      <c r="N30" s="238"/>
      <c r="O30" s="238"/>
      <c r="P30" s="238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 spans="1:26" ht="12.75">
      <c r="A31" s="275" t="s">
        <v>648</v>
      </c>
      <c r="B31" s="276">
        <f>'E-Inv AF y Am'!C30</f>
        <v>0</v>
      </c>
      <c r="C31" s="276"/>
      <c r="D31" s="276"/>
      <c r="E31" s="276"/>
      <c r="F31" s="276"/>
      <c r="G31" s="276"/>
      <c r="H31" s="276"/>
      <c r="I31" s="276"/>
      <c r="J31" s="276"/>
      <c r="K31" s="277"/>
      <c r="L31" s="238"/>
      <c r="M31" s="238"/>
      <c r="N31" s="238"/>
      <c r="O31" s="238"/>
      <c r="P31" s="238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 spans="1:26" ht="12.75">
      <c r="A32" s="440" t="s">
        <v>673</v>
      </c>
      <c r="B32" s="441" t="s">
        <v>664</v>
      </c>
      <c r="C32" s="442" t="s">
        <v>665</v>
      </c>
      <c r="D32" s="442" t="s">
        <v>666</v>
      </c>
      <c r="E32" s="442" t="s">
        <v>667</v>
      </c>
      <c r="F32" s="442" t="s">
        <v>668</v>
      </c>
      <c r="G32" s="442" t="s">
        <v>669</v>
      </c>
      <c r="H32" s="442" t="s">
        <v>670</v>
      </c>
      <c r="I32" s="442" t="s">
        <v>671</v>
      </c>
      <c r="J32" s="442" t="s">
        <v>672</v>
      </c>
      <c r="K32" s="443"/>
      <c r="L32" s="238"/>
      <c r="M32" s="238"/>
      <c r="N32" s="238"/>
      <c r="O32" s="238"/>
      <c r="P32" s="238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>
      <c r="A33" s="275" t="s">
        <v>649</v>
      </c>
      <c r="B33" s="276">
        <f>'E-Inv AF y Am'!F7</f>
        <v>900000</v>
      </c>
      <c r="C33" s="276"/>
      <c r="D33" s="276"/>
      <c r="E33" s="276"/>
      <c r="F33" s="276"/>
      <c r="G33" s="276"/>
      <c r="H33" s="276"/>
      <c r="I33" s="276"/>
      <c r="J33" s="276"/>
      <c r="K33" s="278">
        <f>SUM(B33:J33)</f>
        <v>900000</v>
      </c>
      <c r="N33" s="238"/>
      <c r="O33" s="238"/>
      <c r="P33" s="238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>
      <c r="A34" s="275" t="s">
        <v>127</v>
      </c>
      <c r="B34" s="276">
        <f>'E-Inv AF y Am'!$F$8/9</f>
        <v>14444.444444444445</v>
      </c>
      <c r="C34" s="276">
        <f>'E-Inv AF y Am'!$F$8/9</f>
        <v>14444.444444444445</v>
      </c>
      <c r="D34" s="276">
        <f>'E-Inv AF y Am'!$F$8/9</f>
        <v>14444.444444444445</v>
      </c>
      <c r="E34" s="276">
        <f>'E-Inv AF y Am'!$F$8/9</f>
        <v>14444.444444444445</v>
      </c>
      <c r="F34" s="276">
        <f>'E-Inv AF y Am'!$F$8/9</f>
        <v>14444.444444444445</v>
      </c>
      <c r="G34" s="276">
        <f>'E-Inv AF y Am'!$F$8/9</f>
        <v>14444.444444444445</v>
      </c>
      <c r="H34" s="276">
        <f>'E-Inv AF y Am'!$F$8/9</f>
        <v>14444.444444444445</v>
      </c>
      <c r="I34" s="276">
        <f>'E-Inv AF y Am'!$F$8/9</f>
        <v>14444.444444444445</v>
      </c>
      <c r="J34" s="276">
        <f>'E-Inv AF y Am'!$F$8/9</f>
        <v>14444.444444444445</v>
      </c>
      <c r="K34" s="278">
        <f t="shared" ref="K34:K55" si="9">SUM(B34:J34)</f>
        <v>129999.99999999997</v>
      </c>
      <c r="N34" s="238"/>
      <c r="O34" s="238"/>
      <c r="P34" s="238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>
      <c r="A35" s="275" t="s">
        <v>128</v>
      </c>
      <c r="B35" s="276"/>
      <c r="C35" s="276">
        <f>'E-Inv AF y Am'!$F$9/8</f>
        <v>10000</v>
      </c>
      <c r="D35" s="276">
        <f>'E-Inv AF y Am'!$F$9/8</f>
        <v>10000</v>
      </c>
      <c r="E35" s="276">
        <f>'E-Inv AF y Am'!$F$9/8</f>
        <v>10000</v>
      </c>
      <c r="F35" s="276">
        <f>'E-Inv AF y Am'!$F$9/8</f>
        <v>10000</v>
      </c>
      <c r="G35" s="276">
        <f>'E-Inv AF y Am'!$F$9/8</f>
        <v>10000</v>
      </c>
      <c r="H35" s="276">
        <f>'E-Inv AF y Am'!$F$9/8</f>
        <v>10000</v>
      </c>
      <c r="I35" s="276">
        <f>'E-Inv AF y Am'!$F$9/8</f>
        <v>10000</v>
      </c>
      <c r="J35" s="276">
        <f>'E-Inv AF y Am'!$F$9/8</f>
        <v>10000</v>
      </c>
      <c r="K35" s="278">
        <f t="shared" si="9"/>
        <v>80000</v>
      </c>
      <c r="N35" s="238"/>
      <c r="O35" s="238"/>
      <c r="P35" s="238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>
      <c r="A36" s="282" t="s">
        <v>650</v>
      </c>
      <c r="B36" s="276">
        <f>'E-Inv AF y Am'!$F$11</f>
        <v>0</v>
      </c>
      <c r="C36" s="276"/>
      <c r="D36" s="276"/>
      <c r="E36" s="276"/>
      <c r="F36" s="276"/>
      <c r="G36" s="276"/>
      <c r="H36" s="276"/>
      <c r="I36" s="276"/>
      <c r="J36" s="276"/>
      <c r="K36" s="278">
        <f t="shared" si="9"/>
        <v>0</v>
      </c>
      <c r="N36" s="238"/>
      <c r="O36" s="238"/>
      <c r="P36" s="238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>
      <c r="A37" s="282" t="s">
        <v>651</v>
      </c>
      <c r="B37" s="276"/>
      <c r="C37" s="276"/>
      <c r="D37" s="279">
        <f>'E-Inv AF y Am'!F12</f>
        <v>270000</v>
      </c>
      <c r="E37" s="276"/>
      <c r="F37" s="276"/>
      <c r="G37" s="276"/>
      <c r="H37" s="276"/>
      <c r="I37" s="276"/>
      <c r="J37" s="276"/>
      <c r="K37" s="278">
        <f t="shared" si="9"/>
        <v>270000</v>
      </c>
      <c r="N37" s="238"/>
      <c r="O37" s="238"/>
      <c r="P37" s="238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>
      <c r="A38" s="283" t="s">
        <v>652</v>
      </c>
      <c r="B38" s="276">
        <f>'E-Inv AF y Am'!$F$13</f>
        <v>0</v>
      </c>
      <c r="C38" s="276"/>
      <c r="D38" s="276"/>
      <c r="E38" s="279"/>
      <c r="F38" s="279"/>
      <c r="G38" s="276"/>
      <c r="H38" s="276"/>
      <c r="I38" s="276"/>
      <c r="J38" s="276"/>
      <c r="K38" s="278">
        <f t="shared" si="9"/>
        <v>0</v>
      </c>
      <c r="N38" s="238"/>
      <c r="O38" s="238"/>
      <c r="P38" s="238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>
      <c r="A39" s="282" t="s">
        <v>653</v>
      </c>
      <c r="B39" s="276"/>
      <c r="C39" s="276"/>
      <c r="D39" s="276"/>
      <c r="E39" s="276">
        <f>'E-Inv AF y Am'!$F$14/2</f>
        <v>2500</v>
      </c>
      <c r="F39" s="276">
        <f>'E-Inv AF y Am'!$F$14/2</f>
        <v>2500</v>
      </c>
      <c r="G39" s="276"/>
      <c r="H39" s="276"/>
      <c r="I39" s="276"/>
      <c r="J39" s="276"/>
      <c r="K39" s="278">
        <f t="shared" si="9"/>
        <v>5000</v>
      </c>
      <c r="L39" s="238"/>
      <c r="M39" s="238"/>
      <c r="N39" s="238"/>
      <c r="O39" s="238"/>
      <c r="P39" s="238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>
      <c r="A40" s="282" t="s">
        <v>134</v>
      </c>
      <c r="B40" s="276">
        <f>'E-Inv AF y Am'!B15</f>
        <v>368000</v>
      </c>
      <c r="C40" s="276"/>
      <c r="D40" s="276"/>
      <c r="E40" s="276"/>
      <c r="F40" s="276"/>
      <c r="G40" s="276"/>
      <c r="H40" s="276"/>
      <c r="I40" s="276"/>
      <c r="J40" s="276"/>
      <c r="K40" s="278">
        <f t="shared" si="9"/>
        <v>368000</v>
      </c>
      <c r="L40" s="238"/>
      <c r="M40" s="238"/>
      <c r="N40" s="238"/>
      <c r="O40" s="238"/>
      <c r="P40" s="238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>
      <c r="A41" s="275" t="s">
        <v>135</v>
      </c>
      <c r="B41" s="276">
        <f>'E-Inv AF y Am'!$F$16/9</f>
        <v>31011.019283746558</v>
      </c>
      <c r="C41" s="276">
        <f>'E-Inv AF y Am'!$F$16/9</f>
        <v>31011.019283746558</v>
      </c>
      <c r="D41" s="276">
        <f>'E-Inv AF y Am'!$F$16/9</f>
        <v>31011.019283746558</v>
      </c>
      <c r="E41" s="276">
        <f>'E-Inv AF y Am'!$F$16/9</f>
        <v>31011.019283746558</v>
      </c>
      <c r="F41" s="276">
        <f>'E-Inv AF y Am'!$F$16/9</f>
        <v>31011.019283746558</v>
      </c>
      <c r="G41" s="276">
        <f>'E-Inv AF y Am'!$F$16/9</f>
        <v>31011.019283746558</v>
      </c>
      <c r="H41" s="276">
        <f>'E-Inv AF y Am'!$F$16/9</f>
        <v>31011.019283746558</v>
      </c>
      <c r="I41" s="276">
        <f>'E-Inv AF y Am'!$F$16/9</f>
        <v>31011.019283746558</v>
      </c>
      <c r="J41" s="276">
        <f>'E-Inv AF y Am'!$F$16/9</f>
        <v>31011.019283746558</v>
      </c>
      <c r="K41" s="278">
        <f t="shared" si="9"/>
        <v>279099.17355371895</v>
      </c>
      <c r="L41" s="238"/>
      <c r="M41" s="238"/>
      <c r="N41" s="238"/>
      <c r="O41" s="238"/>
      <c r="P41" s="238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>
      <c r="A42" s="275" t="s">
        <v>654</v>
      </c>
      <c r="B42" s="276">
        <f>0.025*SUM(B33:B41)</f>
        <v>32836.386593204777</v>
      </c>
      <c r="C42" s="276">
        <f t="shared" ref="C42:J42" si="10">0.025*SUM(C33:C41)</f>
        <v>1386.3865932047752</v>
      </c>
      <c r="D42" s="276">
        <f t="shared" si="10"/>
        <v>8136.3865932047747</v>
      </c>
      <c r="E42" s="276">
        <f t="shared" si="10"/>
        <v>1448.8865932047752</v>
      </c>
      <c r="F42" s="276">
        <f t="shared" si="10"/>
        <v>1448.8865932047752</v>
      </c>
      <c r="G42" s="276">
        <f t="shared" si="10"/>
        <v>1386.3865932047752</v>
      </c>
      <c r="H42" s="276">
        <f t="shared" si="10"/>
        <v>1386.3865932047752</v>
      </c>
      <c r="I42" s="276">
        <f t="shared" si="10"/>
        <v>1386.3865932047752</v>
      </c>
      <c r="J42" s="276">
        <f t="shared" si="10"/>
        <v>1386.3865932047752</v>
      </c>
      <c r="K42" s="278">
        <f t="shared" si="9"/>
        <v>50802.479338842997</v>
      </c>
      <c r="L42" s="238"/>
      <c r="M42" s="238"/>
      <c r="N42" s="238"/>
      <c r="O42" s="238"/>
      <c r="P42" s="238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>
      <c r="A43" s="275"/>
      <c r="B43" s="276"/>
      <c r="C43" s="276"/>
      <c r="D43" s="276"/>
      <c r="E43" s="276"/>
      <c r="F43" s="276"/>
      <c r="G43" s="276"/>
      <c r="H43" s="276"/>
      <c r="I43" s="276"/>
      <c r="J43" s="276"/>
      <c r="K43" s="278"/>
      <c r="L43" s="238"/>
      <c r="M43" s="238"/>
      <c r="N43" s="238"/>
      <c r="O43" s="238"/>
      <c r="P43" s="238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>
      <c r="A44" s="284" t="s">
        <v>655</v>
      </c>
      <c r="B44" s="276">
        <f>SUM(B33:B42)</f>
        <v>1346291.8503213958</v>
      </c>
      <c r="C44" s="276">
        <f t="shared" ref="C44:J44" si="11">SUM(C33:C42)</f>
        <v>56841.850321395781</v>
      </c>
      <c r="D44" s="276">
        <f t="shared" si="11"/>
        <v>333591.85032139573</v>
      </c>
      <c r="E44" s="276">
        <f t="shared" si="11"/>
        <v>59404.350321395781</v>
      </c>
      <c r="F44" s="276">
        <f t="shared" si="11"/>
        <v>59404.350321395781</v>
      </c>
      <c r="G44" s="276">
        <f t="shared" si="11"/>
        <v>56841.850321395781</v>
      </c>
      <c r="H44" s="276">
        <f t="shared" si="11"/>
        <v>56841.850321395781</v>
      </c>
      <c r="I44" s="276">
        <f t="shared" si="11"/>
        <v>56841.850321395781</v>
      </c>
      <c r="J44" s="276">
        <f t="shared" si="11"/>
        <v>56841.850321395781</v>
      </c>
      <c r="K44" s="278">
        <f t="shared" si="9"/>
        <v>2082901.6528925621</v>
      </c>
      <c r="L44" s="238"/>
      <c r="M44" s="238"/>
      <c r="N44" s="238"/>
      <c r="O44" s="238"/>
      <c r="P44" s="238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>
      <c r="A45" s="284"/>
      <c r="B45" s="276"/>
      <c r="C45" s="276"/>
      <c r="D45" s="276"/>
      <c r="E45" s="276"/>
      <c r="F45" s="276"/>
      <c r="G45" s="276"/>
      <c r="H45" s="276"/>
      <c r="I45" s="276"/>
      <c r="J45" s="276"/>
      <c r="K45" s="278"/>
      <c r="L45" s="238"/>
      <c r="M45" s="238"/>
      <c r="N45" s="238"/>
      <c r="O45" s="238"/>
      <c r="P45" s="238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>
      <c r="A46" s="282" t="s">
        <v>656</v>
      </c>
      <c r="B46" s="276">
        <f>'E-Inv AF y Am'!$B$24</f>
        <v>20000</v>
      </c>
      <c r="C46" s="276"/>
      <c r="D46" s="276"/>
      <c r="E46" s="276"/>
      <c r="F46" s="276"/>
      <c r="G46" s="276"/>
      <c r="H46" s="276"/>
      <c r="I46" s="276"/>
      <c r="J46" s="276"/>
      <c r="K46" s="278">
        <f t="shared" si="9"/>
        <v>20000</v>
      </c>
      <c r="L46" s="238"/>
      <c r="M46" s="238"/>
      <c r="N46" s="238"/>
      <c r="O46" s="238"/>
      <c r="P46" s="238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>
      <c r="A47" s="282" t="s">
        <v>657</v>
      </c>
      <c r="B47" s="276">
        <f>'E-Inv AF y Am'!$B$25</f>
        <v>10000</v>
      </c>
      <c r="C47" s="276"/>
      <c r="D47" s="276"/>
      <c r="E47" s="276"/>
      <c r="F47" s="276"/>
      <c r="G47" s="276"/>
      <c r="H47" s="276"/>
      <c r="I47" s="276"/>
      <c r="J47" s="276"/>
      <c r="K47" s="278">
        <f t="shared" si="9"/>
        <v>10000</v>
      </c>
      <c r="L47" s="238"/>
      <c r="M47" s="238"/>
      <c r="N47" s="238"/>
      <c r="O47" s="238"/>
      <c r="P47" s="238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>
      <c r="A48" s="282" t="s">
        <v>658</v>
      </c>
      <c r="B48" s="373">
        <f>'E-Inv AF y Am'!$B$27/9</f>
        <v>5555.5555555555557</v>
      </c>
      <c r="C48" s="373">
        <f>B48</f>
        <v>5555.5555555555557</v>
      </c>
      <c r="D48" s="373">
        <f t="shared" ref="D48:J48" si="12">C48</f>
        <v>5555.5555555555557</v>
      </c>
      <c r="E48" s="373">
        <f t="shared" si="12"/>
        <v>5555.5555555555557</v>
      </c>
      <c r="F48" s="373">
        <f t="shared" si="12"/>
        <v>5555.5555555555557</v>
      </c>
      <c r="G48" s="373">
        <f t="shared" si="12"/>
        <v>5555.5555555555557</v>
      </c>
      <c r="H48" s="373">
        <f t="shared" si="12"/>
        <v>5555.5555555555557</v>
      </c>
      <c r="I48" s="373">
        <f t="shared" si="12"/>
        <v>5555.5555555555557</v>
      </c>
      <c r="J48" s="373">
        <f t="shared" si="12"/>
        <v>5555.5555555555557</v>
      </c>
      <c r="K48" s="374">
        <f t="shared" si="9"/>
        <v>50000</v>
      </c>
      <c r="L48" s="375"/>
      <c r="M48" s="238"/>
      <c r="N48" s="238"/>
      <c r="O48" s="238"/>
      <c r="P48" s="238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>
      <c r="A49" s="275" t="s">
        <v>659</v>
      </c>
      <c r="B49" s="279">
        <f>'E-Inv AF y Am'!$B$30/9</f>
        <v>0</v>
      </c>
      <c r="C49" s="279">
        <f>'E-Inv AF y Am'!$B$30/9</f>
        <v>0</v>
      </c>
      <c r="D49" s="279">
        <f>'E-Inv AF y Am'!$B$30/9</f>
        <v>0</v>
      </c>
      <c r="E49" s="279">
        <f>'E-Inv AF y Am'!$B$30/9</f>
        <v>0</v>
      </c>
      <c r="F49" s="279">
        <f>'E-Inv AF y Am'!$B$30/9</f>
        <v>0</v>
      </c>
      <c r="G49" s="279">
        <f>'E-Inv AF y Am'!$B$30/9</f>
        <v>0</v>
      </c>
      <c r="H49" s="279">
        <f>'E-Inv AF y Am'!$B$30/9</f>
        <v>0</v>
      </c>
      <c r="I49" s="279">
        <f>'E-Inv AF y Am'!$B$30/9</f>
        <v>0</v>
      </c>
      <c r="J49" s="279">
        <f>'E-Inv AF y Am'!$B$30/9</f>
        <v>0</v>
      </c>
      <c r="K49" s="278">
        <f t="shared" si="9"/>
        <v>0</v>
      </c>
      <c r="L49" s="238"/>
      <c r="M49" s="238"/>
      <c r="N49" s="238"/>
      <c r="O49" s="238"/>
      <c r="P49" s="238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>
      <c r="A50" s="275"/>
      <c r="B50" s="276"/>
      <c r="C50" s="276"/>
      <c r="D50" s="276"/>
      <c r="E50" s="276"/>
      <c r="F50" s="276"/>
      <c r="G50" s="276"/>
      <c r="H50" s="276"/>
      <c r="I50" s="276"/>
      <c r="J50" s="276"/>
      <c r="K50" s="278"/>
      <c r="L50" s="238"/>
      <c r="M50" s="238"/>
      <c r="N50" s="238"/>
      <c r="O50" s="238"/>
      <c r="P50" s="238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>
      <c r="A51" s="284" t="s">
        <v>660</v>
      </c>
      <c r="B51" s="276">
        <f>SUM(B46:B50)</f>
        <v>35555.555555555555</v>
      </c>
      <c r="C51" s="276">
        <f t="shared" ref="C51:J51" si="13">SUM(C46:C50)</f>
        <v>5555.5555555555557</v>
      </c>
      <c r="D51" s="276">
        <f t="shared" si="13"/>
        <v>5555.5555555555557</v>
      </c>
      <c r="E51" s="276">
        <f t="shared" si="13"/>
        <v>5555.5555555555557</v>
      </c>
      <c r="F51" s="276">
        <f t="shared" si="13"/>
        <v>5555.5555555555557</v>
      </c>
      <c r="G51" s="276">
        <f t="shared" si="13"/>
        <v>5555.5555555555557</v>
      </c>
      <c r="H51" s="276">
        <f t="shared" si="13"/>
        <v>5555.5555555555557</v>
      </c>
      <c r="I51" s="276">
        <f t="shared" si="13"/>
        <v>5555.5555555555557</v>
      </c>
      <c r="J51" s="276">
        <f t="shared" si="13"/>
        <v>5555.5555555555557</v>
      </c>
      <c r="K51" s="278">
        <f t="shared" si="9"/>
        <v>80000.000000000015</v>
      </c>
      <c r="L51" s="238"/>
      <c r="M51" s="238"/>
      <c r="N51" s="238"/>
      <c r="O51" s="238"/>
      <c r="P51" s="238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>
      <c r="A52" s="284" t="s">
        <v>661</v>
      </c>
      <c r="B52" s="276">
        <f>B44+B51</f>
        <v>1381847.4058769513</v>
      </c>
      <c r="C52" s="276">
        <f t="shared" ref="C52:J52" si="14">C44+C51</f>
        <v>62397.405876951336</v>
      </c>
      <c r="D52" s="276">
        <f t="shared" si="14"/>
        <v>339147.40587695129</v>
      </c>
      <c r="E52" s="276">
        <f t="shared" si="14"/>
        <v>64959.905876951336</v>
      </c>
      <c r="F52" s="276">
        <f t="shared" si="14"/>
        <v>64959.905876951336</v>
      </c>
      <c r="G52" s="276">
        <f t="shared" si="14"/>
        <v>62397.405876951336</v>
      </c>
      <c r="H52" s="276">
        <f t="shared" si="14"/>
        <v>62397.405876951336</v>
      </c>
      <c r="I52" s="276">
        <f t="shared" si="14"/>
        <v>62397.405876951336</v>
      </c>
      <c r="J52" s="276">
        <f t="shared" si="14"/>
        <v>62397.405876951336</v>
      </c>
      <c r="K52" s="278">
        <f t="shared" si="9"/>
        <v>2162901.6528925616</v>
      </c>
      <c r="L52" s="238"/>
      <c r="M52" s="238"/>
      <c r="N52" s="238"/>
      <c r="O52" s="238"/>
      <c r="P52" s="238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>
      <c r="A53" s="284" t="s">
        <v>662</v>
      </c>
      <c r="B53" s="276">
        <f>B52*0.21</f>
        <v>290187.95523415977</v>
      </c>
      <c r="C53" s="276">
        <f t="shared" ref="C53:J53" si="15">C52*0.21</f>
        <v>13103.455234159779</v>
      </c>
      <c r="D53" s="276">
        <f t="shared" si="15"/>
        <v>71220.955234159774</v>
      </c>
      <c r="E53" s="276">
        <f t="shared" si="15"/>
        <v>13641.580234159779</v>
      </c>
      <c r="F53" s="276">
        <f t="shared" si="15"/>
        <v>13641.580234159779</v>
      </c>
      <c r="G53" s="276">
        <f t="shared" si="15"/>
        <v>13103.455234159779</v>
      </c>
      <c r="H53" s="276">
        <f t="shared" si="15"/>
        <v>13103.455234159779</v>
      </c>
      <c r="I53" s="276">
        <f t="shared" si="15"/>
        <v>13103.455234159779</v>
      </c>
      <c r="J53" s="276">
        <f t="shared" si="15"/>
        <v>13103.455234159779</v>
      </c>
      <c r="K53" s="278">
        <f t="shared" si="9"/>
        <v>454209.34710743796</v>
      </c>
      <c r="L53" s="238"/>
      <c r="M53" s="238"/>
      <c r="N53" s="238"/>
      <c r="O53" s="238"/>
      <c r="P53" s="238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>
      <c r="A54" s="275"/>
      <c r="B54" s="150"/>
      <c r="C54" s="150"/>
      <c r="D54" s="150"/>
      <c r="E54" s="150"/>
      <c r="F54" s="150"/>
      <c r="G54" s="150"/>
      <c r="H54" s="150"/>
      <c r="I54" s="150"/>
      <c r="J54" s="150"/>
      <c r="K54" s="278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>
      <c r="A55" s="285" t="s">
        <v>663</v>
      </c>
      <c r="B55" s="280">
        <f>B52+B53</f>
        <v>1672035.361111111</v>
      </c>
      <c r="C55" s="280">
        <f t="shared" ref="C55:J55" si="16">C52+C53</f>
        <v>75500.861111111109</v>
      </c>
      <c r="D55" s="280">
        <f t="shared" si="16"/>
        <v>410368.36111111107</v>
      </c>
      <c r="E55" s="280">
        <f t="shared" si="16"/>
        <v>78601.486111111109</v>
      </c>
      <c r="F55" s="280">
        <f t="shared" si="16"/>
        <v>78601.486111111109</v>
      </c>
      <c r="G55" s="280">
        <f t="shared" si="16"/>
        <v>75500.861111111109</v>
      </c>
      <c r="H55" s="280">
        <f t="shared" si="16"/>
        <v>75500.861111111109</v>
      </c>
      <c r="I55" s="280">
        <f t="shared" si="16"/>
        <v>75500.861111111109</v>
      </c>
      <c r="J55" s="280">
        <f t="shared" si="16"/>
        <v>75500.861111111109</v>
      </c>
      <c r="K55" s="281">
        <f t="shared" si="9"/>
        <v>2617110.9999999991</v>
      </c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>
      <selection activeCell="G15" sqref="G15"/>
    </sheetView>
  </sheetViews>
  <sheetFormatPr baseColWidth="10" defaultColWidth="14.42578125" defaultRowHeight="15" customHeight="1"/>
  <cols>
    <col min="1" max="1" width="45.42578125" customWidth="1"/>
    <col min="2" max="2" width="16.7109375" customWidth="1"/>
    <col min="3" max="3" width="17.28515625" bestFit="1" customWidth="1"/>
    <col min="4" max="7" width="14.85546875" customWidth="1"/>
    <col min="8" max="8" width="17.42578125" customWidth="1"/>
    <col min="9" max="9" width="11.42578125" customWidth="1"/>
    <col min="10" max="10" width="12.28515625" bestFit="1" customWidth="1"/>
    <col min="11" max="15" width="13.85546875" bestFit="1" customWidth="1"/>
    <col min="16" max="17" width="11.42578125" customWidth="1"/>
    <col min="18" max="18" width="10" customWidth="1"/>
  </cols>
  <sheetData>
    <row r="1" spans="1:26" ht="12.75" customHeight="1">
      <c r="A1" s="1" t="s">
        <v>0</v>
      </c>
      <c r="B1" s="2"/>
      <c r="C1" s="2"/>
      <c r="D1" s="2"/>
      <c r="E1" s="3">
        <f>InfoInicial!E1</f>
        <v>7</v>
      </c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4"/>
      <c r="T1" s="4"/>
      <c r="U1" s="4"/>
      <c r="V1" s="4"/>
      <c r="W1" s="4"/>
      <c r="X1" s="4"/>
      <c r="Y1" s="4"/>
      <c r="Z1" s="4"/>
    </row>
    <row r="2" spans="1:26" ht="12.75" customHeight="1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4"/>
      <c r="T2" s="4"/>
      <c r="U2" s="4"/>
      <c r="V2" s="4"/>
      <c r="W2" s="4"/>
      <c r="X2" s="4"/>
      <c r="Y2" s="4"/>
      <c r="Z2" s="4"/>
    </row>
    <row r="3" spans="1:26" ht="15.75" customHeight="1">
      <c r="A3" s="175" t="s">
        <v>163</v>
      </c>
      <c r="B3" s="176"/>
      <c r="C3" s="176"/>
      <c r="D3" s="425"/>
      <c r="E3" s="425"/>
      <c r="F3" s="425"/>
      <c r="G3" s="42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4"/>
      <c r="T3" s="4"/>
      <c r="U3" s="4"/>
      <c r="V3" s="4"/>
      <c r="W3" s="4"/>
      <c r="X3" s="4"/>
      <c r="Y3" s="4"/>
      <c r="Z3" s="4"/>
    </row>
    <row r="4" spans="1:26" ht="12.75" customHeight="1">
      <c r="A4" s="177" t="s">
        <v>164</v>
      </c>
      <c r="B4" s="156" t="s">
        <v>124</v>
      </c>
      <c r="C4" s="156" t="s">
        <v>8</v>
      </c>
      <c r="D4" s="432" t="s">
        <v>165</v>
      </c>
      <c r="E4" s="432" t="s">
        <v>166</v>
      </c>
      <c r="F4" s="432" t="s">
        <v>167</v>
      </c>
      <c r="G4" s="433" t="s">
        <v>168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4"/>
      <c r="T4" s="4"/>
      <c r="U4" s="4"/>
      <c r="V4" s="4"/>
      <c r="W4" s="4"/>
      <c r="X4" s="4"/>
      <c r="Y4" s="4"/>
      <c r="Z4" s="4"/>
    </row>
    <row r="5" spans="1:26" ht="12.75" customHeight="1">
      <c r="A5" s="80" t="s">
        <v>169</v>
      </c>
      <c r="B5" s="81"/>
      <c r="C5" s="81"/>
      <c r="D5" s="81"/>
      <c r="E5" s="81"/>
      <c r="F5" s="81"/>
      <c r="G5" s="8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4"/>
      <c r="T5" s="4"/>
      <c r="U5" s="4"/>
      <c r="V5" s="4"/>
      <c r="W5" s="4"/>
      <c r="X5" s="4"/>
      <c r="Y5" s="4"/>
      <c r="Z5" s="4"/>
    </row>
    <row r="6" spans="1:26" ht="12.75" customHeight="1">
      <c r="A6" s="80" t="s">
        <v>170</v>
      </c>
      <c r="B6" s="83">
        <f>0.7*C6</f>
        <v>471850.39999999997</v>
      </c>
      <c r="C6" s="83">
        <f>'E-Costos'!B94*0.02</f>
        <v>674072</v>
      </c>
      <c r="D6" s="83">
        <f>'E-Costos'!C94*0.02</f>
        <v>760497.66</v>
      </c>
      <c r="E6" s="83">
        <f>'E-Costos'!D94*0.02</f>
        <v>760497.66</v>
      </c>
      <c r="F6" s="83">
        <f>'E-Costos'!E94*0.02</f>
        <v>760497.66</v>
      </c>
      <c r="G6" s="83">
        <f>'E-Costos'!F94*0.02</f>
        <v>760497.66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4"/>
      <c r="T6" s="4"/>
      <c r="U6" s="4"/>
      <c r="V6" s="4"/>
      <c r="W6" s="4"/>
      <c r="X6" s="4"/>
      <c r="Y6" s="4"/>
      <c r="Z6" s="4"/>
    </row>
    <row r="7" spans="1:26" ht="12.75" customHeight="1">
      <c r="A7" s="80" t="s">
        <v>175</v>
      </c>
      <c r="B7" s="83"/>
      <c r="C7" s="83">
        <f>(30/365)*'E-Costos'!B94</f>
        <v>2770158.9041095888</v>
      </c>
      <c r="D7" s="83">
        <f>(30/365)*'E-Costos'!C94</f>
        <v>3125332.8493150682</v>
      </c>
      <c r="E7" s="83">
        <f>(30/365)*'E-Costos'!D94</f>
        <v>3125332.8493150682</v>
      </c>
      <c r="F7" s="83">
        <f>(30/365)*'E-Costos'!E94</f>
        <v>3125332.8493150682</v>
      </c>
      <c r="G7" s="83">
        <f>(30/365)*'E-Costos'!F94</f>
        <v>3125332.8493150682</v>
      </c>
      <c r="H7" s="658"/>
      <c r="I7" s="2"/>
      <c r="J7" s="2"/>
      <c r="K7" s="2"/>
      <c r="L7" s="2"/>
      <c r="M7" s="2"/>
      <c r="N7" s="2"/>
      <c r="O7" s="2"/>
      <c r="P7" s="2"/>
      <c r="Q7" s="2"/>
      <c r="R7" s="2"/>
      <c r="S7" s="4"/>
      <c r="T7" s="4"/>
      <c r="U7" s="4"/>
      <c r="V7" s="4"/>
      <c r="W7" s="4"/>
      <c r="X7" s="4"/>
      <c r="Y7" s="4"/>
      <c r="Z7" s="4"/>
    </row>
    <row r="8" spans="1:26" ht="12.75" customHeight="1">
      <c r="A8" s="84"/>
      <c r="B8" s="83"/>
      <c r="C8" s="83"/>
      <c r="D8" s="83"/>
      <c r="E8" s="83"/>
      <c r="F8" s="83"/>
      <c r="G8" s="85"/>
      <c r="H8" s="256"/>
      <c r="I8" s="2"/>
      <c r="J8" s="2"/>
      <c r="K8" s="2"/>
      <c r="L8" s="2"/>
      <c r="M8" s="2"/>
      <c r="N8" s="2"/>
      <c r="O8" s="2"/>
      <c r="P8" s="2"/>
      <c r="Q8" s="2"/>
      <c r="R8" s="2"/>
      <c r="S8" s="4"/>
      <c r="T8" s="4"/>
      <c r="U8" s="4"/>
      <c r="V8" s="4"/>
      <c r="W8" s="4"/>
      <c r="X8" s="4"/>
      <c r="Y8" s="4"/>
      <c r="Z8" s="4"/>
    </row>
    <row r="9" spans="1:26" ht="12.75" customHeight="1">
      <c r="A9" s="80" t="s">
        <v>179</v>
      </c>
      <c r="B9" s="83"/>
      <c r="C9" s="83"/>
      <c r="D9" s="83"/>
      <c r="E9" s="83"/>
      <c r="F9" s="83"/>
      <c r="G9" s="85"/>
      <c r="H9" s="588"/>
      <c r="I9" s="2"/>
      <c r="J9" s="2"/>
      <c r="K9" s="2"/>
      <c r="L9" s="2"/>
      <c r="M9" s="2"/>
      <c r="N9" s="2"/>
      <c r="O9" s="2"/>
      <c r="P9" s="2"/>
      <c r="Q9" s="2"/>
      <c r="R9" s="2"/>
      <c r="S9" s="4"/>
      <c r="T9" s="4"/>
      <c r="U9" s="4"/>
      <c r="V9" s="4"/>
      <c r="W9" s="4"/>
      <c r="X9" s="4"/>
      <c r="Y9" s="4"/>
      <c r="Z9" s="4"/>
    </row>
    <row r="10" spans="1:26" ht="12.75" customHeight="1">
      <c r="A10" s="84" t="s">
        <v>180</v>
      </c>
      <c r="B10" s="88">
        <f>B47</f>
        <v>205380</v>
      </c>
      <c r="C10" s="88">
        <f t="shared" ref="C10:G10" si="0">C47</f>
        <v>205380</v>
      </c>
      <c r="D10" s="88">
        <f t="shared" si="0"/>
        <v>231712.65</v>
      </c>
      <c r="E10" s="88">
        <f t="shared" si="0"/>
        <v>231712.65</v>
      </c>
      <c r="F10" s="88">
        <f t="shared" si="0"/>
        <v>231712.65</v>
      </c>
      <c r="G10" s="88">
        <f t="shared" si="0"/>
        <v>231712.65</v>
      </c>
      <c r="H10" s="256"/>
      <c r="I10" s="2"/>
      <c r="J10" s="83"/>
      <c r="P10" s="2"/>
      <c r="Q10" s="2"/>
      <c r="R10" s="2"/>
      <c r="S10" s="4"/>
      <c r="T10" s="4"/>
      <c r="U10" s="4"/>
      <c r="V10" s="4"/>
      <c r="W10" s="4"/>
      <c r="X10" s="4"/>
      <c r="Y10" s="4"/>
      <c r="Z10" s="4"/>
    </row>
    <row r="11" spans="1:26" ht="12.75" customHeight="1">
      <c r="A11" s="84" t="s">
        <v>183</v>
      </c>
      <c r="B11" s="262">
        <v>0</v>
      </c>
      <c r="C11" s="262">
        <f t="shared" ref="C11:G11" si="1">C49</f>
        <v>20222.16</v>
      </c>
      <c r="D11" s="262">
        <f t="shared" si="1"/>
        <v>20222.16</v>
      </c>
      <c r="E11" s="262">
        <f t="shared" si="1"/>
        <v>20222.16</v>
      </c>
      <c r="F11" s="262">
        <f t="shared" si="1"/>
        <v>20222.16</v>
      </c>
      <c r="G11" s="262">
        <f t="shared" si="1"/>
        <v>20222.16</v>
      </c>
      <c r="H11" s="256"/>
      <c r="I11" s="2"/>
      <c r="J11" s="2"/>
      <c r="P11" s="2"/>
      <c r="Q11" s="2"/>
      <c r="R11" s="2"/>
      <c r="S11" s="4"/>
      <c r="T11" s="4"/>
      <c r="U11" s="4"/>
      <c r="V11" s="4"/>
      <c r="W11" s="4"/>
      <c r="X11" s="4"/>
      <c r="Y11" s="4"/>
      <c r="Z11" s="4"/>
    </row>
    <row r="12" spans="1:26" ht="12.75" customHeight="1">
      <c r="A12" s="86" t="s">
        <v>185</v>
      </c>
      <c r="B12" s="262"/>
      <c r="C12" s="262">
        <f>'E-Costos'!B35</f>
        <v>65598.809539304333</v>
      </c>
      <c r="D12" s="262">
        <f>'E-Costos'!C35</f>
        <v>69478.486639304349</v>
      </c>
      <c r="E12" s="262">
        <f>'E-Costos'!D35</f>
        <v>69478.486639304349</v>
      </c>
      <c r="F12" s="262">
        <f>'E-Costos'!E35</f>
        <v>69478.486639304349</v>
      </c>
      <c r="G12" s="262">
        <f>'E-Costos'!F35</f>
        <v>69478.486639304349</v>
      </c>
      <c r="H12" s="256"/>
      <c r="I12" s="2"/>
      <c r="J12" s="2"/>
      <c r="K12" s="2"/>
      <c r="L12" s="2"/>
      <c r="M12" s="2"/>
      <c r="N12" s="2"/>
      <c r="O12" s="2"/>
      <c r="P12" s="2"/>
      <c r="Q12" s="2"/>
      <c r="R12" s="2"/>
      <c r="S12" s="4"/>
      <c r="T12" s="4"/>
      <c r="U12" s="4"/>
      <c r="V12" s="4"/>
      <c r="W12" s="4"/>
      <c r="X12" s="4"/>
      <c r="Y12" s="4"/>
      <c r="Z12" s="4"/>
    </row>
    <row r="13" spans="1:26" ht="12.75" customHeight="1">
      <c r="A13" s="86" t="s">
        <v>186</v>
      </c>
      <c r="B13" s="262"/>
      <c r="C13" s="382">
        <f>D46</f>
        <v>3861877.5</v>
      </c>
      <c r="D13" s="382">
        <f t="shared" ref="D13" si="2">D46</f>
        <v>3861877.5</v>
      </c>
      <c r="E13" s="382">
        <f>D46</f>
        <v>3861877.5</v>
      </c>
      <c r="F13" s="382">
        <f>D46</f>
        <v>3861877.5</v>
      </c>
      <c r="G13" s="382">
        <f>D46</f>
        <v>3861877.5</v>
      </c>
      <c r="H13" s="256"/>
      <c r="I13" s="2"/>
      <c r="J13" s="2"/>
      <c r="P13" s="2"/>
      <c r="Q13" s="2"/>
      <c r="R13" s="2"/>
      <c r="S13" s="4"/>
      <c r="T13" s="4"/>
      <c r="U13" s="4"/>
      <c r="V13" s="4"/>
      <c r="W13" s="4"/>
      <c r="X13" s="4"/>
      <c r="Y13" s="4"/>
      <c r="Z13" s="4"/>
    </row>
    <row r="14" spans="1:26" ht="12.75" customHeight="1">
      <c r="A14" s="86"/>
      <c r="B14" s="262"/>
      <c r="C14" s="262"/>
      <c r="D14" s="262"/>
      <c r="E14" s="262"/>
      <c r="F14" s="262"/>
      <c r="G14" s="383"/>
      <c r="H14" s="256"/>
      <c r="I14" s="2"/>
      <c r="J14" s="2"/>
      <c r="P14" s="2"/>
      <c r="Q14" s="2"/>
      <c r="R14" s="2"/>
      <c r="S14" s="4"/>
      <c r="T14" s="4"/>
      <c r="U14" s="4"/>
      <c r="V14" s="4"/>
      <c r="W14" s="4"/>
      <c r="X14" s="4"/>
      <c r="Y14" s="4"/>
      <c r="Z14" s="4"/>
    </row>
    <row r="15" spans="1:26" ht="12.75" customHeight="1">
      <c r="A15" s="87" t="s">
        <v>188</v>
      </c>
      <c r="B15" s="262">
        <f>SUM(B6:B14)</f>
        <v>677230.39999999991</v>
      </c>
      <c r="C15" s="386">
        <f t="shared" ref="C15:G15" si="3">SUM(C6:C14)</f>
        <v>7597309.3736488931</v>
      </c>
      <c r="D15" s="386">
        <f t="shared" si="3"/>
        <v>8069121.3059543725</v>
      </c>
      <c r="E15" s="386">
        <f t="shared" si="3"/>
        <v>8069121.3059543725</v>
      </c>
      <c r="F15" s="386">
        <f t="shared" si="3"/>
        <v>8069121.3059543725</v>
      </c>
      <c r="G15" s="386">
        <f t="shared" si="3"/>
        <v>8069121.3059543725</v>
      </c>
      <c r="H15" s="256"/>
      <c r="I15" s="2"/>
      <c r="J15" s="2"/>
      <c r="K15" s="2"/>
      <c r="L15" s="2"/>
      <c r="M15" s="2"/>
      <c r="N15" s="2"/>
      <c r="O15" s="2"/>
      <c r="P15" s="2"/>
      <c r="Q15" s="2"/>
      <c r="R15" s="2"/>
      <c r="S15" s="4"/>
      <c r="T15" s="4"/>
      <c r="U15" s="4"/>
      <c r="V15" s="4"/>
      <c r="W15" s="4"/>
      <c r="X15" s="4"/>
      <c r="Y15" s="4"/>
      <c r="Z15" s="4"/>
    </row>
    <row r="16" spans="1:26" ht="12.75" customHeight="1">
      <c r="A16" s="87" t="s">
        <v>189</v>
      </c>
      <c r="B16" s="385"/>
      <c r="C16" s="388"/>
      <c r="D16" s="388"/>
      <c r="E16" s="388"/>
      <c r="F16" s="388"/>
      <c r="G16" s="388"/>
      <c r="H16" s="256"/>
      <c r="I16" s="2"/>
      <c r="J16" s="2"/>
      <c r="K16" s="2"/>
      <c r="L16" s="2"/>
      <c r="M16" s="2"/>
      <c r="N16" s="2"/>
      <c r="O16" s="2"/>
      <c r="P16" s="2"/>
      <c r="Q16" s="2"/>
      <c r="R16" s="2"/>
      <c r="S16" s="4"/>
      <c r="T16" s="4"/>
      <c r="U16" s="4"/>
      <c r="V16" s="4"/>
      <c r="W16" s="4"/>
      <c r="X16" s="4"/>
      <c r="Y16" s="4"/>
      <c r="Z16" s="4"/>
    </row>
    <row r="17" spans="1:26" ht="12.75" customHeight="1">
      <c r="A17" s="86" t="s">
        <v>190</v>
      </c>
      <c r="B17" s="385"/>
      <c r="C17" s="389">
        <f>'E-Costos'!B28</f>
        <v>1344.2224031772398</v>
      </c>
      <c r="D17" s="389">
        <f>'E-Costos'!C28</f>
        <v>1344.2224031772398</v>
      </c>
      <c r="E17" s="389">
        <f>'E-Costos'!D28</f>
        <v>1344.2224031772398</v>
      </c>
      <c r="F17" s="389">
        <f>'E-Costos'!E28</f>
        <v>1344.2224031772398</v>
      </c>
      <c r="G17" s="389">
        <f>'E-Costos'!F28</f>
        <v>1344.2224031772398</v>
      </c>
      <c r="H17" s="256"/>
      <c r="I17" s="2"/>
      <c r="J17" s="2"/>
      <c r="K17" s="2"/>
      <c r="L17" s="2"/>
      <c r="M17" s="2"/>
      <c r="N17" s="2"/>
      <c r="O17" s="2"/>
      <c r="P17" s="2"/>
      <c r="Q17" s="2"/>
      <c r="R17" s="2"/>
      <c r="S17" s="4"/>
      <c r="T17" s="4"/>
      <c r="U17" s="4"/>
      <c r="V17" s="4"/>
      <c r="W17" s="4"/>
      <c r="X17" s="4"/>
      <c r="Y17" s="4"/>
      <c r="Z17" s="4"/>
    </row>
    <row r="18" spans="1:26" ht="12.75" customHeight="1">
      <c r="A18" s="86" t="s">
        <v>193</v>
      </c>
      <c r="B18" s="262"/>
      <c r="C18" s="387">
        <f>('E-Costos'!B9-'E-Costos'!B28)/'E-Costos'!B94*C13</f>
        <v>17966.650672571159</v>
      </c>
      <c r="D18" s="387">
        <f>('E-Costos'!C9-'E-Costos'!C28)/'E-Costos'!C94*D13</f>
        <v>15924.856563215968</v>
      </c>
      <c r="E18" s="387">
        <f>('E-Costos'!D9-'E-Costos'!D28)/'E-Costos'!D94*E13</f>
        <v>15924.856563215968</v>
      </c>
      <c r="F18" s="387">
        <f>('E-Costos'!E9-'E-Costos'!E28)/'E-Costos'!E94*F13</f>
        <v>15924.856563215968</v>
      </c>
      <c r="G18" s="387">
        <f>('E-Costos'!F9-'E-Costos'!F28)/'E-Costos'!F94*G13</f>
        <v>15924.856563215968</v>
      </c>
      <c r="H18" s="256"/>
      <c r="I18" s="2"/>
      <c r="J18" s="2"/>
      <c r="K18" s="2"/>
      <c r="L18" s="2"/>
      <c r="M18" s="2"/>
      <c r="N18" s="2"/>
      <c r="O18" s="2"/>
      <c r="P18" s="2"/>
      <c r="Q18" s="2"/>
      <c r="R18" s="2"/>
      <c r="S18" s="4"/>
      <c r="T18" s="4"/>
      <c r="U18" s="4"/>
      <c r="V18" s="4"/>
      <c r="W18" s="4"/>
      <c r="X18" s="4"/>
      <c r="Y18" s="4"/>
      <c r="Z18" s="4"/>
    </row>
    <row r="19" spans="1:26" ht="12.75" customHeight="1">
      <c r="A19" s="86" t="s">
        <v>195</v>
      </c>
      <c r="B19" s="262"/>
      <c r="C19" s="262">
        <f>C7*'E-Costos'!B127</f>
        <v>1132980.832648678</v>
      </c>
      <c r="D19" s="262">
        <f>D7*'E-Costos'!C127</f>
        <v>1316751.8251440567</v>
      </c>
      <c r="E19" s="262">
        <f>E7*'E-Costos'!D127</f>
        <v>1316561.1363572788</v>
      </c>
      <c r="F19" s="262">
        <f>F7*'E-Costos'!E127</f>
        <v>1316561.1363572788</v>
      </c>
      <c r="G19" s="262">
        <f>G7*'E-Costos'!F127</f>
        <v>1316561.1363572788</v>
      </c>
      <c r="H19" s="256"/>
      <c r="I19" s="2"/>
      <c r="J19" s="2"/>
      <c r="K19" s="2"/>
      <c r="L19" s="2"/>
      <c r="M19" s="2"/>
      <c r="N19" s="2"/>
      <c r="O19" s="2"/>
      <c r="P19" s="2"/>
      <c r="Q19" s="2"/>
      <c r="R19" s="2"/>
      <c r="S19" s="4"/>
      <c r="T19" s="4"/>
      <c r="U19" s="4"/>
      <c r="V19" s="4"/>
      <c r="W19" s="4"/>
      <c r="X19" s="4"/>
      <c r="Y19" s="4"/>
      <c r="Z19" s="4"/>
    </row>
    <row r="20" spans="1:26" ht="12.75" customHeight="1">
      <c r="A20" s="86" t="s">
        <v>197</v>
      </c>
      <c r="B20" s="262"/>
      <c r="C20" s="375">
        <f>('E-Inv AF y Am'!D57-'E-InvAT'!C17-'E-InvAT'!C18)*30/365</f>
        <v>16981.550017863985</v>
      </c>
      <c r="D20" s="262">
        <f>('E-Inv AF y Am'!$D$57-'E-InvAT'!D17-'E-InvAT'!D18+C17+C18)*30/365</f>
        <v>18736.563759105375</v>
      </c>
      <c r="E20" s="262">
        <f>('E-Inv AF y Am'!$D$57-'E-InvAT'!E17-'E-InvAT'!E18+D17+D18)*30/365</f>
        <v>18568.745065185769</v>
      </c>
      <c r="F20" s="262">
        <f>('E-Inv AF y Am'!$E$57-'E-InvAT'!F17-'E-InvAT'!F18+E17+E18)*30/365</f>
        <v>18568.745065185769</v>
      </c>
      <c r="G20" s="262">
        <f>('E-Inv AF y Am'!$E$57-'E-InvAT'!G17-'E-InvAT'!G18+F17+F18)*30/365</f>
        <v>18568.745065185769</v>
      </c>
      <c r="H20" s="256"/>
      <c r="I20" s="2"/>
      <c r="J20" s="2"/>
      <c r="K20" s="2"/>
      <c r="L20" s="2"/>
      <c r="M20" s="2"/>
      <c r="N20" s="2"/>
      <c r="O20" s="2"/>
      <c r="P20" s="2"/>
      <c r="Q20" s="2"/>
      <c r="R20" s="2"/>
      <c r="S20" s="4"/>
      <c r="T20" s="4"/>
      <c r="U20" s="4"/>
      <c r="V20" s="4"/>
      <c r="W20" s="4"/>
      <c r="X20" s="4"/>
      <c r="Y20" s="4"/>
      <c r="Z20" s="4"/>
    </row>
    <row r="21" spans="1:26" ht="12.75" customHeight="1">
      <c r="A21" s="86"/>
      <c r="B21" s="262"/>
      <c r="C21" s="262"/>
      <c r="D21" s="262"/>
      <c r="E21" s="262"/>
      <c r="F21" s="262"/>
      <c r="G21" s="383"/>
      <c r="H21" s="256"/>
      <c r="I21" s="2"/>
      <c r="J21" s="2"/>
      <c r="K21" s="2"/>
      <c r="L21" s="2"/>
      <c r="M21" s="2"/>
      <c r="N21" s="2"/>
      <c r="O21" s="2"/>
      <c r="P21" s="2"/>
      <c r="Q21" s="2"/>
      <c r="R21" s="2"/>
      <c r="S21" s="4"/>
      <c r="T21" s="4"/>
      <c r="U21" s="4"/>
      <c r="V21" s="4"/>
      <c r="W21" s="4"/>
      <c r="X21" s="4"/>
      <c r="Y21" s="4"/>
      <c r="Z21" s="4"/>
    </row>
    <row r="22" spans="1:26" ht="12.75" customHeight="1">
      <c r="A22" s="87" t="s">
        <v>199</v>
      </c>
      <c r="B22" s="262">
        <f t="shared" ref="B22:G22" si="4">B15-SUM(B17:B20)</f>
        <v>677230.39999999991</v>
      </c>
      <c r="C22" s="262">
        <f>C15-SUM(C17:C20)</f>
        <v>6428036.117906603</v>
      </c>
      <c r="D22" s="262">
        <f t="shared" si="4"/>
        <v>6716363.8380848169</v>
      </c>
      <c r="E22" s="262">
        <f t="shared" si="4"/>
        <v>6716722.3455655146</v>
      </c>
      <c r="F22" s="262">
        <f t="shared" si="4"/>
        <v>6716722.3455655146</v>
      </c>
      <c r="G22" s="262">
        <f t="shared" si="4"/>
        <v>6716722.3455655146</v>
      </c>
      <c r="H22" s="256"/>
      <c r="I22" s="2"/>
      <c r="J22" s="2"/>
      <c r="K22" s="2"/>
      <c r="L22" s="2"/>
      <c r="M22" s="2"/>
      <c r="N22" s="2"/>
      <c r="O22" s="2"/>
      <c r="P22" s="2"/>
      <c r="Q22" s="2"/>
      <c r="R22" s="2"/>
      <c r="S22" s="4"/>
      <c r="T22" s="4"/>
      <c r="U22" s="4"/>
      <c r="V22" s="4"/>
      <c r="W22" s="4"/>
      <c r="X22" s="4"/>
      <c r="Y22" s="4"/>
      <c r="Z22" s="4"/>
    </row>
    <row r="23" spans="1:26" ht="12.75" customHeight="1">
      <c r="A23" s="86"/>
      <c r="B23" s="262"/>
      <c r="C23" s="262"/>
      <c r="D23" s="262"/>
      <c r="E23" s="262"/>
      <c r="F23" s="262"/>
      <c r="G23" s="383"/>
      <c r="H23" s="256"/>
      <c r="I23" s="2"/>
      <c r="J23" s="2"/>
      <c r="K23" s="2"/>
      <c r="L23" s="2"/>
      <c r="M23" s="2"/>
      <c r="N23" s="2"/>
      <c r="O23" s="2"/>
      <c r="P23" s="2"/>
      <c r="Q23" s="2"/>
      <c r="R23" s="2"/>
      <c r="S23" s="4"/>
      <c r="T23" s="4"/>
      <c r="U23" s="4"/>
      <c r="V23" s="4"/>
      <c r="W23" s="4"/>
      <c r="X23" s="4"/>
      <c r="Y23" s="4"/>
      <c r="Z23" s="4"/>
    </row>
    <row r="24" spans="1:26" ht="12.75" customHeight="1">
      <c r="A24" s="87" t="s">
        <v>200</v>
      </c>
      <c r="B24" s="262">
        <f>B15</f>
        <v>677230.39999999991</v>
      </c>
      <c r="C24" s="262">
        <f t="shared" ref="C24:G24" si="5">C15-B15</f>
        <v>6920078.9736488927</v>
      </c>
      <c r="D24" s="262">
        <f t="shared" si="5"/>
        <v>471811.93230547942</v>
      </c>
      <c r="E24" s="262">
        <f t="shared" si="5"/>
        <v>0</v>
      </c>
      <c r="F24" s="262">
        <f t="shared" si="5"/>
        <v>0</v>
      </c>
      <c r="G24" s="262">
        <f t="shared" si="5"/>
        <v>0</v>
      </c>
      <c r="H24" s="256"/>
      <c r="I24" s="2"/>
      <c r="J24" s="2"/>
      <c r="K24" s="2"/>
      <c r="L24" s="2"/>
      <c r="M24" s="2"/>
      <c r="N24" s="2"/>
      <c r="O24" s="2"/>
      <c r="P24" s="2"/>
      <c r="Q24" s="2"/>
      <c r="R24" s="2"/>
      <c r="S24" s="4"/>
      <c r="T24" s="4"/>
      <c r="U24" s="4"/>
      <c r="V24" s="4"/>
      <c r="W24" s="4"/>
      <c r="X24" s="4"/>
      <c r="Y24" s="4"/>
      <c r="Z24" s="4"/>
    </row>
    <row r="25" spans="1:26" ht="12.75" customHeight="1">
      <c r="A25" s="589" t="s">
        <v>202</v>
      </c>
      <c r="B25" s="262">
        <f>B22</f>
        <v>677230.39999999991</v>
      </c>
      <c r="C25" s="262">
        <f t="shared" ref="C25:G25" si="6">C22-B22</f>
        <v>5750805.7179066036</v>
      </c>
      <c r="D25" s="262">
        <f t="shared" si="6"/>
        <v>288327.7201782139</v>
      </c>
      <c r="E25" s="262">
        <f t="shared" si="6"/>
        <v>358.50748069770634</v>
      </c>
      <c r="F25" s="262">
        <f t="shared" si="6"/>
        <v>0</v>
      </c>
      <c r="G25" s="262">
        <f t="shared" si="6"/>
        <v>0</v>
      </c>
      <c r="H25" s="256"/>
      <c r="I25" s="2"/>
      <c r="J25" s="2"/>
      <c r="K25" s="2"/>
      <c r="L25" s="2"/>
      <c r="M25" s="2"/>
      <c r="N25" s="2"/>
      <c r="O25" s="2"/>
      <c r="P25" s="2"/>
      <c r="Q25" s="2"/>
      <c r="R25" s="2"/>
      <c r="S25" s="4"/>
      <c r="T25" s="4"/>
      <c r="U25" s="4"/>
      <c r="V25" s="4"/>
      <c r="W25" s="4"/>
      <c r="X25" s="4"/>
      <c r="Y25" s="4"/>
      <c r="Z25" s="4"/>
    </row>
    <row r="26" spans="1:26" ht="12.75" customHeight="1">
      <c r="A26" s="590"/>
      <c r="B26" s="262"/>
      <c r="C26" s="262"/>
      <c r="D26" s="262"/>
      <c r="E26" s="262"/>
      <c r="F26" s="262"/>
      <c r="G26" s="383"/>
      <c r="H26" s="256"/>
      <c r="I26" s="2"/>
      <c r="J26" s="2"/>
      <c r="K26" s="2"/>
      <c r="L26" s="2"/>
      <c r="M26" s="2"/>
      <c r="N26" s="2"/>
      <c r="O26" s="2"/>
      <c r="P26" s="2"/>
      <c r="Q26" s="2"/>
      <c r="R26" s="2"/>
      <c r="S26" s="4"/>
      <c r="T26" s="4"/>
      <c r="U26" s="4"/>
      <c r="V26" s="4"/>
      <c r="W26" s="4"/>
      <c r="X26" s="4"/>
      <c r="Y26" s="4"/>
      <c r="Z26" s="4"/>
    </row>
    <row r="27" spans="1:26" ht="12.75" customHeight="1">
      <c r="A27" s="589" t="s">
        <v>203</v>
      </c>
      <c r="B27" s="262"/>
      <c r="C27" s="262"/>
      <c r="D27" s="262"/>
      <c r="E27" s="262"/>
      <c r="F27" s="262"/>
      <c r="G27" s="383"/>
      <c r="H27" s="384"/>
      <c r="I27" s="2"/>
      <c r="J27" s="2"/>
      <c r="K27" s="2"/>
      <c r="L27" s="2"/>
      <c r="M27" s="2"/>
      <c r="N27" s="2"/>
      <c r="O27" s="2"/>
      <c r="P27" s="2"/>
      <c r="Q27" s="2"/>
      <c r="R27" s="2"/>
      <c r="S27" s="4"/>
      <c r="T27" s="4"/>
      <c r="U27" s="4"/>
      <c r="V27" s="4"/>
      <c r="W27" s="4"/>
      <c r="X27" s="4"/>
      <c r="Y27" s="4"/>
      <c r="Z27" s="4"/>
    </row>
    <row r="28" spans="1:26" ht="12.75" customHeight="1">
      <c r="A28" s="590" t="s">
        <v>204</v>
      </c>
      <c r="B28" s="262">
        <v>0</v>
      </c>
      <c r="C28" s="262">
        <v>0</v>
      </c>
      <c r="D28" s="262">
        <v>0</v>
      </c>
      <c r="E28" s="262">
        <v>0</v>
      </c>
      <c r="F28" s="262">
        <v>0</v>
      </c>
      <c r="G28" s="262">
        <v>0</v>
      </c>
      <c r="H28" s="256"/>
      <c r="I28" s="2"/>
      <c r="J28" s="2"/>
      <c r="K28" s="2"/>
      <c r="L28" s="2"/>
      <c r="M28" s="2"/>
      <c r="N28" s="2"/>
      <c r="O28" s="2"/>
      <c r="P28" s="2"/>
      <c r="Q28" s="2"/>
      <c r="R28" s="2"/>
      <c r="S28" s="4"/>
      <c r="T28" s="4"/>
      <c r="U28" s="4"/>
      <c r="V28" s="4"/>
      <c r="W28" s="4"/>
      <c r="X28" s="4"/>
      <c r="Y28" s="4"/>
      <c r="Z28" s="4"/>
    </row>
    <row r="29" spans="1:26" ht="12.75" customHeight="1">
      <c r="A29" s="590" t="s">
        <v>205</v>
      </c>
      <c r="B29" s="262"/>
      <c r="C29" s="262"/>
      <c r="D29" s="262"/>
      <c r="E29" s="262"/>
      <c r="F29" s="262"/>
      <c r="G29" s="262"/>
      <c r="H29" s="256"/>
      <c r="I29" s="2"/>
      <c r="J29" s="2"/>
      <c r="K29" s="2"/>
      <c r="L29" s="2"/>
      <c r="M29" s="2"/>
      <c r="N29" s="2"/>
      <c r="O29" s="2"/>
      <c r="P29" s="2"/>
      <c r="Q29" s="2"/>
      <c r="R29" s="2"/>
      <c r="S29" s="4"/>
      <c r="T29" s="4"/>
      <c r="U29" s="4"/>
      <c r="V29" s="4"/>
      <c r="W29" s="4"/>
      <c r="X29" s="4"/>
      <c r="Y29" s="4"/>
      <c r="Z29" s="4"/>
    </row>
    <row r="30" spans="1:26" ht="12.75" customHeight="1">
      <c r="A30" s="590" t="s">
        <v>206</v>
      </c>
      <c r="B30" s="262">
        <f>(B10)*0.21</f>
        <v>43129.799999999996</v>
      </c>
      <c r="C30" s="262">
        <f>(C10-B10)*0.21</f>
        <v>0</v>
      </c>
      <c r="D30" s="262">
        <f t="shared" ref="D30:G30" si="7">(D10-C10)*0.21</f>
        <v>5529.856499999999</v>
      </c>
      <c r="E30" s="262">
        <f t="shared" si="7"/>
        <v>0</v>
      </c>
      <c r="F30" s="262">
        <f t="shared" si="7"/>
        <v>0</v>
      </c>
      <c r="G30" s="262">
        <f t="shared" si="7"/>
        <v>0</v>
      </c>
      <c r="H30" s="372"/>
      <c r="I30" s="2"/>
      <c r="J30" s="2"/>
      <c r="K30" s="2"/>
      <c r="L30" s="2"/>
      <c r="M30" s="2"/>
      <c r="N30" s="2"/>
      <c r="O30" s="2"/>
      <c r="P30" s="2"/>
      <c r="Q30" s="2"/>
      <c r="R30" s="2"/>
      <c r="S30" s="4"/>
      <c r="T30" s="4"/>
      <c r="U30" s="4"/>
      <c r="V30" s="4"/>
      <c r="W30" s="4"/>
      <c r="X30" s="4"/>
      <c r="Y30" s="4"/>
      <c r="Z30" s="4"/>
    </row>
    <row r="31" spans="1:26" ht="12.75" customHeight="1">
      <c r="A31" s="590" t="s">
        <v>207</v>
      </c>
      <c r="B31" s="262">
        <f t="shared" ref="B31:B33" si="8">(B11)*0.21</f>
        <v>0</v>
      </c>
      <c r="C31" s="262">
        <f t="shared" ref="C31:G31" si="9">(C11-B11)*0.21</f>
        <v>4246.6535999999996</v>
      </c>
      <c r="D31" s="262">
        <f t="shared" si="9"/>
        <v>0</v>
      </c>
      <c r="E31" s="262">
        <f t="shared" si="9"/>
        <v>0</v>
      </c>
      <c r="F31" s="262">
        <f t="shared" si="9"/>
        <v>0</v>
      </c>
      <c r="G31" s="262">
        <f t="shared" si="9"/>
        <v>0</v>
      </c>
      <c r="H31" s="256"/>
      <c r="I31" s="2"/>
      <c r="J31" s="2"/>
      <c r="K31" s="2"/>
      <c r="L31" s="2"/>
      <c r="M31" s="2"/>
      <c r="N31" s="2"/>
      <c r="O31" s="2"/>
      <c r="P31" s="2"/>
      <c r="Q31" s="2"/>
      <c r="R31" s="2"/>
      <c r="S31" s="4"/>
      <c r="T31" s="4"/>
      <c r="U31" s="4"/>
      <c r="V31" s="4"/>
      <c r="W31" s="4"/>
      <c r="X31" s="4"/>
      <c r="Y31" s="4"/>
      <c r="Z31" s="4"/>
    </row>
    <row r="32" spans="1:26" ht="12.75" customHeight="1">
      <c r="A32" s="590" t="s">
        <v>208</v>
      </c>
      <c r="B32" s="262">
        <f t="shared" si="8"/>
        <v>0</v>
      </c>
      <c r="C32" s="262">
        <f>(C12-B12)*0.21-('E-Costos'!B25+'E-Costos'!B29)*0.21</f>
        <v>5751.2825032539104</v>
      </c>
      <c r="D32" s="262">
        <f>(D12-C12)*0.21-('E-Costos'!C25+'E-Costos'!C29-('E-Costos'!B25+'E-Costos'!B29))*0.21</f>
        <v>31.335853500002145</v>
      </c>
      <c r="E32" s="262">
        <f>(E12-D12)*0.21-('E-Costos'!D25+'E-Costos'!D29-('E-Costos'!C25+'E-Costos'!C29))*0.21</f>
        <v>0</v>
      </c>
      <c r="F32" s="262">
        <f>(F12-E12)*0.21-('E-Costos'!E25+'E-Costos'!E29-('E-Costos'!D25+'E-Costos'!D29))*0.21</f>
        <v>0</v>
      </c>
      <c r="G32" s="262">
        <f>(G12-F12)*0.21-('E-Costos'!F25+'E-Costos'!F29-('E-Costos'!E25+'E-Costos'!E29))*0.21</f>
        <v>0</v>
      </c>
      <c r="H32" s="372"/>
      <c r="I32" s="2"/>
      <c r="J32" s="2"/>
      <c r="K32" s="2"/>
      <c r="L32" s="2"/>
      <c r="M32" s="2"/>
      <c r="N32" s="2"/>
      <c r="O32" s="2"/>
      <c r="P32" s="2"/>
      <c r="Q32" s="2"/>
      <c r="R32" s="2"/>
      <c r="S32" s="4"/>
      <c r="T32" s="4"/>
      <c r="U32" s="4"/>
      <c r="V32" s="4"/>
      <c r="W32" s="4"/>
      <c r="X32" s="4"/>
      <c r="Y32" s="4"/>
      <c r="Z32" s="4"/>
    </row>
    <row r="33" spans="1:26" ht="12.75" customHeight="1">
      <c r="A33" s="590" t="s">
        <v>209</v>
      </c>
      <c r="B33" s="262">
        <f t="shared" si="8"/>
        <v>0</v>
      </c>
      <c r="C33" s="262">
        <f t="shared" ref="C33:G33" si="10">(C13-B13)*0.21</f>
        <v>810994.27500000002</v>
      </c>
      <c r="D33" s="262">
        <f t="shared" si="10"/>
        <v>0</v>
      </c>
      <c r="E33" s="262">
        <f t="shared" si="10"/>
        <v>0</v>
      </c>
      <c r="F33" s="262">
        <f t="shared" si="10"/>
        <v>0</v>
      </c>
      <c r="G33" s="262">
        <f t="shared" si="10"/>
        <v>0</v>
      </c>
      <c r="H33" s="256"/>
      <c r="I33" s="2"/>
      <c r="J33" s="2"/>
      <c r="K33" s="2"/>
      <c r="L33" s="2"/>
      <c r="M33" s="2"/>
      <c r="N33" s="2"/>
      <c r="O33" s="2"/>
      <c r="P33" s="2"/>
      <c r="Q33" s="2"/>
      <c r="R33" s="2"/>
      <c r="S33" s="4"/>
      <c r="T33" s="4"/>
      <c r="U33" s="4"/>
      <c r="V33" s="4"/>
      <c r="W33" s="4"/>
      <c r="X33" s="4"/>
      <c r="Y33" s="4"/>
      <c r="Z33" s="4"/>
    </row>
    <row r="34" spans="1:26" ht="12.75" customHeight="1">
      <c r="A34" s="589" t="s">
        <v>210</v>
      </c>
      <c r="B34" s="585">
        <f t="shared" ref="B34:G34" si="11">SUM(B28:B33)</f>
        <v>43129.799999999996</v>
      </c>
      <c r="C34" s="585">
        <f t="shared" si="11"/>
        <v>820992.21110325388</v>
      </c>
      <c r="D34" s="585">
        <f t="shared" si="11"/>
        <v>5561.1923535000014</v>
      </c>
      <c r="E34" s="585">
        <f t="shared" si="11"/>
        <v>0</v>
      </c>
      <c r="F34" s="585">
        <f t="shared" si="11"/>
        <v>0</v>
      </c>
      <c r="G34" s="585">
        <f t="shared" si="11"/>
        <v>0</v>
      </c>
      <c r="H34" s="256"/>
      <c r="I34" s="2"/>
      <c r="J34" s="2"/>
      <c r="K34" s="2"/>
      <c r="L34" s="2"/>
      <c r="M34" s="2"/>
      <c r="N34" s="2"/>
      <c r="O34" s="2"/>
      <c r="P34" s="2"/>
      <c r="Q34" s="2"/>
      <c r="R34" s="2"/>
      <c r="S34" s="4"/>
      <c r="T34" s="4"/>
      <c r="U34" s="4"/>
      <c r="V34" s="4"/>
      <c r="W34" s="4"/>
      <c r="X34" s="4"/>
      <c r="Y34" s="4"/>
      <c r="Z34" s="4"/>
    </row>
    <row r="35" spans="1:26" ht="12.75" customHeight="1">
      <c r="A35" s="590"/>
      <c r="B35" s="586"/>
      <c r="C35" s="586"/>
      <c r="D35" s="586"/>
      <c r="E35" s="586"/>
      <c r="F35" s="586"/>
      <c r="G35" s="587"/>
      <c r="H35" s="256"/>
      <c r="I35" s="2"/>
      <c r="J35" s="2"/>
      <c r="K35" s="2"/>
      <c r="L35" s="2"/>
      <c r="M35" s="2"/>
      <c r="N35" s="2"/>
      <c r="O35" s="2"/>
      <c r="P35" s="2"/>
      <c r="Q35" s="2"/>
      <c r="R35" s="2"/>
      <c r="S35" s="4"/>
      <c r="T35" s="4"/>
      <c r="U35" s="4"/>
      <c r="V35" s="4"/>
      <c r="W35" s="4"/>
      <c r="X35" s="4"/>
      <c r="Y35" s="4"/>
      <c r="Z35" s="4"/>
    </row>
    <row r="36" spans="1:26" ht="12.75" customHeight="1">
      <c r="A36" s="539" t="s">
        <v>213</v>
      </c>
      <c r="B36" s="478">
        <f t="shared" ref="B36:G36" si="12">B25+B34</f>
        <v>720360.2</v>
      </c>
      <c r="C36" s="478">
        <f t="shared" si="12"/>
        <v>6571797.9290098576</v>
      </c>
      <c r="D36" s="478">
        <f t="shared" si="12"/>
        <v>293888.9125317139</v>
      </c>
      <c r="E36" s="478">
        <f t="shared" si="12"/>
        <v>358.50748069770634</v>
      </c>
      <c r="F36" s="478">
        <f t="shared" si="12"/>
        <v>0</v>
      </c>
      <c r="G36" s="478">
        <f t="shared" si="12"/>
        <v>0</v>
      </c>
      <c r="H36" s="256"/>
      <c r="I36" s="2"/>
      <c r="J36" s="2"/>
      <c r="K36" s="2"/>
      <c r="L36" s="2"/>
      <c r="M36" s="2"/>
      <c r="N36" s="2"/>
      <c r="O36" s="2"/>
      <c r="P36" s="2"/>
      <c r="Q36" s="2"/>
      <c r="R36" s="2"/>
      <c r="S36" s="4"/>
      <c r="T36" s="4"/>
      <c r="U36" s="4"/>
      <c r="V36" s="4"/>
      <c r="W36" s="4"/>
      <c r="X36" s="4"/>
      <c r="Y36" s="4"/>
      <c r="Z36" s="4"/>
    </row>
    <row r="37" spans="1:26" ht="12.75" customHeight="1">
      <c r="A37" s="2"/>
      <c r="B37" s="2"/>
      <c r="C37" s="2"/>
      <c r="D37" s="256"/>
      <c r="E37" s="256"/>
      <c r="F37" s="256"/>
      <c r="G37" s="256"/>
      <c r="H37" s="256"/>
      <c r="I37" s="2"/>
      <c r="J37" s="2"/>
      <c r="K37" s="2"/>
      <c r="L37" s="2"/>
      <c r="M37" s="2"/>
      <c r="N37" s="2"/>
      <c r="O37" s="2"/>
      <c r="P37" s="2"/>
      <c r="Q37" s="2"/>
      <c r="R37" s="2"/>
      <c r="S37" s="4"/>
      <c r="T37" s="4"/>
      <c r="U37" s="4"/>
      <c r="V37" s="4"/>
      <c r="W37" s="4"/>
      <c r="X37" s="4"/>
      <c r="Y37" s="4"/>
      <c r="Z37" s="4"/>
    </row>
    <row r="38" spans="1:26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>
      <c r="A40" s="4"/>
      <c r="B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>
      <c r="A45" s="311" t="s">
        <v>674</v>
      </c>
      <c r="B45" s="312" t="s">
        <v>124</v>
      </c>
      <c r="C45" s="312" t="s">
        <v>8</v>
      </c>
      <c r="D45" s="444" t="s">
        <v>165</v>
      </c>
      <c r="E45" s="444" t="s">
        <v>166</v>
      </c>
      <c r="F45" s="444" t="s">
        <v>167</v>
      </c>
      <c r="G45" s="445" t="s">
        <v>168</v>
      </c>
      <c r="H45" s="446" t="s">
        <v>348</v>
      </c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>
      <c r="A46" s="303" t="s">
        <v>220</v>
      </c>
      <c r="B46" s="279"/>
      <c r="C46" s="276">
        <f>'E-Costos'!B6</f>
        <v>3423000</v>
      </c>
      <c r="D46" s="306">
        <f>'E-Costos'!C6</f>
        <v>3861877.5</v>
      </c>
      <c r="E46" s="276">
        <f>'E-Costos'!D6</f>
        <v>3861877.5</v>
      </c>
      <c r="F46" s="276">
        <f>'E-Costos'!E6</f>
        <v>3861877.5</v>
      </c>
      <c r="G46" s="276">
        <f>'E-Costos'!F6</f>
        <v>3861877.5</v>
      </c>
      <c r="H46" s="277">
        <f>SUM(C46:G46)</f>
        <v>18870510</v>
      </c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>
      <c r="A47" s="308" t="s">
        <v>676</v>
      </c>
      <c r="B47" s="306">
        <f>0.06*C46</f>
        <v>205380</v>
      </c>
      <c r="C47" s="306">
        <f>0.06*C46</f>
        <v>205380</v>
      </c>
      <c r="D47" s="306">
        <f t="shared" ref="D47:G47" si="13">0.06*D46</f>
        <v>231712.65</v>
      </c>
      <c r="E47" s="306">
        <f t="shared" si="13"/>
        <v>231712.65</v>
      </c>
      <c r="F47" s="306">
        <f t="shared" si="13"/>
        <v>231712.65</v>
      </c>
      <c r="G47" s="306">
        <f t="shared" si="13"/>
        <v>231712.65</v>
      </c>
      <c r="H47" s="277">
        <f>SUM(B47:G47)</f>
        <v>1337610.5999999999</v>
      </c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>
      <c r="A48" s="307" t="s">
        <v>221</v>
      </c>
      <c r="B48" s="150"/>
      <c r="C48" s="276">
        <f>'E-Costos'!B11</f>
        <v>337036</v>
      </c>
      <c r="D48" s="276">
        <f>'E-Costos'!C11</f>
        <v>337036</v>
      </c>
      <c r="E48" s="276">
        <f>'E-Costos'!D11</f>
        <v>337036</v>
      </c>
      <c r="F48" s="276">
        <f>'E-Costos'!E11</f>
        <v>337036</v>
      </c>
      <c r="G48" s="276">
        <f>'E-Costos'!F11</f>
        <v>337036</v>
      </c>
      <c r="H48" s="277">
        <f>SUM(B48:G48)</f>
        <v>1685180</v>
      </c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>
      <c r="A49" s="309" t="s">
        <v>677</v>
      </c>
      <c r="B49" s="276"/>
      <c r="C49" s="276">
        <f>0.06*C48</f>
        <v>20222.16</v>
      </c>
      <c r="D49" s="276">
        <f t="shared" ref="D49:G49" si="14">0.06*D48</f>
        <v>20222.16</v>
      </c>
      <c r="E49" s="276">
        <f t="shared" si="14"/>
        <v>20222.16</v>
      </c>
      <c r="F49" s="276">
        <f t="shared" si="14"/>
        <v>20222.16</v>
      </c>
      <c r="G49" s="276">
        <f t="shared" si="14"/>
        <v>20222.16</v>
      </c>
      <c r="H49" s="277">
        <f>SUM(B49:G49)</f>
        <v>101110.8</v>
      </c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>
      <c r="A50" s="307" t="s">
        <v>675</v>
      </c>
      <c r="B50" s="150"/>
      <c r="C50" s="150">
        <f>'E-Costos'!K100*'E-Costos'!K106+'E-Costos'!L100*'E-Costos'!L106</f>
        <v>33703600</v>
      </c>
      <c r="D50" s="150">
        <f>'E-Costos'!K101*'E-Costos'!K106+'E-Costos'!L101*'E-Costos'!L106</f>
        <v>38024883</v>
      </c>
      <c r="E50" s="150" t="e">
        <f>'E-Costos'!M100*'E-Costos'!M106+'E-Costos'!N100*'E-Costos'!N106</f>
        <v>#VALUE!</v>
      </c>
      <c r="F50" s="150" t="e">
        <f>'E-Costos'!M101*'E-Costos'!M106+'E-Costos'!N101*'E-Costos'!N106</f>
        <v>#VALUE!</v>
      </c>
      <c r="G50" s="150">
        <f>'E-Costos'!O100*'E-Costos'!O106+'E-Costos'!P100*'E-Costos'!P106</f>
        <v>0</v>
      </c>
      <c r="H50" s="289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>
      <c r="A51" s="310" t="s">
        <v>695</v>
      </c>
      <c r="B51" s="293"/>
      <c r="C51" s="293"/>
      <c r="D51" s="293"/>
      <c r="E51" s="293"/>
      <c r="F51" s="293"/>
      <c r="G51" s="293"/>
      <c r="H51" s="29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>
      <c r="A53" s="4"/>
      <c r="B53" s="4"/>
      <c r="C53" s="4"/>
      <c r="D53" s="376" t="s">
        <v>730</v>
      </c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>
      <c r="A54" s="4"/>
      <c r="B54" s="4"/>
      <c r="C54" s="4"/>
      <c r="D54" s="376" t="s">
        <v>731</v>
      </c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Z1000"/>
  <sheetViews>
    <sheetView workbookViewId="0">
      <selection activeCell="F23" sqref="F23"/>
    </sheetView>
  </sheetViews>
  <sheetFormatPr baseColWidth="10" defaultColWidth="14.42578125" defaultRowHeight="15" customHeight="1"/>
  <cols>
    <col min="1" max="1" width="8" customWidth="1"/>
    <col min="2" max="2" width="16.42578125" customWidth="1"/>
    <col min="3" max="3" width="16.7109375" customWidth="1"/>
    <col min="4" max="7" width="15.85546875" customWidth="1"/>
    <col min="8" max="8" width="16.28515625" customWidth="1"/>
    <col min="9" max="10" width="15.85546875" customWidth="1"/>
    <col min="11" max="11" width="16.85546875" customWidth="1"/>
    <col min="12" max="13" width="15.85546875" customWidth="1"/>
    <col min="14" max="14" width="17.42578125" customWidth="1"/>
    <col min="15" max="23" width="11.42578125" customWidth="1"/>
  </cols>
  <sheetData>
    <row r="1" spans="1:26" ht="12.75" customHeight="1">
      <c r="A1" s="1" t="s">
        <v>0</v>
      </c>
      <c r="B1" s="2"/>
      <c r="C1" s="2"/>
      <c r="D1" s="2"/>
      <c r="E1" s="2"/>
      <c r="F1" s="2"/>
      <c r="G1" s="2">
        <f>InfoInicial!E1</f>
        <v>7</v>
      </c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4"/>
      <c r="Y1" s="4"/>
      <c r="Z1" s="4"/>
    </row>
    <row r="2" spans="1:26" ht="15.75" customHeight="1">
      <c r="A2" s="424" t="s">
        <v>241</v>
      </c>
      <c r="B2" s="425"/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6"/>
      <c r="N2" s="2"/>
      <c r="O2" s="2"/>
      <c r="P2" s="2"/>
      <c r="Q2" s="2"/>
      <c r="R2" s="2"/>
      <c r="S2" s="2"/>
      <c r="T2" s="2"/>
      <c r="U2" s="2"/>
      <c r="V2" s="2"/>
      <c r="W2" s="2"/>
      <c r="X2" s="4"/>
      <c r="Y2" s="4"/>
      <c r="Z2" s="4"/>
    </row>
    <row r="3" spans="1:26" ht="38.25" customHeight="1">
      <c r="A3" s="430" t="s">
        <v>242</v>
      </c>
      <c r="B3" s="431" t="s">
        <v>243</v>
      </c>
      <c r="C3" s="431" t="s">
        <v>244</v>
      </c>
      <c r="D3" s="431" t="s">
        <v>245</v>
      </c>
      <c r="E3" s="431" t="s">
        <v>4</v>
      </c>
      <c r="F3" s="431" t="s">
        <v>246</v>
      </c>
      <c r="G3" s="447" t="s">
        <v>247</v>
      </c>
      <c r="H3" s="431" t="s">
        <v>248</v>
      </c>
      <c r="I3" s="431" t="s">
        <v>249</v>
      </c>
      <c r="J3" s="431" t="s">
        <v>250</v>
      </c>
      <c r="K3" s="448" t="s">
        <v>251</v>
      </c>
      <c r="L3" s="449" t="s">
        <v>252</v>
      </c>
      <c r="M3" s="450" t="s">
        <v>253</v>
      </c>
      <c r="N3" s="2"/>
      <c r="O3" s="2"/>
      <c r="P3" s="2"/>
      <c r="Q3" s="2"/>
      <c r="R3" s="2"/>
      <c r="S3" s="2"/>
      <c r="T3" s="2"/>
      <c r="U3" s="2"/>
      <c r="V3" s="2"/>
      <c r="W3" s="2"/>
      <c r="X3" s="4"/>
      <c r="Y3" s="4"/>
      <c r="Z3" s="4"/>
    </row>
    <row r="4" spans="1:26" ht="12.75" customHeight="1">
      <c r="A4" s="98">
        <v>0</v>
      </c>
      <c r="B4" s="472">
        <f>'E-Cal Inv.'!B8+'E-Cal Inv.'!C8</f>
        <v>2196583.1404958675</v>
      </c>
      <c r="C4" s="387">
        <f>'E-Cal Inv.'!$C$18</f>
        <v>677230.39999999991</v>
      </c>
      <c r="D4" s="387">
        <f>'E-IVA '!B$26</f>
        <v>504412.25950413215</v>
      </c>
      <c r="E4" s="387">
        <v>0</v>
      </c>
      <c r="F4" s="387">
        <v>0</v>
      </c>
      <c r="G4" s="387">
        <f t="shared" ref="G4:G9" si="0">SUM(B4:F4)</f>
        <v>3378225.7999999993</v>
      </c>
      <c r="H4" s="387">
        <v>0</v>
      </c>
      <c r="I4" s="387">
        <v>0</v>
      </c>
      <c r="J4" s="387">
        <f>'E-IVA '!B28</f>
        <v>0</v>
      </c>
      <c r="K4" s="262">
        <f t="shared" ref="K4:K9" si="1">SUM(H4:J4)</f>
        <v>0</v>
      </c>
      <c r="L4" s="474">
        <f t="shared" ref="L4:L9" si="2">K4-G4</f>
        <v>-3378225.7999999993</v>
      </c>
      <c r="M4" s="475">
        <f>L4</f>
        <v>-3378225.7999999993</v>
      </c>
      <c r="N4" s="2"/>
      <c r="O4" s="2"/>
      <c r="P4" s="2"/>
      <c r="Q4" s="2"/>
      <c r="R4" s="2"/>
      <c r="S4" s="2"/>
      <c r="T4" s="2"/>
      <c r="U4" s="2"/>
      <c r="V4" s="2"/>
      <c r="W4" s="2"/>
      <c r="X4" s="4"/>
      <c r="Y4" s="4"/>
      <c r="Z4" s="4"/>
    </row>
    <row r="5" spans="1:26" ht="12.75" customHeight="1">
      <c r="A5" s="100">
        <v>1</v>
      </c>
      <c r="B5" s="476">
        <f>'E-Cal Inv.'!D8</f>
        <v>118848.8509696</v>
      </c>
      <c r="C5" s="387">
        <f>'E-Cal Inv.'!$D$18</f>
        <v>5768772.3685791735</v>
      </c>
      <c r="D5" s="387">
        <f>'E-IVA '!C$26</f>
        <v>845950.46980686986</v>
      </c>
      <c r="E5" s="262">
        <f>'E-Costos'!B123</f>
        <v>1844093.6629510254</v>
      </c>
      <c r="F5" s="262">
        <f>'E-Costos'!B124</f>
        <v>7422476.9933778765</v>
      </c>
      <c r="G5" s="387">
        <f t="shared" si="0"/>
        <v>16000142.345684543</v>
      </c>
      <c r="H5" s="262">
        <f>'E-Costos'!B122</f>
        <v>23051170.786887817</v>
      </c>
      <c r="I5" s="262">
        <f>'E-Inv AF y Am'!D57</f>
        <v>225919.73162642686</v>
      </c>
      <c r="J5" s="262">
        <f>'E-IVA '!C28</f>
        <v>1350362.729311002</v>
      </c>
      <c r="K5" s="262">
        <f t="shared" si="1"/>
        <v>24627453.247825246</v>
      </c>
      <c r="L5" s="474">
        <f t="shared" si="2"/>
        <v>8627310.9021407031</v>
      </c>
      <c r="M5" s="475">
        <f t="shared" ref="M5:M9" si="3">M4+L5</f>
        <v>5249085.1021407042</v>
      </c>
      <c r="N5" s="2"/>
      <c r="O5" s="2"/>
      <c r="P5" s="2"/>
      <c r="Q5" s="2"/>
      <c r="R5" s="2"/>
      <c r="S5" s="2"/>
      <c r="T5" s="2"/>
      <c r="U5" s="2"/>
      <c r="V5" s="2"/>
      <c r="W5" s="2"/>
      <c r="X5" s="4"/>
      <c r="Y5" s="4"/>
      <c r="Z5" s="4"/>
    </row>
    <row r="6" spans="1:26" ht="12.75" customHeight="1">
      <c r="A6" s="100">
        <v>2</v>
      </c>
      <c r="B6" s="476">
        <f>'E-Cal Inv.'!$E$8</f>
        <v>0</v>
      </c>
      <c r="C6" s="387">
        <f>'E-Cal Inv.'!$E$18</f>
        <v>286285.92606885947</v>
      </c>
      <c r="D6" s="387">
        <f>'E-IVA '!D$26</f>
        <v>5561.1923535000014</v>
      </c>
      <c r="E6" s="262">
        <f>'E-Costos'!C123</f>
        <v>2143208.0988966813</v>
      </c>
      <c r="F6" s="262">
        <f>'E-Costos'!C124</f>
        <v>8626412.5980591401</v>
      </c>
      <c r="G6" s="387">
        <f t="shared" si="0"/>
        <v>11061467.815378182</v>
      </c>
      <c r="H6" s="262">
        <f>'E-Costos'!C122</f>
        <v>26790101.236208513</v>
      </c>
      <c r="I6" s="262">
        <f>'E-Inv AF y Am'!D57</f>
        <v>225919.73162642686</v>
      </c>
      <c r="J6" s="262">
        <f>'E-IVA '!D28</f>
        <v>5561.1923535000014</v>
      </c>
      <c r="K6" s="262">
        <f t="shared" si="1"/>
        <v>27021582.16018844</v>
      </c>
      <c r="L6" s="474">
        <f t="shared" si="2"/>
        <v>15960114.344810259</v>
      </c>
      <c r="M6" s="475">
        <f t="shared" si="3"/>
        <v>21209199.446950965</v>
      </c>
      <c r="N6" s="2"/>
      <c r="O6" s="2"/>
      <c r="P6" s="2"/>
      <c r="Q6" s="2"/>
      <c r="R6" s="2"/>
      <c r="S6" s="2"/>
      <c r="T6" s="2"/>
      <c r="U6" s="2"/>
      <c r="V6" s="2"/>
      <c r="W6" s="2"/>
      <c r="X6" s="4"/>
      <c r="Y6" s="4"/>
      <c r="Z6" s="4"/>
    </row>
    <row r="7" spans="1:26" ht="12.75" customHeight="1">
      <c r="A7" s="100">
        <v>3</v>
      </c>
      <c r="B7" s="476">
        <f>'E-Cal Inv.'!$F$8</f>
        <v>0</v>
      </c>
      <c r="C7" s="387">
        <f>'E-Cal Inv.'!$F$18</f>
        <v>358.50748069747851</v>
      </c>
      <c r="D7" s="387">
        <f>'E-IVA '!E$26</f>
        <v>0</v>
      </c>
      <c r="E7" s="262">
        <f>'E-Costos'!D123</f>
        <v>2142897.7247286816</v>
      </c>
      <c r="F7" s="262">
        <f>'E-Costos'!D124</f>
        <v>8625163.3420329429</v>
      </c>
      <c r="G7" s="387">
        <f t="shared" si="0"/>
        <v>10768419.574242322</v>
      </c>
      <c r="H7" s="262">
        <f>'E-Costos'!D122</f>
        <v>26786221.559108518</v>
      </c>
      <c r="I7" s="262">
        <f>'E-Inv AF y Am'!D57</f>
        <v>225919.73162642686</v>
      </c>
      <c r="J7" s="262">
        <f>'E-IVA '!E28</f>
        <v>0</v>
      </c>
      <c r="K7" s="262">
        <f t="shared" si="1"/>
        <v>27012141.290734947</v>
      </c>
      <c r="L7" s="474">
        <f t="shared" si="2"/>
        <v>16243721.716492625</v>
      </c>
      <c r="M7" s="475">
        <f t="shared" si="3"/>
        <v>37452921.163443588</v>
      </c>
      <c r="N7" s="2"/>
      <c r="O7" s="2"/>
      <c r="P7" s="2"/>
      <c r="Q7" s="2"/>
      <c r="R7" s="2"/>
      <c r="S7" s="2"/>
      <c r="T7" s="2"/>
      <c r="U7" s="2"/>
      <c r="V7" s="2"/>
      <c r="W7" s="2"/>
      <c r="X7" s="4"/>
      <c r="Y7" s="4"/>
      <c r="Z7" s="4"/>
    </row>
    <row r="8" spans="1:26" ht="12.75" customHeight="1">
      <c r="A8" s="100">
        <v>4</v>
      </c>
      <c r="B8" s="476">
        <f>'E-Cal Inv.'!$G$8</f>
        <v>0</v>
      </c>
      <c r="C8" s="387">
        <f>'E-Cal Inv.'!$G$18</f>
        <v>5.0022208597511053E-12</v>
      </c>
      <c r="D8" s="387">
        <f>'E-IVA '!F$26</f>
        <v>0</v>
      </c>
      <c r="E8" s="262">
        <f>'E-Costos'!E123</f>
        <v>2142897.7247286816</v>
      </c>
      <c r="F8" s="262">
        <f>'E-Costos'!E124</f>
        <v>8625163.3420329429</v>
      </c>
      <c r="G8" s="387">
        <f t="shared" si="0"/>
        <v>10768061.066761624</v>
      </c>
      <c r="H8" s="262">
        <f>'E-Costos'!E122</f>
        <v>26786221.559108518</v>
      </c>
      <c r="I8" s="262">
        <f>'E-Inv AF y Am'!E57</f>
        <v>225919.73162642686</v>
      </c>
      <c r="J8" s="262">
        <f>'E-IVA '!F28</f>
        <v>0</v>
      </c>
      <c r="K8" s="262">
        <f t="shared" si="1"/>
        <v>27012141.290734947</v>
      </c>
      <c r="L8" s="474">
        <f t="shared" si="2"/>
        <v>16244080.223973323</v>
      </c>
      <c r="M8" s="475">
        <f t="shared" si="3"/>
        <v>53697001.387416914</v>
      </c>
      <c r="N8" s="2"/>
      <c r="O8" s="2"/>
      <c r="P8" s="2"/>
      <c r="Q8" s="2"/>
      <c r="R8" s="2"/>
      <c r="S8" s="2"/>
      <c r="T8" s="2"/>
      <c r="U8" s="2"/>
      <c r="V8" s="2"/>
      <c r="W8" s="2"/>
      <c r="X8" s="4"/>
      <c r="Y8" s="4"/>
      <c r="Z8" s="4"/>
    </row>
    <row r="9" spans="1:26" ht="12.75" customHeight="1">
      <c r="A9" s="100">
        <v>5</v>
      </c>
      <c r="B9" s="476">
        <f>-'E-Inv AF y Am'!F57</f>
        <v>-1185833.3333333335</v>
      </c>
      <c r="C9" s="262">
        <f>+'E-Cal Inv.'!$H$18-'E-Cal Inv.'!$I$18</f>
        <v>-6732647.2021287307</v>
      </c>
      <c r="D9" s="387">
        <f>'E-IVA '!G$26</f>
        <v>0</v>
      </c>
      <c r="E9" s="262">
        <f>'E-Costos'!F123</f>
        <v>2142897.7247286816</v>
      </c>
      <c r="F9" s="262">
        <f>'E-Costos'!F124</f>
        <v>8625163.3420329429</v>
      </c>
      <c r="G9" s="387">
        <f t="shared" si="0"/>
        <v>2849580.5312995594</v>
      </c>
      <c r="H9" s="262">
        <f>'E-Costos'!F122</f>
        <v>26786221.559108518</v>
      </c>
      <c r="I9" s="262">
        <f>'E-Inv AF y Am'!E57</f>
        <v>225919.73162642686</v>
      </c>
      <c r="J9" s="262">
        <f>'E-IVA '!G28</f>
        <v>0</v>
      </c>
      <c r="K9" s="262">
        <f t="shared" si="1"/>
        <v>27012141.290734947</v>
      </c>
      <c r="L9" s="474">
        <f t="shared" si="2"/>
        <v>24162560.759435385</v>
      </c>
      <c r="M9" s="475">
        <f t="shared" si="3"/>
        <v>77859562.1468523</v>
      </c>
      <c r="N9" s="2"/>
      <c r="O9" s="2"/>
      <c r="P9" s="2"/>
      <c r="Q9" s="2"/>
      <c r="R9" s="2"/>
      <c r="S9" s="2"/>
      <c r="T9" s="2"/>
      <c r="U9" s="2"/>
      <c r="V9" s="2"/>
      <c r="W9" s="2"/>
      <c r="X9" s="4"/>
      <c r="Y9" s="4"/>
      <c r="Z9" s="4"/>
    </row>
    <row r="10" spans="1:26" ht="12.75" customHeight="1">
      <c r="A10" s="100"/>
      <c r="B10" s="476"/>
      <c r="C10" s="262"/>
      <c r="D10" s="262"/>
      <c r="E10" s="262"/>
      <c r="F10" s="262"/>
      <c r="G10" s="387"/>
      <c r="H10" s="262"/>
      <c r="I10" s="262"/>
      <c r="J10" s="262"/>
      <c r="K10" s="262"/>
      <c r="L10" s="385"/>
      <c r="M10" s="475"/>
      <c r="N10" s="2"/>
      <c r="O10" s="2"/>
      <c r="P10" s="2"/>
      <c r="Q10" s="2"/>
      <c r="R10" s="2"/>
      <c r="S10" s="2"/>
      <c r="T10" s="2"/>
      <c r="U10" s="2"/>
      <c r="V10" s="2"/>
      <c r="W10" s="2"/>
      <c r="X10" s="4"/>
      <c r="Y10" s="4"/>
      <c r="Z10" s="4"/>
    </row>
    <row r="11" spans="1:26" ht="12.75" customHeight="1">
      <c r="A11" s="103" t="s">
        <v>284</v>
      </c>
      <c r="B11" s="477">
        <f>SUM(B4:B9)</f>
        <v>1129598.658132134</v>
      </c>
      <c r="C11" s="477">
        <f t="shared" ref="C11:L11" si="4">SUM(C4:C9)</f>
        <v>0</v>
      </c>
      <c r="D11" s="477">
        <f t="shared" si="4"/>
        <v>1355923.921664502</v>
      </c>
      <c r="E11" s="477">
        <f t="shared" si="4"/>
        <v>10415994.93603375</v>
      </c>
      <c r="F11" s="477">
        <f t="shared" si="4"/>
        <v>41924379.617535844</v>
      </c>
      <c r="G11" s="477">
        <f t="shared" si="4"/>
        <v>54825897.133366227</v>
      </c>
      <c r="H11" s="477">
        <f t="shared" si="4"/>
        <v>130199936.7004219</v>
      </c>
      <c r="I11" s="477">
        <f t="shared" si="4"/>
        <v>1129598.6581321342</v>
      </c>
      <c r="J11" s="477">
        <f t="shared" si="4"/>
        <v>1355923.921664502</v>
      </c>
      <c r="K11" s="477">
        <f t="shared" si="4"/>
        <v>132685459.28021853</v>
      </c>
      <c r="L11" s="477">
        <f t="shared" si="4"/>
        <v>77859562.1468523</v>
      </c>
      <c r="M11" s="477"/>
      <c r="N11" s="2"/>
      <c r="O11" s="2"/>
      <c r="P11" s="2"/>
      <c r="Q11" s="2"/>
      <c r="R11" s="2"/>
      <c r="S11" s="2"/>
      <c r="T11" s="2"/>
      <c r="U11" s="2"/>
      <c r="V11" s="2"/>
      <c r="W11" s="2"/>
      <c r="X11" s="4"/>
      <c r="Y11" s="4"/>
      <c r="Z11" s="4"/>
    </row>
    <row r="12" spans="1:26" ht="12.75" customHeight="1">
      <c r="A12" s="2"/>
      <c r="B12" s="256"/>
      <c r="C12" s="256"/>
      <c r="D12" s="256"/>
      <c r="E12" s="256"/>
      <c r="F12" s="256"/>
      <c r="G12" s="256"/>
      <c r="H12" s="256"/>
      <c r="I12" s="256"/>
      <c r="J12" s="256"/>
      <c r="K12" s="256"/>
      <c r="L12" s="256"/>
      <c r="M12" s="256"/>
      <c r="N12" s="2"/>
      <c r="O12" s="2"/>
      <c r="P12" s="2"/>
      <c r="Q12" s="2"/>
      <c r="R12" s="2"/>
      <c r="S12" s="2"/>
      <c r="T12" s="2"/>
      <c r="U12" s="2"/>
      <c r="V12" s="2"/>
      <c r="W12" s="2"/>
      <c r="X12" s="4"/>
      <c r="Y12" s="4"/>
      <c r="Z12" s="4"/>
    </row>
    <row r="13" spans="1:26" ht="12.75" customHeight="1">
      <c r="A13" s="2"/>
      <c r="B13" s="256"/>
      <c r="C13" s="479" t="s">
        <v>285</v>
      </c>
      <c r="D13" s="581">
        <f>H11-E11-F11</f>
        <v>77859562.1468523</v>
      </c>
      <c r="E13" s="256"/>
      <c r="F13" s="256"/>
      <c r="G13" s="256"/>
      <c r="H13" s="256"/>
      <c r="I13" s="256"/>
      <c r="J13" s="256"/>
      <c r="K13" s="256"/>
      <c r="L13" s="256"/>
      <c r="M13" s="256"/>
      <c r="N13" s="2"/>
      <c r="O13" s="2"/>
      <c r="P13" s="2"/>
      <c r="Q13" s="2"/>
      <c r="R13" s="2"/>
      <c r="S13" s="2"/>
      <c r="T13" s="2"/>
      <c r="U13" s="2"/>
      <c r="V13" s="2"/>
      <c r="W13" s="2"/>
      <c r="X13" s="4"/>
      <c r="Y13" s="4"/>
      <c r="Z13" s="4"/>
    </row>
    <row r="14" spans="1:26" ht="12.75" customHeight="1">
      <c r="A14" s="28"/>
      <c r="B14" s="2"/>
      <c r="C14" s="479" t="s">
        <v>287</v>
      </c>
      <c r="D14" s="582" t="str">
        <f>CONCATENATE(G14," días")</f>
        <v>143 días</v>
      </c>
      <c r="E14" s="583"/>
      <c r="F14" s="584">
        <f>(-M4/L5)*365</f>
        <v>142.92430526573943</v>
      </c>
      <c r="G14" s="381">
        <f>ROUNDUP(F14,0)</f>
        <v>143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4"/>
      <c r="Y14" s="4"/>
      <c r="Z14" s="4"/>
    </row>
    <row r="15" spans="1:26" ht="12.75" customHeight="1">
      <c r="A15" s="2"/>
      <c r="B15" s="2"/>
      <c r="C15" s="479" t="s">
        <v>289</v>
      </c>
      <c r="D15" s="659">
        <f>IRR(L4:L9)</f>
        <v>3.0914633242827039</v>
      </c>
      <c r="E15" s="377"/>
      <c r="F15" s="256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4"/>
      <c r="Y15" s="4"/>
      <c r="Z15" s="4"/>
    </row>
    <row r="16" spans="1:26" ht="12.75" customHeight="1">
      <c r="A16" s="115"/>
      <c r="B16" s="115"/>
      <c r="C16" s="371"/>
      <c r="D16" s="371"/>
      <c r="E16" s="371"/>
      <c r="F16" s="371"/>
      <c r="G16" s="115"/>
      <c r="H16" s="115"/>
      <c r="I16" s="115"/>
      <c r="J16" s="115"/>
      <c r="K16" s="115"/>
      <c r="L16" s="115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4"/>
      <c r="Y16" s="4"/>
      <c r="Z16" s="4"/>
    </row>
    <row r="17" spans="1:26" ht="12.75" customHeight="1">
      <c r="A17" s="660"/>
      <c r="B17" s="661"/>
      <c r="C17" s="662"/>
      <c r="D17" s="662"/>
      <c r="E17" s="662"/>
      <c r="F17" s="239"/>
      <c r="G17" s="660"/>
      <c r="H17" s="661"/>
      <c r="I17" s="662"/>
      <c r="J17" s="662"/>
      <c r="K17" s="662"/>
      <c r="L17" s="115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4"/>
      <c r="Y17" s="4"/>
      <c r="Z17" s="4"/>
    </row>
    <row r="18" spans="1:26" ht="12.75" customHeight="1">
      <c r="A18" s="663"/>
      <c r="B18" s="664"/>
      <c r="C18" s="665"/>
      <c r="D18" s="664"/>
      <c r="E18" s="664"/>
      <c r="F18" s="239"/>
      <c r="G18" s="663"/>
      <c r="H18" s="664"/>
      <c r="I18" s="665"/>
      <c r="J18" s="664"/>
      <c r="K18" s="664"/>
      <c r="L18" s="115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4"/>
      <c r="Y18" s="4"/>
      <c r="Z18" s="4"/>
    </row>
    <row r="19" spans="1:26" ht="12.75" customHeight="1">
      <c r="A19" s="663"/>
      <c r="B19" s="666"/>
      <c r="C19" s="667"/>
      <c r="D19" s="668"/>
      <c r="E19" s="668"/>
      <c r="F19" s="115"/>
      <c r="G19" s="663"/>
      <c r="H19" s="666"/>
      <c r="I19" s="667"/>
      <c r="J19" s="668"/>
      <c r="K19" s="668"/>
      <c r="L19" s="115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4"/>
      <c r="Y19" s="4"/>
      <c r="Z19" s="4"/>
    </row>
    <row r="20" spans="1:26" ht="12.75" customHeight="1">
      <c r="A20" s="663"/>
      <c r="B20" s="666"/>
      <c r="C20" s="667"/>
      <c r="D20" s="668"/>
      <c r="E20" s="668"/>
      <c r="F20" s="115"/>
      <c r="G20" s="663"/>
      <c r="H20" s="666"/>
      <c r="I20" s="667"/>
      <c r="J20" s="668"/>
      <c r="K20" s="668"/>
      <c r="L20" s="115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4"/>
      <c r="Y20" s="4"/>
      <c r="Z20" s="4"/>
    </row>
    <row r="21" spans="1:26" ht="12.75" customHeight="1">
      <c r="A21" s="663"/>
      <c r="B21" s="666"/>
      <c r="C21" s="667"/>
      <c r="D21" s="668"/>
      <c r="E21" s="668"/>
      <c r="F21" s="115"/>
      <c r="G21" s="663"/>
      <c r="H21" s="666"/>
      <c r="I21" s="667"/>
      <c r="J21" s="668"/>
      <c r="K21" s="668"/>
      <c r="L21" s="115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4"/>
      <c r="Y21" s="4"/>
      <c r="Z21" s="4"/>
    </row>
    <row r="22" spans="1:26" ht="12.75" customHeight="1">
      <c r="A22" s="663"/>
      <c r="B22" s="666"/>
      <c r="C22" s="667"/>
      <c r="D22" s="668"/>
      <c r="E22" s="668"/>
      <c r="F22" s="115"/>
      <c r="G22" s="663"/>
      <c r="H22" s="666"/>
      <c r="I22" s="667"/>
      <c r="J22" s="668"/>
      <c r="K22" s="668"/>
      <c r="L22" s="115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4"/>
      <c r="Y22" s="4"/>
      <c r="Z22" s="4"/>
    </row>
    <row r="23" spans="1:26" ht="12.75" customHeight="1">
      <c r="A23" s="663"/>
      <c r="B23" s="666"/>
      <c r="C23" s="667"/>
      <c r="D23" s="668"/>
      <c r="E23" s="668"/>
      <c r="F23" s="115"/>
      <c r="G23" s="663"/>
      <c r="H23" s="666"/>
      <c r="I23" s="667"/>
      <c r="J23" s="668"/>
      <c r="K23" s="668"/>
      <c r="L23" s="115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4"/>
      <c r="Y23" s="4"/>
      <c r="Z23" s="4"/>
    </row>
    <row r="24" spans="1:26" ht="12.75" customHeight="1">
      <c r="A24" s="663"/>
      <c r="B24" s="666"/>
      <c r="C24" s="667"/>
      <c r="D24" s="668"/>
      <c r="E24" s="668"/>
      <c r="F24" s="115"/>
      <c r="G24" s="663"/>
      <c r="H24" s="666"/>
      <c r="I24" s="667"/>
      <c r="J24" s="668"/>
      <c r="K24" s="668"/>
      <c r="L24" s="115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4"/>
      <c r="Y24" s="4"/>
      <c r="Z24" s="4"/>
    </row>
    <row r="25" spans="1:26" ht="12.75" customHeight="1">
      <c r="A25" s="115"/>
      <c r="B25" s="115"/>
      <c r="C25" s="115"/>
      <c r="D25" s="115"/>
      <c r="E25" s="115"/>
      <c r="F25" s="115"/>
      <c r="G25" s="151"/>
      <c r="H25" s="378"/>
      <c r="I25" s="669"/>
      <c r="J25" s="669"/>
      <c r="K25" s="669"/>
      <c r="L25" s="115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4"/>
      <c r="Y25" s="4"/>
      <c r="Z25" s="4"/>
    </row>
    <row r="26" spans="1:26" ht="12.75" customHeight="1">
      <c r="A26" s="115"/>
      <c r="B26" s="371"/>
      <c r="C26" s="670"/>
      <c r="D26" s="671"/>
      <c r="E26" s="371"/>
      <c r="F26" s="115"/>
      <c r="G26" s="151"/>
      <c r="H26" s="116"/>
      <c r="I26" s="669"/>
      <c r="J26" s="669"/>
      <c r="K26" s="669"/>
      <c r="L26" s="115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4"/>
      <c r="Y26" s="4"/>
      <c r="Z26" s="4"/>
    </row>
    <row r="27" spans="1:26" ht="12.75" customHeight="1">
      <c r="A27" s="115"/>
      <c r="B27" s="371"/>
      <c r="C27" s="670"/>
      <c r="D27" s="672"/>
      <c r="E27" s="371"/>
      <c r="F27" s="115"/>
      <c r="G27" s="151"/>
      <c r="H27" s="116"/>
      <c r="I27" s="669"/>
      <c r="J27" s="669"/>
      <c r="K27" s="669"/>
      <c r="L27" s="115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4"/>
      <c r="Y27" s="4"/>
      <c r="Z27" s="4"/>
    </row>
    <row r="28" spans="1:26" ht="12.75" customHeight="1">
      <c r="A28" s="115"/>
      <c r="B28" s="371"/>
      <c r="C28" s="673"/>
      <c r="D28" s="674"/>
      <c r="E28" s="371"/>
      <c r="F28" s="115"/>
      <c r="G28" s="151"/>
      <c r="H28" s="116"/>
      <c r="I28" s="669"/>
      <c r="J28" s="279"/>
      <c r="K28" s="669"/>
      <c r="L28" s="115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4"/>
      <c r="Y28" s="4"/>
      <c r="Z28" s="4"/>
    </row>
    <row r="29" spans="1:26" ht="12.75" customHeight="1">
      <c r="A29" s="115"/>
      <c r="B29" s="371"/>
      <c r="C29" s="371"/>
      <c r="D29" s="371"/>
      <c r="E29" s="371"/>
      <c r="F29" s="115"/>
      <c r="G29" s="115"/>
      <c r="H29" s="150"/>
      <c r="I29" s="675"/>
      <c r="J29" s="669"/>
      <c r="K29" s="115"/>
      <c r="L29" s="115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4"/>
      <c r="Y29" s="4"/>
      <c r="Z29" s="4"/>
    </row>
    <row r="30" spans="1:26" ht="12.75" customHeight="1">
      <c r="A30" s="115"/>
      <c r="B30" s="115"/>
      <c r="C30" s="115"/>
      <c r="D30" s="115"/>
      <c r="E30" s="115"/>
      <c r="F30" s="115"/>
      <c r="G30" s="115"/>
      <c r="H30" s="150"/>
      <c r="I30" s="669"/>
      <c r="J30" s="115"/>
      <c r="K30" s="115"/>
      <c r="L30" s="115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4"/>
      <c r="Y30" s="4"/>
      <c r="Z30" s="4"/>
    </row>
    <row r="31" spans="1:26" ht="12.75" customHeight="1">
      <c r="A31" s="2"/>
      <c r="B31" s="2"/>
      <c r="C31" s="2"/>
      <c r="D31" s="2"/>
      <c r="E31" s="2"/>
      <c r="F31" s="2"/>
      <c r="G31" s="115"/>
      <c r="H31" s="115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4"/>
      <c r="Y31" s="4"/>
      <c r="Z31" s="4"/>
    </row>
    <row r="32" spans="1:26" ht="12.75">
      <c r="A32" s="4"/>
      <c r="B32" s="4"/>
      <c r="C32" s="4"/>
      <c r="D32" s="4"/>
      <c r="E32" s="4"/>
      <c r="F32" s="4"/>
      <c r="G32" s="150"/>
      <c r="H32" s="150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 spans="1:26" ht="12.75">
      <c r="A33" s="4"/>
      <c r="B33" s="4"/>
      <c r="C33" s="4"/>
      <c r="D33" s="4"/>
      <c r="E33" s="4"/>
      <c r="F33" s="4"/>
      <c r="G33" s="150"/>
      <c r="H33" s="150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 spans="1:26" ht="12.7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 spans="1:26" ht="12.7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 spans="1:26" ht="12.7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 spans="1:26" ht="12.7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 spans="1:26" ht="12.7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 spans="1:26" ht="12.7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ht="12.7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 spans="1:26" ht="12.7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 spans="1:26" ht="12.7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 spans="1:26" ht="12.7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 spans="1:26" ht="12.7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 spans="1:26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 spans="1:26" ht="12.7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 spans="1:26" ht="12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 spans="1:26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 spans="1:26" ht="12.7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 spans="1:26" ht="12.7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 spans="1:26" ht="12.75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 spans="1:26" ht="12.75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 spans="1:26" ht="12.75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 spans="1:26" ht="12.7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 spans="1:26" ht="12.75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 spans="1:26" ht="12.75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 spans="1:26" ht="12.75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 spans="1:26" ht="12.75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 spans="1:26" ht="12.75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 spans="1:26" ht="12.75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 spans="1:26" ht="12.75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 spans="1:26" ht="12.75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 spans="1:26" ht="12.75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 spans="1:26" ht="12.75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 spans="1:26" ht="12.75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 spans="1:26" ht="12.75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 spans="1:26" ht="12.75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 spans="1:26" ht="12.75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 spans="1:26" ht="12.75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 spans="1:26" ht="12.7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 spans="1:26" ht="12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 spans="1:26" ht="12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 spans="1:26" ht="12.75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 spans="1:26" ht="12.75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 spans="1:26" ht="12.7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 spans="1:26" ht="12.7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 spans="1:26" ht="12.7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 spans="1:26" ht="12.7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 spans="1:26" ht="12.7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 spans="1:26" ht="12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 spans="1:26" ht="12.7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 spans="1:26" ht="12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 spans="1:26" ht="12.7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 spans="1:26" ht="12.7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 spans="1:26" ht="12.7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 spans="1:26" ht="12.7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 spans="1:26" ht="12.7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 spans="1:26" ht="12.7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 spans="1:26" ht="12.7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 spans="1:26" ht="12.7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 spans="1:26" ht="12.7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 spans="1:26" ht="12.7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 spans="1:26" ht="12.7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 spans="1:26" ht="12.7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 spans="1:26" ht="12.7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 spans="1:26" ht="12.7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 spans="1:26" ht="12.7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 spans="1:26" ht="12.7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 spans="1:26" ht="12.7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 spans="1:26" ht="12.75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 spans="1:26" ht="12.75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 spans="1:26" ht="12.75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 spans="1:26" ht="12.75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 spans="1:26" ht="12.75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 spans="1:26" ht="12.75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 spans="1:26" ht="12.75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 spans="1:26" ht="12.7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 spans="1:26" ht="12.7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 spans="1:26" ht="12.75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 spans="1:26" ht="12.75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 spans="1:26" ht="12.75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 spans="1:26" ht="12.7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 spans="1:26" ht="12.75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 spans="1:26" ht="12.75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 spans="1:26" ht="12.75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 spans="1:26" ht="12.7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 spans="1:26" ht="12.75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 spans="1:26" ht="12.75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 spans="1:26" ht="12.7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 spans="1:26" ht="12.75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 spans="1:26" ht="12.75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 spans="1:26" ht="12.75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 spans="1:26" ht="12.7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 spans="1:26" ht="12.75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 spans="1:26" ht="12.75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 spans="1:26" ht="12.75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 spans="1:26" ht="12.75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 spans="1:26" ht="12.75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 spans="1:26" ht="12.75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 spans="1:26" ht="12.75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 spans="1:26" ht="12.7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 spans="1:26" ht="12.75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 spans="1:26" ht="12.75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 spans="1:26" ht="12.75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 spans="1:26" ht="12.75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 spans="1:26" ht="12.75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 spans="1:26" ht="12.75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 spans="1:26" ht="12.75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 spans="1:26" ht="12.75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 spans="1:26" ht="12.75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 spans="1:26" ht="12.75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 spans="1:26" ht="12.75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 spans="1:26" ht="12.75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 spans="1:26" ht="12.75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 spans="1:26" ht="12.75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 spans="1:26" ht="12.75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 spans="1:26" ht="12.75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 spans="1:26" ht="12.75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 spans="1:26" ht="12.7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 spans="1:26" ht="12.7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 spans="1:26" ht="12.75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 spans="1:26" ht="12.75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 spans="1:26" ht="12.75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 spans="1:26" ht="12.75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 spans="1:26" ht="12.75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 spans="1:26" ht="12.75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 spans="1:26" ht="12.75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 spans="1:26" ht="12.75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 spans="1:26" ht="12.75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 spans="1:26" ht="12.75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 spans="1:26" ht="12.75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 spans="1:26" ht="12.75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 spans="1:26" ht="12.75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 spans="1:26" ht="12.75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 spans="1:26" ht="12.75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 spans="1:26" ht="12.75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 spans="1:26" ht="12.75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 spans="1:26" ht="12.75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 spans="1:26" ht="12.75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 spans="1:26" ht="12.75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 spans="1:26" ht="12.75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 spans="1:26" ht="12.75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 spans="1:26" ht="12.75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 spans="1:26" ht="12.75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 spans="1:26" ht="12.75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 spans="1:26" ht="12.75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 spans="1:26" ht="12.75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 spans="1:26" ht="12.75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 spans="1:26" ht="12.75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 spans="1:26" ht="12.75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 spans="1:26" ht="12.75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 spans="1:26" ht="12.75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 spans="1:26" ht="12.75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 spans="1:26" ht="12.75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 spans="1:26" ht="12.75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 spans="1:26" ht="12.75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 spans="1:26" ht="12.75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 spans="1:26" ht="12.75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 spans="1:26" ht="12.75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 spans="1:26" ht="12.75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 spans="1:26" ht="12.75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 spans="1:26" ht="12.75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 spans="1:26" ht="12.75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 spans="1:26" ht="12.75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 spans="1:26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 spans="1:26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 spans="1:26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 spans="1:26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 spans="1:26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 spans="1:26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 spans="1:26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 spans="1:26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 spans="1:26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 spans="1:26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 spans="1:26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 spans="1:26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 spans="1:26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 spans="1:26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 spans="1:26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 spans="1:26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 spans="1:26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 spans="1:26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 spans="1:26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 spans="1:26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 spans="1:26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 spans="1:26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 spans="1:26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 spans="1:26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 spans="1:26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 spans="1:26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 spans="1:26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 spans="1:26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 spans="1:26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 spans="1:26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 spans="1:26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 spans="1:26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 spans="1:26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 spans="1:26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 spans="1:26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 spans="1:26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 spans="1:26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 spans="1:26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 spans="1:26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 spans="1:26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 spans="1:26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 spans="1:26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 spans="1:26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 spans="1:26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 spans="1:26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 spans="1:26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 spans="1:26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 spans="1:26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 spans="1:26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 spans="1:26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 spans="1:26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 spans="1:26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 spans="1:26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 spans="1:26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 spans="1:26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 spans="1:26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 spans="1:26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 spans="1:26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 spans="1:26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 spans="1:26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 spans="1:26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 spans="1:26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 spans="1:26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 spans="1:26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 spans="1:26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 spans="1:26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 spans="1:26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 spans="1:26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 spans="1:26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 spans="1:26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 spans="1:26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 spans="1:26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 spans="1:26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 spans="1:26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 spans="1:26" ht="12.75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 spans="1:26" ht="12.75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 spans="1:26" ht="12.75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 spans="1:26" ht="12.75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 spans="1:26" ht="12.75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 spans="1:26" ht="12.75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 spans="1:26" ht="12.75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 spans="1:26" ht="12.75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 spans="1:26" ht="12.75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 spans="1:26" ht="12.75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 spans="1:26" ht="12.75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 spans="1:26" ht="12.75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 spans="1:26" ht="12.75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 spans="1:26" ht="12.75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 spans="1:26" ht="12.75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 spans="1:26" ht="12.75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 spans="1:26" ht="12.75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 spans="1:26" ht="12.75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 spans="1:26" ht="12.75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 spans="1:26" ht="12.75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 spans="1:26" ht="12.75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 spans="1:26" ht="12.75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 spans="1:26" ht="12.75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 spans="1:26" ht="12.75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 spans="1:26" ht="12.75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 spans="1:26" ht="12.75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 spans="1:26" ht="12.75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 spans="1:26" ht="12.75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 spans="1:26" ht="12.75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 spans="1:26" ht="12.75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 spans="1:26" ht="12.75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 spans="1:26" ht="12.75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 spans="1:26" ht="12.75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 spans="1:26" ht="12.7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 spans="1:26" ht="12.7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 spans="1:26" ht="12.7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 spans="1:26" ht="12.7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 spans="1:26" ht="12.7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 spans="1:26" ht="12.7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 spans="1:26" ht="12.7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 spans="1:26" ht="12.7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 spans="1:26" ht="12.7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 spans="1:26" ht="12.7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 spans="1:26" ht="12.7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 spans="1:26" ht="12.7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 spans="1:26" ht="12.7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 spans="1:26" ht="12.7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 spans="1:26" ht="12.7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 spans="1:26" ht="12.7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 spans="1:26" ht="12.7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 spans="1:26" ht="12.7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 spans="1:26" ht="12.7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 spans="1:26" ht="12.75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 spans="1:26" ht="12.75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 spans="1:26" ht="12.75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 spans="1:26" ht="12.75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 spans="1:26" ht="12.75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 spans="1:26" ht="12.75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 spans="1:26" ht="12.75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 spans="1:26" ht="12.75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 spans="1:26" ht="12.75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 spans="1:26" ht="12.75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 spans="1:26" ht="12.75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 spans="1:26" ht="12.75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 spans="1:26" ht="12.75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 spans="1:26" ht="12.75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 spans="1:26" ht="12.75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 spans="1:26" ht="12.75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 spans="1:26" ht="12.75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 spans="1:26" ht="12.75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 spans="1:26" ht="12.75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 spans="1:26" ht="12.75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 spans="1:26" ht="12.75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 spans="1:26" ht="12.75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 spans="1:26" ht="12.75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 spans="1:26" ht="12.75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 spans="1:26" ht="12.75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 spans="1:26" ht="12.75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 spans="1:26" ht="12.75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 spans="1:26" ht="12.75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 spans="1:26" ht="12.75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 spans="1:26" ht="12.75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 spans="1:26" ht="12.75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 spans="1:26" ht="12.75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 spans="1:26" ht="12.75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 spans="1:26" ht="12.75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 spans="1:26" ht="12.75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 spans="1:26" ht="12.75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 spans="1:26" ht="12.75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 spans="1:26" ht="12.75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 spans="1:26" ht="12.75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 spans="1:26" ht="12.75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 spans="1:26" ht="12.75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 spans="1:26" ht="12.75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 spans="1:26" ht="12.75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 spans="1:26" ht="12.75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 spans="1:26" ht="12.75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 spans="1:26" ht="12.75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 spans="1:26" ht="12.75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 spans="1:26" ht="12.75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 spans="1:26" ht="12.75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 spans="1:26" ht="12.75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 spans="1:26" ht="12.75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 spans="1:26" ht="12.75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 spans="1:26" ht="12.75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 spans="1:26" ht="12.75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 spans="1:26" ht="12.75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 spans="1:26" ht="12.75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 spans="1:26" ht="12.75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 spans="1:26" ht="12.75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 spans="1:26" ht="12.75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 spans="1:26" ht="12.75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 spans="1:26" ht="12.75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 spans="1:26" ht="12.75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 spans="1:26" ht="12.75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 spans="1:26" ht="12.75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 spans="1:26" ht="12.75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 spans="1:26" ht="12.75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 spans="1:26" ht="12.75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 spans="1:26" ht="12.75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 spans="1:26" ht="12.75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 spans="1:26" ht="12.75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 spans="1:26" ht="12.75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 spans="1:26" ht="12.75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 spans="1:26" ht="12.75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 spans="1:26" ht="12.75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 spans="1:26" ht="12.75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 spans="1:26" ht="12.75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 spans="1:26" ht="12.75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 spans="1:26" ht="12.75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 spans="1:26" ht="12.75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 spans="1:26" ht="12.75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 spans="1:26" ht="12.75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 spans="1:26" ht="12.75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 spans="1:26" ht="12.75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 spans="1:26" ht="12.75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 spans="1:26" ht="12.75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 spans="1:26" ht="12.75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 spans="1:26" ht="12.75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 spans="1:26" ht="12.75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 spans="1:26" ht="12.75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 spans="1:26" ht="12.75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 spans="1:26" ht="12.75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 spans="1:26" ht="12.75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 spans="1:26" ht="12.75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 spans="1:26" ht="12.75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 spans="1:26" ht="12.75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 spans="1:26" ht="12.75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 spans="1:26" ht="12.75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 spans="1:26" ht="12.75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 spans="1:26" ht="12.75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 spans="1:26" ht="12.75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 spans="1:26" ht="12.75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 spans="1:26" ht="12.75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 spans="1:26" ht="12.75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 spans="1:26" ht="12.75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 spans="1:26" ht="12.75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 spans="1:26" ht="12.75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 spans="1:26" ht="12.75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 spans="1:26" ht="12.75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 spans="1:26" ht="12.75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 spans="1:26" ht="12.75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 spans="1:26" ht="12.75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 spans="1:26" ht="12.75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 spans="1:26" ht="12.75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 spans="1:26" ht="12.75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 spans="1:26" ht="12.75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 spans="1:26" ht="12.75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 spans="1:26" ht="12.75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 spans="1:26" ht="12.75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 spans="1:26" ht="12.75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 spans="1:26" ht="12.75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 spans="1:26" ht="12.75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 spans="1:26" ht="12.75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 spans="1:26" ht="12.75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 spans="1:26" ht="12.75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 spans="1:26" ht="12.75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 spans="1:26" ht="12.75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 spans="1:26" ht="12.75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 spans="1:26" ht="12.75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 spans="1:26" ht="12.75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 spans="1:26" ht="12.75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 spans="1:26" ht="12.75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 spans="1:26" ht="12.75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 spans="1:26" ht="12.75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 spans="1:26" ht="12.75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 spans="1:26" ht="12.75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 spans="1:26" ht="12.75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 spans="1:26" ht="12.75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 spans="1:26" ht="12.75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 spans="1:26" ht="12.75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 spans="1:26" ht="12.75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 spans="1:26" ht="12.75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 spans="1:26" ht="12.75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 spans="1:26" ht="12.75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 spans="1:26" ht="12.75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 spans="1:26" ht="12.75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 spans="1:26" ht="12.75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 spans="1:26" ht="12.75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 spans="1:26" ht="12.75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 spans="1:26" ht="12.75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 spans="1:26" ht="12.75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 spans="1:26" ht="12.75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 spans="1:26" ht="12.75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 spans="1:26" ht="12.75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 spans="1:26" ht="12.75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 spans="1:26" ht="12.75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 spans="1:26" ht="12.75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 spans="1:26" ht="12.75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 spans="1:26" ht="12.75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 spans="1:26" ht="12.75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 spans="1:26" ht="12.75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 spans="1:26" ht="12.75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 spans="1:26" ht="12.75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 spans="1:26" ht="12.75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 spans="1:26" ht="12.75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 spans="1:26" ht="12.75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 spans="1:26" ht="12.75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 spans="1:26" ht="12.75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 spans="1:26" ht="12.75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 spans="1:26" ht="12.75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 spans="1:26" ht="12.75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 spans="1:26" ht="12.75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 spans="1:26" ht="12.75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 spans="1:26" ht="12.75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 spans="1:26" ht="12.75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 spans="1:26" ht="12.75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 spans="1:26" ht="12.75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 spans="1:26" ht="12.75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 spans="1:26" ht="12.75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 spans="1:26" ht="12.75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 spans="1:26" ht="12.75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 spans="1:26" ht="12.75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 spans="1:26" ht="12.75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 spans="1:26" ht="12.75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 spans="1:26" ht="12.75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 spans="1:26" ht="12.75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 spans="1:26" ht="12.75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 spans="1:26" ht="12.75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 spans="1:26" ht="12.75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 spans="1:26" ht="12.75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 spans="1:26" ht="12.75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 spans="1:26" ht="12.75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 spans="1:26" ht="12.75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 spans="1:26" ht="12.75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 spans="1:26" ht="12.75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 spans="1:26" ht="12.75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 spans="1:26" ht="12.75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 spans="1:26" ht="12.75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 spans="1:26" ht="12.75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 spans="1:26" ht="12.75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 spans="1:26" ht="12.75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 spans="1:26" ht="12.75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 spans="1:26" ht="12.75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 spans="1:26" ht="12.75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 spans="1:26" ht="12.75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 spans="1:26" ht="12.75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 spans="1:26" ht="12.75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 spans="1:26" ht="12.75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 spans="1:26" ht="12.75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 spans="1:26" ht="12.75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 spans="1:26" ht="12.75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 spans="1:26" ht="12.75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 spans="1:26" ht="12.75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 spans="1:26" ht="12.75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 spans="1:26" ht="12.75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 spans="1:26" ht="12.75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 spans="1:26" ht="12.75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 spans="1:26" ht="12.75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 spans="1:26" ht="12.75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 spans="1:26" ht="12.75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 spans="1:26" ht="12.75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 spans="1:26" ht="12.75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 spans="1:26" ht="12.75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 spans="1:26" ht="12.75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 spans="1:26" ht="12.75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 spans="1:26" ht="12.75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 spans="1:26" ht="12.75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 spans="1:26" ht="12.75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 spans="1:26" ht="12.75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 spans="1:26" ht="12.75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 spans="1:26" ht="12.75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 spans="1:26" ht="12.75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 spans="1:26" ht="12.75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 spans="1:26" ht="12.75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 spans="1:26" ht="12.75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 spans="1:26" ht="12.75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 spans="1:26" ht="12.75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 spans="1:26" ht="12.75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 spans="1:26" ht="12.75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 spans="1:26" ht="12.75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 spans="1:26" ht="12.75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 spans="1:26" ht="12.75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 spans="1:26" ht="12.75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 spans="1:26" ht="12.75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 spans="1:26" ht="12.75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 spans="1:26" ht="12.75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 spans="1:26" ht="12.75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 spans="1:26" ht="12.75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 spans="1:26" ht="12.75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 spans="1:26" ht="12.75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 spans="1:26" ht="12.75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 spans="1:26" ht="12.75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 spans="1:26" ht="12.75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 spans="1:26" ht="12.75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 spans="1:26" ht="12.75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 spans="1:26" ht="12.75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 spans="1:26" ht="12.75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 spans="1:26" ht="12.75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 spans="1:26" ht="12.75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 spans="1:26" ht="12.75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 spans="1:26" ht="12.75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 spans="1:26" ht="12.75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 spans="1:26" ht="12.75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 spans="1:26" ht="12.75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 spans="1:26" ht="12.75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 spans="1:26" ht="12.75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 spans="1:26" ht="12.75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 spans="1:26" ht="12.75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 spans="1:26" ht="12.75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 spans="1:26" ht="12.75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 spans="1:26" ht="12.75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 spans="1:26" ht="12.75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 spans="1:26" ht="12.75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 spans="1:26" ht="12.75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 spans="1:26" ht="12.75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 spans="1:26" ht="12.75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 spans="1:26" ht="12.75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 spans="1:26" ht="12.75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 spans="1:26" ht="12.75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 spans="1:26" ht="12.75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 spans="1:26" ht="12.75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 spans="1:26" ht="12.75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 spans="1:26" ht="12.75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 spans="1:26" ht="12.75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 spans="1:26" ht="12.75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 spans="1:26" ht="12.75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 spans="1:26" ht="12.75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 spans="1:26" ht="12.75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 spans="1:26" ht="12.75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 spans="1:26" ht="12.75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 spans="1:26" ht="12.75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 spans="1:26" ht="12.75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 spans="1:26" ht="12.75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 spans="1:26" ht="12.75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 spans="1:26" ht="12.75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 spans="1:26" ht="12.75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 spans="1:26" ht="12.75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 spans="1:26" ht="12.75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 spans="1:26" ht="12.75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 spans="1:26" ht="12.75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 spans="1:26" ht="12.75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 spans="1:26" ht="12.75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 spans="1:26" ht="12.75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 spans="1:26" ht="12.75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 spans="1:26" ht="12.75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 spans="1:26" ht="12.75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 spans="1:26" ht="12.75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 spans="1:26" ht="12.75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 spans="1:26" ht="12.75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 spans="1:26" ht="12.75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 spans="1:26" ht="12.75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 spans="1:26" ht="12.75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 spans="1:26" ht="12.75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 spans="1:26" ht="12.75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 spans="1:26" ht="12.75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 spans="1:26" ht="12.75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 spans="1:26" ht="12.75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 spans="1:26" ht="12.75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 spans="1:26" ht="12.75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 spans="1:26" ht="12.75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 spans="1:26" ht="12.75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 spans="1:26" ht="12.75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 spans="1:26" ht="12.75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 spans="1:26" ht="12.75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 spans="1:26" ht="12.75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 spans="1:26" ht="12.75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 spans="1:26" ht="12.75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 spans="1:26" ht="12.75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 spans="1:26" ht="12.75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 spans="1:26" ht="12.75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 spans="1:26" ht="12.75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 spans="1:26" ht="12.75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 spans="1:26" ht="12.75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 spans="1:26" ht="12.75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 spans="1:26" ht="12.75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 spans="1:26" ht="12.75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 spans="1:26" ht="12.75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 spans="1:26" ht="12.75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 spans="1:26" ht="12.75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 spans="1:26" ht="12.75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 spans="1:26" ht="12.75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 spans="1:26" ht="12.75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 spans="1:26" ht="12.75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 spans="1:26" ht="12.75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 spans="1:26" ht="12.75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 spans="1:26" ht="12.75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 spans="1:26" ht="12.75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 spans="1:26" ht="12.75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 spans="1:26" ht="12.75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 spans="1:26" ht="12.75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 spans="1:26" ht="12.75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 spans="1:26" ht="12.75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 spans="1:26" ht="12.75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 spans="1:26" ht="12.75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 spans="1:26" ht="12.75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 spans="1:26" ht="12.75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 spans="1:26" ht="12.75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 spans="1:26" ht="12.75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 spans="1:26" ht="12.75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 spans="1:26" ht="12.75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 spans="1:26" ht="12.75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 spans="1:26" ht="12.75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 spans="1:26" ht="12.75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 spans="1:26" ht="12.75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 spans="1:26" ht="12.75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 spans="1:26" ht="12.75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 spans="1:26" ht="12.75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 spans="1:26" ht="12.75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 spans="1:26" ht="12.75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 spans="1:26" ht="12.75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 spans="1:26" ht="12.75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 spans="1:26" ht="12.75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 spans="1:26" ht="12.75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 spans="1:26" ht="12.75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 spans="1:26" ht="12.75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 spans="1:26" ht="12.75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 spans="1:26" ht="12.75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 spans="1:26" ht="12.75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 spans="1:26" ht="12.75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 spans="1:26" ht="12.75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 spans="1:26" ht="12.75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 spans="1:26" ht="12.75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 spans="1:26" ht="12.75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 spans="1:26" ht="12.75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 spans="1:26" ht="12.75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 spans="1:26" ht="12.75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 spans="1:26" ht="12.75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 spans="1:26" ht="12.75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 spans="1:26" ht="12.75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 spans="1:26" ht="12.75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 spans="1:26" ht="12.75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 spans="1:26" ht="12.75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 spans="1:26" ht="12.75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 spans="1:26" ht="12.75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 spans="1:26" ht="12.75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 spans="1:26" ht="12.75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 spans="1:26" ht="12.75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 spans="1:26" ht="12.75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 spans="1:26" ht="12.75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 spans="1:26" ht="12.75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 spans="1:26" ht="12.75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 spans="1:26" ht="12.75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 spans="1:26" ht="12.75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 spans="1:26" ht="12.75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 spans="1:26" ht="12.75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 spans="1:26" ht="12.75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 spans="1:26" ht="12.75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 spans="1:26" ht="12.75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 spans="1:26" ht="12.75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 spans="1:26" ht="12.75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 spans="1:26" ht="12.75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 spans="1:26" ht="12.75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 spans="1:26" ht="12.75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 spans="1:26" ht="12.75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 spans="1:26" ht="12.75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 spans="1:26" ht="12.75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 spans="1:26" ht="12.75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 spans="1:26" ht="12.75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 spans="1:26" ht="12.75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 spans="1:26" ht="12.75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 spans="1:26" ht="12.75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 spans="1:26" ht="12.75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 spans="1:26" ht="12.75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 spans="1:26" ht="12.75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 spans="1:26" ht="12.75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 spans="1:26" ht="12.75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 spans="1:26" ht="12.75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 spans="1:26" ht="12.75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 spans="1:26" ht="12.75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 spans="1:26" ht="12.75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 spans="1:26" ht="12.75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 spans="1:26" ht="12.75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 spans="1:26" ht="12.75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 spans="1:26" ht="12.75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 spans="1:26" ht="12.75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 spans="1:26" ht="12.75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 spans="1:26" ht="12.75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 spans="1:26" ht="12.75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 spans="1:26" ht="12.75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 spans="1:26" ht="12.75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 spans="1:26" ht="12.75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 spans="1:26" ht="12.75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 spans="1:26" ht="12.75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 spans="1:26" ht="12.75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 spans="1:26" ht="12.75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 spans="1:26" ht="12.75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 spans="1:26" ht="12.75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 spans="1:26" ht="12.75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 spans="1:26" ht="12.75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 spans="1:26" ht="12.75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 spans="1:26" ht="12.75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 spans="1:26" ht="12.75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 spans="1:26" ht="12.75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 spans="1:26" ht="12.75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 spans="1:26" ht="12.75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 spans="1:26" ht="12.75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 spans="1:26" ht="12.75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 spans="1:26" ht="12.75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 spans="1:26" ht="12.75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 spans="1:26" ht="12.75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 spans="1:26" ht="12.75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 spans="1:26" ht="12.75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 spans="1:26" ht="12.75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 spans="1:26" ht="12.75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 spans="1:26" ht="12.75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 spans="1:26" ht="12.75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 spans="1:26" ht="12.75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 spans="1:26" ht="12.75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 spans="1:26" ht="12.75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 spans="1:26" ht="12.75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 spans="1:26" ht="12.75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 spans="1:26" ht="12.75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 spans="1:26" ht="12.75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 spans="1:26" ht="12.75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 spans="1:26" ht="12.75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 spans="1:26" ht="12.75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 spans="1:26" ht="12.75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 spans="1:26" ht="12.75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 spans="1:26" ht="12.75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 spans="1:26" ht="12.75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 spans="1:26" ht="12.75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 spans="1:26" ht="12.75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 spans="1:26" ht="12.75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 spans="1:26" ht="12.75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 spans="1:26" ht="12.75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 spans="1:26" ht="12.75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 spans="1:26" ht="12.75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 spans="1:26" ht="12.75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 spans="1:26" ht="12.75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 spans="1:26" ht="12.75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 spans="1:26" ht="12.75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 spans="1:26" ht="12.75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 spans="1:26" ht="12.75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 spans="1:26" ht="12.75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 spans="1:26" ht="12.75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 spans="1:26" ht="12.75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 spans="1:26" ht="12.75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 spans="1:26" ht="12.75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 spans="1:26" ht="12.75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 spans="1:26" ht="12.75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 spans="1:26" ht="12.75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 spans="1:26" ht="12.75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 spans="1:26" ht="12.75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 spans="1:26" ht="12.75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 spans="1:26" ht="12.75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 spans="1:26" ht="12.75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 spans="1:26" ht="12.75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 spans="1:26" ht="12.75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 spans="1:26" ht="12.75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 spans="1:26" ht="12.75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 spans="1:26" ht="12.75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 spans="1:26" ht="12.75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 spans="1:26" ht="12.75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 spans="1:26" ht="12.75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 spans="1:26" ht="12.75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 spans="1:26" ht="12.75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 spans="1:26" ht="12.75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 spans="1:26" ht="12.75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 spans="1:26" ht="12.75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 spans="1:26" ht="12.75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 spans="1:26" ht="12.75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 spans="1:26" ht="12.75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 spans="1:26" ht="12.75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 spans="1:26" ht="12.75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 spans="1:26" ht="12.75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 spans="1:26" ht="12.75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 spans="1:26" ht="12.75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 spans="1:26" ht="12.75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 spans="1:26" ht="12.75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 spans="1:26" ht="12.75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 spans="1:26" ht="12.75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 spans="1:26" ht="12.75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 spans="1:26" ht="12.75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 spans="1:26" ht="12.75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 spans="1:26" ht="12.75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 spans="1:26" ht="12.75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 spans="1:26" ht="12.75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 spans="1:26" ht="12.75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 spans="1:26" ht="12.75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 spans="1:26" ht="12.75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 spans="1:26" ht="12.75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 spans="1:26" ht="12.75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 spans="1:26" ht="12.75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 spans="1:26" ht="12.75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 spans="1:26" ht="12.75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 spans="1:26" ht="12.75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 spans="1:26" ht="12.75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 spans="1:26" ht="12.75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 spans="1:26" ht="12.75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 spans="1:26" ht="12.75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 spans="1:26" ht="12.75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 spans="1:26" ht="12.75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 spans="1:26" ht="12.75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 spans="1:26" ht="12.75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 spans="1:26" ht="12.75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 spans="1:26" ht="12.75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 spans="1:26" ht="12.75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 spans="1:26" ht="12.75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 spans="1:26" ht="12.75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 spans="1:26" ht="12.75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 spans="1:26" ht="12.75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 spans="1:26" ht="12.75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 spans="1:26" ht="12.75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 spans="1:26" ht="12.75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 spans="1:26" ht="12.75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 spans="1:26" ht="12.75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 spans="1:26" ht="12.75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 spans="1:26" ht="12.75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 spans="1:26" ht="12.75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 spans="1:26" ht="12.75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 spans="1:26" ht="12.75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 spans="1:26" ht="12.75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 spans="1:26" ht="12.75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 spans="1:26" ht="12.75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 spans="1:26" ht="12.75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 spans="1:26" ht="12.75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 spans="1:26" ht="12.75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 spans="1:26" ht="12.75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 spans="1:26" ht="12.75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 spans="1:26" ht="12.75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 spans="1:26" ht="12.75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 spans="1:26" ht="12.75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 spans="1:26" ht="12.75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 spans="1:26" ht="12.75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 spans="1:26" ht="12.75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 spans="1:26" ht="12.75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 spans="1:26" ht="12.75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 spans="1:26" ht="12.75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 spans="1:26" ht="12.75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 spans="1:26" ht="12.75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 spans="1:26" ht="12.75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 spans="1:26" ht="12.75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 spans="1:26" ht="12.75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 spans="1:26" ht="12.75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 spans="1:26" ht="12.75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 spans="1:26" ht="12.75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 spans="1:26" ht="12.75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 spans="1:26" ht="12.75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 spans="1:26" ht="12.75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 spans="1:26" ht="12.75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 spans="1:26" ht="12.75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 spans="1:26" ht="12.75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 spans="1:26" ht="12.75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 spans="1:26" ht="12.75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 spans="1:26" ht="12.75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 spans="1:26" ht="12.75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 spans="1:26" ht="12.75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 spans="1:26" ht="12.75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 spans="1:26" ht="12.75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 spans="1:26" ht="12.75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 spans="1:26" ht="12.75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 spans="1:26" ht="12.75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 spans="1:26" ht="12.75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 spans="1:26" ht="12.75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 spans="1:26" ht="12.75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 spans="1:26" ht="12.75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 spans="1:26" ht="12.75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 spans="1:26" ht="12.75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 spans="1:26" ht="12.75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 spans="1:26" ht="12.75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 spans="1:26" ht="12.75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 spans="1:26" ht="12.75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 spans="1:26" ht="12.75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 spans="1:26" ht="12.75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 spans="1:26" ht="12.75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 spans="1:26" ht="12.75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 spans="1:26" ht="12.75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 spans="1:26" ht="12.75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 spans="1:26" ht="12.75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 spans="1:26" ht="12.75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 spans="1:26" ht="12.75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 spans="1:26" ht="12.75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 spans="1:26" ht="12.75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 spans="1:26" ht="12.75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 spans="1:26" ht="12.75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 spans="1:26" ht="12.75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 spans="1:26" ht="12.75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 spans="1:26" ht="12.75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 spans="1:26" ht="12.75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 spans="1:26" ht="12.75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 spans="1:26" ht="12.75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 spans="1:26" ht="12.75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 spans="1:26" ht="12.75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 spans="1:26" ht="12.75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 spans="1:26" ht="12.75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 spans="1:26" ht="12.75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 spans="1:26" ht="12.75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 spans="1:26" ht="12.75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 spans="1:26" ht="12.75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 spans="1:26" ht="12.75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 spans="1:26" ht="12.75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 spans="1:26" ht="12.75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 spans="1:26" ht="12.75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 spans="1:26" ht="12.75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 spans="1:26" ht="12.75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 spans="1:26" ht="12.75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 spans="1:26" ht="12.75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 spans="1:26" ht="12.75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 spans="1:26" ht="12.75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 spans="1:26" ht="12.75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 spans="1:26" ht="12.75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 spans="1:26" ht="12.75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 spans="1:26" ht="12.75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 spans="1:26" ht="12.75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 spans="1:26" ht="12.75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 spans="1:26" ht="12.75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 spans="1:26" ht="12.75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 spans="1:26" ht="12.75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 spans="1:26" ht="12.75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 spans="1:26" ht="12.75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 spans="1:26" ht="12.75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 spans="1:26" ht="12.75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 spans="1:26" ht="12.75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 spans="1:26" ht="12.75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 spans="1:26" ht="12.75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 spans="1:26" ht="12.75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 spans="1:26" ht="12.75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 spans="1:26" ht="12.75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 spans="1:26" ht="12.75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 spans="1:26" ht="12.75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 spans="1:26" ht="12.75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pageMargins left="0.75" right="0.75" top="1" bottom="1" header="0.5" footer="0.5"/>
  <pageSetup paperSize="9" orientation="portrait" horizontalDpi="4294967292" verticalDpi="4294967292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B2:F106"/>
  <sheetViews>
    <sheetView topLeftCell="A22" workbookViewId="0">
      <selection activeCell="C33" sqref="C33"/>
    </sheetView>
  </sheetViews>
  <sheetFormatPr baseColWidth="10" defaultColWidth="14.42578125" defaultRowHeight="15" customHeight="1"/>
  <cols>
    <col min="2" max="2" width="24.28515625" customWidth="1"/>
    <col min="6" max="6" width="19" customWidth="1"/>
  </cols>
  <sheetData>
    <row r="2" spans="2:6">
      <c r="B2" s="7" t="s">
        <v>1</v>
      </c>
      <c r="C2" s="7" t="s">
        <v>6</v>
      </c>
      <c r="D2" s="7" t="s">
        <v>7</v>
      </c>
      <c r="E2" s="7" t="s">
        <v>8</v>
      </c>
      <c r="F2" s="7" t="s">
        <v>9</v>
      </c>
    </row>
    <row r="3" spans="2:6">
      <c r="B3" s="9" t="s">
        <v>10</v>
      </c>
      <c r="C3" s="9" t="s">
        <v>13</v>
      </c>
      <c r="D3" s="10"/>
      <c r="E3" s="12">
        <v>210000</v>
      </c>
      <c r="F3" s="12">
        <v>236925</v>
      </c>
    </row>
    <row r="4" spans="2:6">
      <c r="B4" s="9" t="s">
        <v>15</v>
      </c>
      <c r="C4" s="9" t="s">
        <v>13</v>
      </c>
      <c r="D4" s="10"/>
      <c r="E4" s="12">
        <v>2369</v>
      </c>
      <c r="F4" s="12">
        <v>2369</v>
      </c>
    </row>
    <row r="5" spans="2:6">
      <c r="B5" s="9" t="s">
        <v>16</v>
      </c>
      <c r="C5" s="9" t="s">
        <v>13</v>
      </c>
      <c r="D5" s="10"/>
      <c r="E5" s="12">
        <v>212370</v>
      </c>
      <c r="F5" s="12">
        <v>236925</v>
      </c>
    </row>
    <row r="6" spans="2:6">
      <c r="B6" s="9" t="s">
        <v>17</v>
      </c>
      <c r="C6" s="9" t="s">
        <v>18</v>
      </c>
      <c r="D6" s="10"/>
      <c r="E6" s="12">
        <v>142624</v>
      </c>
      <c r="F6" s="12">
        <v>78607</v>
      </c>
    </row>
    <row r="7" spans="2:6">
      <c r="B7" s="9" t="s">
        <v>19</v>
      </c>
      <c r="C7" s="9" t="s">
        <v>18</v>
      </c>
      <c r="D7" s="10"/>
      <c r="E7" s="12">
        <v>29582</v>
      </c>
      <c r="F7" s="12">
        <v>29582</v>
      </c>
    </row>
    <row r="8" spans="2:6">
      <c r="B8" s="9" t="s">
        <v>20</v>
      </c>
      <c r="C8" s="9" t="s">
        <v>18</v>
      </c>
      <c r="D8" s="10"/>
      <c r="E8" s="12">
        <v>2674481</v>
      </c>
      <c r="F8" s="12">
        <v>3389399</v>
      </c>
    </row>
    <row r="9" spans="2:6">
      <c r="B9" s="9" t="s">
        <v>21</v>
      </c>
      <c r="C9" s="9" t="s">
        <v>18</v>
      </c>
      <c r="D9" s="12">
        <v>586675</v>
      </c>
      <c r="E9" s="12">
        <v>160469</v>
      </c>
      <c r="F9" s="12">
        <v>203364</v>
      </c>
    </row>
    <row r="10" spans="2:6">
      <c r="B10" s="9" t="s">
        <v>22</v>
      </c>
      <c r="C10" s="9" t="s">
        <v>18</v>
      </c>
      <c r="D10" s="12">
        <v>586675</v>
      </c>
      <c r="E10" s="12">
        <v>2305124</v>
      </c>
      <c r="F10" s="12">
        <v>3389399</v>
      </c>
    </row>
    <row r="13" spans="2:6" ht="15" customHeight="1">
      <c r="E13" s="14"/>
    </row>
    <row r="14" spans="2:6">
      <c r="B14" s="15" t="s">
        <v>25</v>
      </c>
      <c r="C14" s="16"/>
      <c r="E14" s="14"/>
    </row>
    <row r="15" spans="2:6">
      <c r="B15" s="18" t="s">
        <v>32</v>
      </c>
      <c r="C15" s="19"/>
      <c r="E15" s="14"/>
    </row>
    <row r="16" spans="2:6">
      <c r="B16" s="22"/>
      <c r="C16" s="19"/>
      <c r="E16" s="14"/>
    </row>
    <row r="17" spans="2:5">
      <c r="B17" s="24" t="s">
        <v>35</v>
      </c>
      <c r="C17" s="25"/>
      <c r="E17" s="14"/>
    </row>
    <row r="18" spans="2:5">
      <c r="B18" s="22"/>
      <c r="C18" s="19"/>
      <c r="E18" s="14"/>
    </row>
    <row r="19" spans="2:5">
      <c r="B19" s="24" t="s">
        <v>37</v>
      </c>
      <c r="C19" s="25"/>
      <c r="E19" s="14"/>
    </row>
    <row r="20" spans="2:5">
      <c r="B20" s="27" t="s">
        <v>20</v>
      </c>
      <c r="C20" s="29">
        <f>F8</f>
        <v>3389399</v>
      </c>
      <c r="E20" s="14"/>
    </row>
    <row r="21" spans="2:5">
      <c r="B21" s="27" t="s">
        <v>54</v>
      </c>
      <c r="C21" s="30">
        <f>F5</f>
        <v>236925</v>
      </c>
      <c r="E21" s="14"/>
    </row>
    <row r="22" spans="2:5">
      <c r="B22" s="27" t="s">
        <v>60</v>
      </c>
      <c r="C22" s="31">
        <f>C20/C21</f>
        <v>14.305788751714678</v>
      </c>
      <c r="E22" s="14"/>
    </row>
    <row r="23" spans="2:5">
      <c r="B23" s="27" t="s">
        <v>61</v>
      </c>
      <c r="C23" s="30">
        <f>F8</f>
        <v>3389399</v>
      </c>
      <c r="E23" s="14"/>
    </row>
    <row r="24" spans="2:5">
      <c r="B24" s="27" t="s">
        <v>63</v>
      </c>
      <c r="C24" s="31">
        <f>C23/C21</f>
        <v>14.305788751714678</v>
      </c>
      <c r="E24" s="14"/>
    </row>
    <row r="25" spans="2:5">
      <c r="B25" s="22"/>
      <c r="C25" s="19"/>
      <c r="E25" s="14"/>
    </row>
    <row r="26" spans="2:5">
      <c r="B26" s="24" t="s">
        <v>65</v>
      </c>
      <c r="C26" s="25"/>
      <c r="E26" s="14"/>
    </row>
    <row r="27" spans="2:5">
      <c r="B27" s="27" t="s">
        <v>54</v>
      </c>
      <c r="C27" s="33">
        <f>E5</f>
        <v>212370</v>
      </c>
      <c r="E27" s="14"/>
    </row>
    <row r="28" spans="2:5">
      <c r="B28" s="27" t="s">
        <v>68</v>
      </c>
      <c r="C28" s="34">
        <f>E8</f>
        <v>2674481</v>
      </c>
      <c r="E28" s="14"/>
    </row>
    <row r="29" spans="2:5">
      <c r="B29" s="27" t="s">
        <v>69</v>
      </c>
      <c r="C29" s="30">
        <f>E5</f>
        <v>212370</v>
      </c>
      <c r="E29" s="14"/>
    </row>
    <row r="30" spans="2:5">
      <c r="B30" s="27" t="s">
        <v>70</v>
      </c>
      <c r="C30" s="31">
        <v>144.16</v>
      </c>
      <c r="E30" s="14"/>
    </row>
    <row r="31" spans="2:5">
      <c r="B31" s="27" t="s">
        <v>71</v>
      </c>
      <c r="C31" s="31">
        <v>281</v>
      </c>
      <c r="D31" s="14"/>
      <c r="E31" s="14"/>
    </row>
    <row r="32" spans="2:5">
      <c r="B32" s="27" t="s">
        <v>61</v>
      </c>
      <c r="C32" s="30">
        <f>E8</f>
        <v>2674481</v>
      </c>
      <c r="D32" s="35"/>
      <c r="E32" s="14"/>
    </row>
    <row r="33" spans="2:5">
      <c r="B33" s="27" t="s">
        <v>72</v>
      </c>
      <c r="C33" s="29">
        <v>3047668.63</v>
      </c>
      <c r="E33" s="14"/>
    </row>
    <row r="34" spans="2:5">
      <c r="B34" s="27" t="s">
        <v>73</v>
      </c>
      <c r="C34" s="30">
        <f>E7</f>
        <v>29582</v>
      </c>
      <c r="E34" s="14"/>
    </row>
    <row r="35" spans="2:5">
      <c r="B35" s="27" t="s">
        <v>74</v>
      </c>
      <c r="C35" s="36">
        <v>87712</v>
      </c>
      <c r="E35" s="14"/>
    </row>
    <row r="36" spans="2:5" ht="15" customHeight="1">
      <c r="E36" s="14"/>
    </row>
    <row r="37" spans="2:5" ht="15" customHeight="1">
      <c r="E37" s="14"/>
    </row>
    <row r="38" spans="2:5" ht="15" customHeight="1">
      <c r="E38" s="14"/>
    </row>
    <row r="39" spans="2:5" ht="15" customHeight="1">
      <c r="E39" s="14"/>
    </row>
    <row r="57" spans="2:4">
      <c r="B57" s="37" t="s">
        <v>75</v>
      </c>
      <c r="C57" s="38"/>
      <c r="D57" s="39"/>
    </row>
    <row r="58" spans="2:4">
      <c r="B58" s="40" t="s">
        <v>76</v>
      </c>
      <c r="C58" s="14"/>
      <c r="D58" s="41"/>
    </row>
    <row r="59" spans="2:4" ht="15" customHeight="1">
      <c r="B59" s="42"/>
      <c r="C59" s="14"/>
      <c r="D59" s="41"/>
    </row>
    <row r="60" spans="2:4">
      <c r="B60" s="43" t="s">
        <v>77</v>
      </c>
      <c r="C60" s="44">
        <v>6</v>
      </c>
      <c r="D60" s="41"/>
    </row>
    <row r="61" spans="2:4">
      <c r="B61" s="43" t="s">
        <v>78</v>
      </c>
      <c r="C61" s="44">
        <v>1</v>
      </c>
      <c r="D61" s="41"/>
    </row>
    <row r="62" spans="2:4">
      <c r="B62" s="43" t="s">
        <v>79</v>
      </c>
      <c r="C62" s="44">
        <v>1</v>
      </c>
      <c r="D62" s="41"/>
    </row>
    <row r="63" spans="2:4">
      <c r="B63" s="43" t="s">
        <v>80</v>
      </c>
      <c r="C63" s="44">
        <v>13</v>
      </c>
      <c r="D63" s="41"/>
    </row>
    <row r="64" spans="2:4">
      <c r="B64" s="45" t="s">
        <v>81</v>
      </c>
      <c r="C64" s="35"/>
      <c r="D64" s="46"/>
    </row>
    <row r="65" spans="2:4">
      <c r="B65" s="43" t="s">
        <v>82</v>
      </c>
      <c r="C65" s="47">
        <v>20000</v>
      </c>
      <c r="D65" s="48" t="s">
        <v>83</v>
      </c>
    </row>
    <row r="66" spans="2:4">
      <c r="B66" s="43" t="s">
        <v>84</v>
      </c>
      <c r="C66" s="49">
        <v>0.35</v>
      </c>
      <c r="D66" s="50" t="s">
        <v>85</v>
      </c>
    </row>
    <row r="67" spans="2:4">
      <c r="B67" s="43" t="s">
        <v>86</v>
      </c>
      <c r="C67" s="49">
        <v>0.45</v>
      </c>
      <c r="D67" s="50" t="s">
        <v>85</v>
      </c>
    </row>
    <row r="68" spans="2:4">
      <c r="B68" s="45" t="s">
        <v>37</v>
      </c>
      <c r="C68" s="35"/>
      <c r="D68" s="46"/>
    </row>
    <row r="69" spans="2:4">
      <c r="B69" s="43" t="s">
        <v>61</v>
      </c>
      <c r="C69" s="51">
        <v>3053700</v>
      </c>
      <c r="D69" s="46"/>
    </row>
    <row r="70" spans="2:4">
      <c r="B70" s="43" t="s">
        <v>65</v>
      </c>
      <c r="C70" s="35"/>
      <c r="D70" s="46"/>
    </row>
    <row r="71" spans="2:4">
      <c r="B71" s="43" t="s">
        <v>61</v>
      </c>
      <c r="C71" s="52" t="s">
        <v>87</v>
      </c>
      <c r="D71" s="46"/>
    </row>
    <row r="72" spans="2:4">
      <c r="B72" s="43" t="s">
        <v>88</v>
      </c>
      <c r="C72" s="53" t="s">
        <v>89</v>
      </c>
      <c r="D72" s="46"/>
    </row>
    <row r="73" spans="2:4">
      <c r="B73" s="43" t="s">
        <v>90</v>
      </c>
      <c r="C73" s="52" t="s">
        <v>91</v>
      </c>
      <c r="D73" s="46"/>
    </row>
    <row r="74" spans="2:4">
      <c r="B74" s="43" t="s">
        <v>92</v>
      </c>
      <c r="C74" s="51">
        <v>316523</v>
      </c>
      <c r="D74" s="46"/>
    </row>
    <row r="85" spans="2:4">
      <c r="B85" s="40" t="s">
        <v>93</v>
      </c>
      <c r="C85" s="14"/>
      <c r="D85" s="41"/>
    </row>
    <row r="86" spans="2:4">
      <c r="B86" s="40" t="s">
        <v>94</v>
      </c>
      <c r="C86" s="14"/>
      <c r="D86" s="41"/>
    </row>
    <row r="87" spans="2:4" ht="15" customHeight="1">
      <c r="B87" s="42"/>
      <c r="C87" s="35"/>
      <c r="D87" s="46"/>
    </row>
    <row r="88" spans="2:4">
      <c r="B88" s="43" t="s">
        <v>95</v>
      </c>
      <c r="C88" s="54">
        <v>0.05</v>
      </c>
      <c r="D88" s="50" t="s">
        <v>96</v>
      </c>
    </row>
    <row r="89" spans="2:4">
      <c r="B89" s="43" t="s">
        <v>97</v>
      </c>
      <c r="C89" s="54">
        <v>0.05</v>
      </c>
      <c r="D89" s="50" t="s">
        <v>96</v>
      </c>
    </row>
    <row r="90" spans="2:4">
      <c r="B90" s="43" t="s">
        <v>98</v>
      </c>
      <c r="C90" s="54">
        <v>0.03</v>
      </c>
      <c r="D90" s="50" t="s">
        <v>99</v>
      </c>
    </row>
    <row r="91" spans="2:4">
      <c r="B91" s="43" t="s">
        <v>100</v>
      </c>
      <c r="C91" s="54">
        <v>0.02</v>
      </c>
      <c r="D91" s="50" t="s">
        <v>99</v>
      </c>
    </row>
    <row r="92" spans="2:4">
      <c r="B92" s="43" t="s">
        <v>101</v>
      </c>
      <c r="C92" s="54">
        <v>0.05</v>
      </c>
      <c r="D92" s="50" t="s">
        <v>102</v>
      </c>
    </row>
    <row r="93" spans="2:4" ht="15" customHeight="1">
      <c r="B93" s="42"/>
      <c r="C93" s="14"/>
      <c r="D93" s="41"/>
    </row>
    <row r="94" spans="2:4">
      <c r="B94" s="43" t="s">
        <v>103</v>
      </c>
      <c r="C94" s="35"/>
      <c r="D94" s="46"/>
    </row>
    <row r="95" spans="2:4">
      <c r="B95" s="43" t="s">
        <v>95</v>
      </c>
      <c r="C95" s="47" t="s">
        <v>104</v>
      </c>
      <c r="D95" s="46"/>
    </row>
    <row r="96" spans="2:4">
      <c r="B96" s="43" t="s">
        <v>97</v>
      </c>
      <c r="C96" s="47" t="s">
        <v>104</v>
      </c>
      <c r="D96" s="46"/>
    </row>
    <row r="97" spans="2:4">
      <c r="B97" s="43" t="s">
        <v>105</v>
      </c>
      <c r="C97" s="47" t="s">
        <v>106</v>
      </c>
      <c r="D97" s="46"/>
    </row>
    <row r="98" spans="2:4">
      <c r="B98" s="43" t="s">
        <v>100</v>
      </c>
      <c r="C98" s="47" t="s">
        <v>107</v>
      </c>
      <c r="D98" s="46"/>
    </row>
    <row r="99" spans="2:4">
      <c r="B99" s="43" t="s">
        <v>61</v>
      </c>
      <c r="C99" s="47" t="s">
        <v>108</v>
      </c>
      <c r="D99" s="46"/>
    </row>
    <row r="100" spans="2:4">
      <c r="B100" s="43" t="s">
        <v>109</v>
      </c>
      <c r="C100" s="47" t="s">
        <v>110</v>
      </c>
      <c r="D100" s="48" t="s">
        <v>111</v>
      </c>
    </row>
    <row r="101" spans="2:4">
      <c r="B101" s="43" t="s">
        <v>112</v>
      </c>
      <c r="C101" s="47" t="s">
        <v>113</v>
      </c>
      <c r="D101" s="46"/>
    </row>
    <row r="102" spans="2:4">
      <c r="B102" s="43" t="s">
        <v>8</v>
      </c>
      <c r="C102" s="35"/>
      <c r="D102" s="46"/>
    </row>
    <row r="103" spans="2:4">
      <c r="B103" s="43" t="s">
        <v>61</v>
      </c>
      <c r="C103" s="47" t="s">
        <v>114</v>
      </c>
      <c r="D103" s="46"/>
    </row>
    <row r="104" spans="2:4">
      <c r="B104" s="43" t="s">
        <v>88</v>
      </c>
      <c r="C104" s="47" t="s">
        <v>115</v>
      </c>
      <c r="D104" s="46"/>
    </row>
    <row r="105" spans="2:4">
      <c r="B105" s="43" t="s">
        <v>116</v>
      </c>
      <c r="C105" s="47" t="s">
        <v>117</v>
      </c>
      <c r="D105" s="46"/>
    </row>
    <row r="106" spans="2:4">
      <c r="B106" s="43" t="s">
        <v>118</v>
      </c>
      <c r="C106" s="47" t="s">
        <v>119</v>
      </c>
      <c r="D106" s="46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17</vt:i4>
      </vt:variant>
    </vt:vector>
  </HeadingPairs>
  <TitlesOfParts>
    <vt:vector size="17" baseType="lpstr">
      <vt:lpstr>InfoInicial</vt:lpstr>
      <vt:lpstr>Credito No Renovable</vt:lpstr>
      <vt:lpstr>E-Costos</vt:lpstr>
      <vt:lpstr>E-IVA </vt:lpstr>
      <vt:lpstr>E-Inv AF y Am</vt:lpstr>
      <vt:lpstr>E-Cal Inv.</vt:lpstr>
      <vt:lpstr>E-InvAT</vt:lpstr>
      <vt:lpstr>E-Form</vt:lpstr>
      <vt:lpstr>Ejercicios</vt:lpstr>
      <vt:lpstr>Crédito MP</vt:lpstr>
      <vt:lpstr>F-Cred</vt:lpstr>
      <vt:lpstr>F-CRes</vt:lpstr>
      <vt:lpstr>F-2 Estructura</vt:lpstr>
      <vt:lpstr>F-IVA</vt:lpstr>
      <vt:lpstr>F- CFyU</vt:lpstr>
      <vt:lpstr>F-Balance</vt:lpstr>
      <vt:lpstr>F- Form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</dc:creator>
  <cp:lastModifiedBy>Jose</cp:lastModifiedBy>
  <dcterms:created xsi:type="dcterms:W3CDTF">2017-09-23T22:23:31Z</dcterms:created>
  <dcterms:modified xsi:type="dcterms:W3CDTF">2017-11-17T22:48:17Z</dcterms:modified>
</cp:coreProperties>
</file>