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carrizo\Downloads\"/>
    </mc:Choice>
  </mc:AlternateContent>
  <xr:revisionPtr revIDLastSave="0" documentId="8_{CD39069A-81A4-4578-8D1F-AB6260E69076}" xr6:coauthVersionLast="47" xr6:coauthVersionMax="47" xr10:uidLastSave="{00000000-0000-0000-0000-000000000000}"/>
  <bookViews>
    <workbookView xWindow="-108" yWindow="-108" windowWidth="23256" windowHeight="12576" tabRatio="908" firstSheet="8" activeTab="20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E-Costos" sheetId="8" r:id="rId8"/>
    <sheet name="E-InvAT" sheetId="9" r:id="rId9"/>
    <sheet name="E-IVA " sheetId="10" r:id="rId10"/>
    <sheet name="E-Cal Inv." sheetId="11" r:id="rId11"/>
    <sheet name="E-Form" sheetId="12" r:id="rId12"/>
    <sheet name="Ej 50-66" sheetId="22" r:id="rId13"/>
    <sheet name="tecnico" sheetId="31" r:id="rId14"/>
    <sheet name="F-Cred" sheetId="21" r:id="rId15"/>
    <sheet name="F-CRes" sheetId="23" r:id="rId16"/>
    <sheet name="F-IVA" sheetId="26" r:id="rId17"/>
    <sheet name="F-2 Estructura" sheetId="25" r:id="rId18"/>
    <sheet name="F- CFyU" sheetId="27" r:id="rId19"/>
    <sheet name="F-Balance" sheetId="29" r:id="rId20"/>
    <sheet name="F- Form" sheetId="30" r:id="rId21"/>
    <sheet name="Análisis de riesgo" sheetId="20" state="hidden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D35" i="30" l="1"/>
  <c r="D15" i="30"/>
  <c r="H85" i="7"/>
  <c r="H86" i="7"/>
  <c r="H87" i="7"/>
  <c r="E85" i="8"/>
  <c r="D34" i="8"/>
  <c r="E34" i="8"/>
  <c r="F34" i="8"/>
  <c r="G34" i="8"/>
  <c r="C34" i="8"/>
  <c r="E11" i="8"/>
  <c r="N15" i="7"/>
  <c r="Q15" i="7"/>
  <c r="R15" i="7"/>
  <c r="T15" i="7"/>
  <c r="B24" i="30"/>
  <c r="E7" i="9"/>
  <c r="F9" i="29"/>
  <c r="G9" i="29"/>
  <c r="E9" i="29"/>
  <c r="E20" i="23"/>
  <c r="E23" i="23"/>
  <c r="E24" i="23"/>
  <c r="E22" i="23"/>
  <c r="F98" i="8"/>
  <c r="F135" i="8"/>
  <c r="E22" i="29"/>
  <c r="B26" i="27"/>
  <c r="B24" i="27"/>
  <c r="B5" i="27"/>
  <c r="B16" i="27"/>
  <c r="F15" i="29"/>
  <c r="F17" i="26"/>
  <c r="E30" i="21"/>
  <c r="E19" i="29"/>
  <c r="E17" i="29"/>
  <c r="F14" i="29"/>
  <c r="F17" i="29" s="1"/>
  <c r="G14" i="29" s="1"/>
  <c r="E127" i="8"/>
  <c r="D10" i="23"/>
  <c r="D4" i="23"/>
  <c r="B29" i="29"/>
  <c r="E27" i="29"/>
  <c r="D27" i="29"/>
  <c r="C27" i="29"/>
  <c r="B27" i="29"/>
  <c r="F27" i="29"/>
  <c r="F7" i="29"/>
  <c r="T28" i="7"/>
  <c r="L18" i="1"/>
  <c r="O17" i="1"/>
  <c r="M17" i="1"/>
  <c r="Q13" i="1"/>
  <c r="Q14" i="1"/>
  <c r="Q15" i="1"/>
  <c r="Q16" i="1"/>
  <c r="Q17" i="1"/>
  <c r="Q18" i="1"/>
  <c r="Q19" i="1"/>
  <c r="Q20" i="1"/>
  <c r="Q12" i="1"/>
  <c r="O16" i="1"/>
  <c r="L16" i="1"/>
  <c r="O13" i="1"/>
  <c r="L13" i="1"/>
  <c r="E7" i="8"/>
  <c r="O25" i="1"/>
  <c r="O14" i="1"/>
  <c r="E64" i="8"/>
  <c r="K90" i="7"/>
  <c r="C10" i="9"/>
  <c r="J2" i="9"/>
  <c r="C85" i="8"/>
  <c r="H89" i="7"/>
  <c r="C33" i="8"/>
  <c r="H103" i="7"/>
  <c r="H104" i="7"/>
  <c r="H105" i="7"/>
  <c r="C100" i="7" s="1"/>
  <c r="H84" i="7"/>
  <c r="E5" i="1"/>
  <c r="M3" i="1" s="1"/>
  <c r="M7" i="1" s="1"/>
  <c r="D11" i="8"/>
  <c r="F11" i="8"/>
  <c r="G11" i="8"/>
  <c r="C11" i="8"/>
  <c r="E8" i="8"/>
  <c r="D8" i="8"/>
  <c r="F8" i="8"/>
  <c r="G8" i="8"/>
  <c r="C8" i="8"/>
  <c r="Q16" i="7"/>
  <c r="Q17" i="7"/>
  <c r="Q18" i="7"/>
  <c r="Q19" i="7"/>
  <c r="R19" i="7" s="1"/>
  <c r="T19" i="7" s="1"/>
  <c r="Q20" i="7"/>
  <c r="Q21" i="7"/>
  <c r="Q22" i="7"/>
  <c r="Q23" i="7"/>
  <c r="R23" i="7" s="1"/>
  <c r="T23" i="7" s="1"/>
  <c r="Q24" i="7"/>
  <c r="Q25" i="7"/>
  <c r="Q26" i="7"/>
  <c r="Q27" i="7"/>
  <c r="W27" i="7" s="1"/>
  <c r="Q28" i="7"/>
  <c r="W28" i="7" s="1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Q11" i="7"/>
  <c r="R28" i="7"/>
  <c r="W26" i="7"/>
  <c r="T26" i="7"/>
  <c r="R26" i="7"/>
  <c r="W25" i="7"/>
  <c r="R25" i="7"/>
  <c r="T25" i="7" s="1"/>
  <c r="W24" i="7"/>
  <c r="R24" i="7"/>
  <c r="T24" i="7" s="1"/>
  <c r="W23" i="7"/>
  <c r="W22" i="7"/>
  <c r="R22" i="7"/>
  <c r="T22" i="7" s="1"/>
  <c r="W21" i="7"/>
  <c r="R21" i="7"/>
  <c r="T21" i="7" s="1"/>
  <c r="W20" i="7"/>
  <c r="T20" i="7"/>
  <c r="R20" i="7"/>
  <c r="W18" i="7"/>
  <c r="R18" i="7"/>
  <c r="T18" i="7" s="1"/>
  <c r="W17" i="7"/>
  <c r="T17" i="7"/>
  <c r="R17" i="7"/>
  <c r="W16" i="7"/>
  <c r="T16" i="7"/>
  <c r="R16" i="7"/>
  <c r="W15" i="7"/>
  <c r="F7" i="8"/>
  <c r="G7" i="8"/>
  <c r="B15" i="22"/>
  <c r="E12" i="11"/>
  <c r="H12" i="11"/>
  <c r="D12" i="11"/>
  <c r="D5" i="21"/>
  <c r="A78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A52" i="25"/>
  <c r="D9" i="1"/>
  <c r="B16" i="22"/>
  <c r="B17" i="22" s="1"/>
  <c r="E22" i="22" s="1"/>
  <c r="B8" i="5"/>
  <c r="C8" i="5"/>
  <c r="B33" i="5"/>
  <c r="G10" i="27"/>
  <c r="G62" i="22"/>
  <c r="B10" i="29"/>
  <c r="C26" i="30"/>
  <c r="D24" i="30"/>
  <c r="G7" i="23"/>
  <c r="F10" i="23"/>
  <c r="D29" i="30"/>
  <c r="D28" i="30"/>
  <c r="D27" i="30"/>
  <c r="D26" i="30"/>
  <c r="D25" i="30"/>
  <c r="C12" i="25"/>
  <c r="B21" i="25"/>
  <c r="B34" i="9"/>
  <c r="B13" i="22"/>
  <c r="B8" i="29"/>
  <c r="G11" i="29"/>
  <c r="C34" i="29"/>
  <c r="C28" i="23"/>
  <c r="B16" i="26"/>
  <c r="C20" i="21"/>
  <c r="C19" i="21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78" i="22"/>
  <c r="F78" i="22"/>
  <c r="L86" i="22" s="1"/>
  <c r="E90" i="22" s="1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G15" i="29"/>
  <c r="B9" i="29"/>
  <c r="B19" i="25"/>
  <c r="B18" i="25"/>
  <c r="B17" i="25"/>
  <c r="B13" i="25"/>
  <c r="D28" i="25"/>
  <c r="C6" i="25"/>
  <c r="I8" i="7"/>
  <c r="I5" i="7"/>
  <c r="I4" i="7"/>
  <c r="I6" i="7"/>
  <c r="I7" i="7"/>
  <c r="B8" i="27"/>
  <c r="C6" i="27"/>
  <c r="J4" i="7"/>
  <c r="E38" i="7"/>
  <c r="I9" i="7"/>
  <c r="H4" i="7"/>
  <c r="D6" i="3"/>
  <c r="D125" i="7"/>
  <c r="F5" i="1"/>
  <c r="G5" i="1"/>
  <c r="D5" i="1"/>
  <c r="N3" i="1"/>
  <c r="O3" i="1"/>
  <c r="L3" i="1"/>
  <c r="M12" i="1"/>
  <c r="H33" i="8"/>
  <c r="C64" i="8"/>
  <c r="J29" i="8"/>
  <c r="D33" i="8" s="1"/>
  <c r="D132" i="7"/>
  <c r="D131" i="7"/>
  <c r="J7" i="7"/>
  <c r="K20" i="1"/>
  <c r="C7" i="1"/>
  <c r="G22" i="1"/>
  <c r="H9" i="7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B10" i="9"/>
  <c r="C10" i="4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0" i="8" s="1"/>
  <c r="C89" i="8"/>
  <c r="C69" i="8"/>
  <c r="E39" i="7"/>
  <c r="E40" i="7"/>
  <c r="L28" i="1"/>
  <c r="J104" i="7"/>
  <c r="G6" i="1"/>
  <c r="G7" i="1" s="1"/>
  <c r="F6" i="1"/>
  <c r="F7" i="1" s="1"/>
  <c r="E6" i="1"/>
  <c r="E7" i="1" s="1"/>
  <c r="L6" i="7" s="1"/>
  <c r="D6" i="1"/>
  <c r="D7" i="1" s="1"/>
  <c r="C6" i="1"/>
  <c r="D7" i="4"/>
  <c r="B2" i="4"/>
  <c r="N7" i="1"/>
  <c r="O7" i="1"/>
  <c r="L4" i="1"/>
  <c r="M4" i="1"/>
  <c r="N4" i="1"/>
  <c r="N5" i="1" s="1"/>
  <c r="F106" i="8" s="1"/>
  <c r="O4" i="1"/>
  <c r="O5" i="1" s="1"/>
  <c r="G106" i="8" s="1"/>
  <c r="K4" i="1"/>
  <c r="K3" i="1"/>
  <c r="C1" i="1"/>
  <c r="E9" i="1"/>
  <c r="F9" i="1"/>
  <c r="G9" i="1"/>
  <c r="C9" i="1"/>
  <c r="C107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5" i="5"/>
  <c r="C54" i="5"/>
  <c r="C47" i="5"/>
  <c r="C48" i="5"/>
  <c r="C49" i="5"/>
  <c r="C50" i="5"/>
  <c r="C51" i="5"/>
  <c r="C46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6" i="1"/>
  <c r="G23" i="1" s="1"/>
  <c r="M14" i="1"/>
  <c r="M25" i="1" s="1"/>
  <c r="M13" i="1"/>
  <c r="M24" i="1" s="1"/>
  <c r="M23" i="1"/>
  <c r="L19" i="1"/>
  <c r="L30" i="1" s="1"/>
  <c r="L24" i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B28" i="29" l="1"/>
  <c r="C29" i="29"/>
  <c r="D29" i="29" s="1"/>
  <c r="E29" i="29" s="1"/>
  <c r="F29" i="29" s="1"/>
  <c r="G29" i="29" s="1"/>
  <c r="M5" i="1"/>
  <c r="E106" i="8" s="1"/>
  <c r="L7" i="7"/>
  <c r="L4" i="7"/>
  <c r="L8" i="7"/>
  <c r="L5" i="7"/>
  <c r="W19" i="7"/>
  <c r="W29" i="7" s="1"/>
  <c r="R27" i="7"/>
  <c r="T27" i="7" s="1"/>
  <c r="V25" i="7" s="1"/>
  <c r="V29" i="7" s="1"/>
  <c r="V15" i="7"/>
  <c r="B13" i="21"/>
  <c r="B14" i="21"/>
  <c r="M59" i="22"/>
  <c r="D58" i="22"/>
  <c r="I88" i="22"/>
  <c r="D86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1" i="8"/>
  <c r="D91" i="8"/>
  <c r="E91" i="8"/>
  <c r="F91" i="8"/>
  <c r="C91" i="8"/>
  <c r="E87" i="3"/>
  <c r="E78" i="3"/>
  <c r="E79" i="3" s="1"/>
  <c r="L29" i="1"/>
  <c r="M29" i="1"/>
  <c r="D10" i="9"/>
  <c r="B46" i="5"/>
  <c r="F5" i="4"/>
  <c r="G64" i="8"/>
  <c r="F64" i="8"/>
  <c r="D64" i="8"/>
  <c r="D100" i="7"/>
  <c r="C70" i="8" s="1"/>
  <c r="O8" i="1"/>
  <c r="N8" i="1"/>
  <c r="M8" i="1"/>
  <c r="K7" i="1"/>
  <c r="K5" i="1"/>
  <c r="C106" i="8" s="1"/>
  <c r="L7" i="1"/>
  <c r="L5" i="1"/>
  <c r="D106" i="8" s="1"/>
  <c r="D154" i="7"/>
  <c r="L25" i="1"/>
  <c r="L27" i="1"/>
  <c r="D155" i="7"/>
  <c r="M27" i="1"/>
  <c r="D128" i="7"/>
  <c r="D133" i="7" s="1"/>
  <c r="M28" i="1"/>
  <c r="E41" i="3"/>
  <c r="C46" i="3"/>
  <c r="E46" i="3"/>
  <c r="B11" i="5" s="1"/>
  <c r="O66" i="7"/>
  <c r="O65" i="7"/>
  <c r="O64" i="7"/>
  <c r="O63" i="7"/>
  <c r="O62" i="7"/>
  <c r="O61" i="7"/>
  <c r="O60" i="7"/>
  <c r="O59" i="7"/>
  <c r="O58" i="7"/>
  <c r="O57" i="7"/>
  <c r="O56" i="7"/>
  <c r="B11" i="9"/>
  <c r="L9" i="7" l="1"/>
  <c r="T29" i="7"/>
  <c r="E22" i="21"/>
  <c r="E24" i="21"/>
  <c r="E26" i="21"/>
  <c r="E28" i="21"/>
  <c r="E20" i="21"/>
  <c r="F31" i="21"/>
  <c r="F32" i="21" s="1"/>
  <c r="B14" i="22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7" i="5" s="1"/>
  <c r="E46" i="5"/>
  <c r="D46" i="5"/>
  <c r="G46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7" i="8"/>
  <c r="F127" i="8"/>
  <c r="D127" i="8"/>
  <c r="C127" i="8"/>
  <c r="G111" i="8"/>
  <c r="F111" i="8"/>
  <c r="E111" i="8"/>
  <c r="D111" i="8"/>
  <c r="C111" i="8"/>
  <c r="D107" i="8"/>
  <c r="E107" i="8" s="1"/>
  <c r="F107" i="8" s="1"/>
  <c r="G107" i="8" s="1"/>
  <c r="G89" i="8"/>
  <c r="F89" i="8"/>
  <c r="E89" i="8"/>
  <c r="D89" i="8"/>
  <c r="G69" i="8"/>
  <c r="F69" i="8"/>
  <c r="E69" i="8"/>
  <c r="D69" i="8"/>
  <c r="G15" i="8"/>
  <c r="F15" i="8"/>
  <c r="E15" i="8"/>
  <c r="D15" i="8"/>
  <c r="C15" i="8"/>
  <c r="F2" i="8"/>
  <c r="C16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8" i="5"/>
  <c r="D35" i="5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5" i="29"/>
  <c r="C19" i="27"/>
  <c r="G19" i="27"/>
  <c r="F19" i="27"/>
  <c r="E19" i="27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3" i="8"/>
  <c r="D47" i="5"/>
  <c r="E47" i="5"/>
  <c r="G47" i="5"/>
  <c r="B31" i="5"/>
  <c r="C7" i="11" s="1"/>
  <c r="B48" i="5"/>
  <c r="C30" i="9"/>
  <c r="D14" i="11"/>
  <c r="C14" i="11"/>
  <c r="B30" i="9"/>
  <c r="I15" i="7"/>
  <c r="F84" i="7"/>
  <c r="G28" i="7"/>
  <c r="D139" i="7"/>
  <c r="D140" i="7" s="1"/>
  <c r="I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0" i="8"/>
  <c r="G70" i="8"/>
  <c r="G16" i="8"/>
  <c r="E15" i="3"/>
  <c r="D90" i="8"/>
  <c r="G90" i="8"/>
  <c r="F90" i="8"/>
  <c r="E90" i="8"/>
  <c r="B19" i="5"/>
  <c r="D110" i="8"/>
  <c r="D114" i="8" s="1"/>
  <c r="G110" i="8"/>
  <c r="F110" i="8"/>
  <c r="F114" i="8" s="1"/>
  <c r="E110" i="8"/>
  <c r="E114" i="8" s="1"/>
  <c r="D16" i="8"/>
  <c r="D70" i="8"/>
  <c r="C110" i="8"/>
  <c r="C114" i="8" s="1"/>
  <c r="E16" i="8"/>
  <c r="E70" i="8"/>
  <c r="F16" i="8"/>
  <c r="E14" i="11"/>
  <c r="D30" i="9"/>
  <c r="E10" i="9"/>
  <c r="H21" i="11"/>
  <c r="F33" i="8" l="1"/>
  <c r="G33" i="8" s="1"/>
  <c r="H62" i="22"/>
  <c r="J61" i="22"/>
  <c r="B4" i="23"/>
  <c r="C6" i="9"/>
  <c r="E6" i="9"/>
  <c r="E7" i="29" s="1"/>
  <c r="F6" i="9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E4" i="23"/>
  <c r="F10" i="27" s="1"/>
  <c r="C4" i="23"/>
  <c r="D10" i="27" s="1"/>
  <c r="C22" i="10"/>
  <c r="C13" i="26" s="1"/>
  <c r="C10" i="27"/>
  <c r="B21" i="5"/>
  <c r="B35" i="5" s="1"/>
  <c r="C7" i="9"/>
  <c r="E22" i="10"/>
  <c r="E13" i="26" s="1"/>
  <c r="F28" i="9"/>
  <c r="F85" i="8"/>
  <c r="F22" i="10"/>
  <c r="F13" i="26" s="1"/>
  <c r="F7" i="9"/>
  <c r="D85" i="8"/>
  <c r="D22" i="10"/>
  <c r="D13" i="26" s="1"/>
  <c r="D7" i="9"/>
  <c r="D9" i="29" s="1"/>
  <c r="D48" i="5"/>
  <c r="E48" i="5"/>
  <c r="G48" i="5"/>
  <c r="D165" i="7"/>
  <c r="C116" i="8"/>
  <c r="J85" i="7"/>
  <c r="D137" i="7"/>
  <c r="D141" i="7" s="1"/>
  <c r="E141" i="7"/>
  <c r="I25" i="7"/>
  <c r="D146" i="7" s="1"/>
  <c r="B50" i="5"/>
  <c r="D50" i="5" s="1"/>
  <c r="B51" i="5"/>
  <c r="B52" i="5" s="1"/>
  <c r="D51" i="5"/>
  <c r="E51" i="5"/>
  <c r="G51" i="5"/>
  <c r="J83" i="7"/>
  <c r="J82" i="7"/>
  <c r="J86" i="7"/>
  <c r="C8" i="11"/>
  <c r="C21" i="11" s="1"/>
  <c r="B166" i="8"/>
  <c r="F14" i="11"/>
  <c r="F10" i="9"/>
  <c r="E30" i="9"/>
  <c r="G114" i="8"/>
  <c r="E11" i="11"/>
  <c r="G85" i="7"/>
  <c r="I85" i="7"/>
  <c r="D147" i="7"/>
  <c r="E147" i="7" s="1"/>
  <c r="E146" i="7"/>
  <c r="F146" i="7" s="1"/>
  <c r="C37" i="8" s="1"/>
  <c r="G138" i="7"/>
  <c r="C117" i="8"/>
  <c r="E28" i="29" l="1"/>
  <c r="E10" i="27"/>
  <c r="G4" i="23"/>
  <c r="G12" i="11"/>
  <c r="F12" i="11"/>
  <c r="B19" i="21"/>
  <c r="B20" i="21" s="1"/>
  <c r="J63" i="22"/>
  <c r="B21" i="21"/>
  <c r="B22" i="21" s="1"/>
  <c r="F22" i="21"/>
  <c r="F20" i="21"/>
  <c r="D28" i="29"/>
  <c r="G6" i="9"/>
  <c r="G7" i="29" s="1"/>
  <c r="D167" i="8"/>
  <c r="D170" i="8"/>
  <c r="B6" i="9"/>
  <c r="C7" i="29"/>
  <c r="D11" i="11"/>
  <c r="B23" i="21"/>
  <c r="B24" i="21" s="1"/>
  <c r="C9" i="29"/>
  <c r="C13" i="25"/>
  <c r="D13" i="25" s="1"/>
  <c r="D21" i="2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J91" i="22"/>
  <c r="H91" i="22"/>
  <c r="D113" i="22" s="1"/>
  <c r="D20" i="23" s="1"/>
  <c r="F4" i="23"/>
  <c r="B21" i="11"/>
  <c r="B23" i="11" s="1"/>
  <c r="B25" i="11"/>
  <c r="G85" i="8"/>
  <c r="G22" i="10"/>
  <c r="G13" i="26" s="1"/>
  <c r="G7" i="9"/>
  <c r="D28" i="9"/>
  <c r="E28" i="9"/>
  <c r="C28" i="9"/>
  <c r="F83" i="7"/>
  <c r="F147" i="7"/>
  <c r="D37" i="8" s="1"/>
  <c r="E37" i="8" s="1"/>
  <c r="F37" i="8" s="1"/>
  <c r="G37" i="8" s="1"/>
  <c r="B36" i="5"/>
  <c r="D52" i="5"/>
  <c r="E50" i="5"/>
  <c r="E52" i="5" s="1"/>
  <c r="G50" i="5"/>
  <c r="G52" i="5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6" i="8"/>
  <c r="F140" i="22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9" i="8"/>
  <c r="D168" i="8"/>
  <c r="D117" i="8"/>
  <c r="E166" i="7"/>
  <c r="F166" i="7" s="1"/>
  <c r="G166" i="7" s="1"/>
  <c r="H166" i="7" s="1"/>
  <c r="G28" i="9"/>
  <c r="B191" i="8"/>
  <c r="F28" i="29" l="1"/>
  <c r="H10" i="27"/>
  <c r="E33" i="22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D22" i="21"/>
  <c r="G22" i="21" s="1"/>
  <c r="G20" i="21"/>
  <c r="B25" i="21"/>
  <c r="B26" i="21" s="1"/>
  <c r="F24" i="21"/>
  <c r="B7" i="29"/>
  <c r="B15" i="9"/>
  <c r="C11" i="11"/>
  <c r="B12" i="25"/>
  <c r="D12" i="25" s="1"/>
  <c r="D8" i="21"/>
  <c r="C40" i="21"/>
  <c r="C39" i="21"/>
  <c r="G14" i="21"/>
  <c r="J59" i="22"/>
  <c r="B113" i="22" s="1"/>
  <c r="B20" i="23" s="1"/>
  <c r="B114" i="22"/>
  <c r="B21" i="23" s="1"/>
  <c r="B115" i="22"/>
  <c r="B22" i="23" s="1"/>
  <c r="B38" i="5"/>
  <c r="C22" i="29"/>
  <c r="D19" i="29" s="1"/>
  <c r="D6" i="25"/>
  <c r="F93" i="22"/>
  <c r="J92" i="22"/>
  <c r="F65" i="22"/>
  <c r="G141" i="7"/>
  <c r="H34" i="8" s="1"/>
  <c r="D166" i="7"/>
  <c r="G11" i="11"/>
  <c r="E117" i="8"/>
  <c r="D210" i="8"/>
  <c r="D206" i="8"/>
  <c r="D211" i="8"/>
  <c r="D207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208" i="8"/>
  <c r="D204" i="8"/>
  <c r="D209" i="8"/>
  <c r="D205" i="8"/>
  <c r="G30" i="9"/>
  <c r="H14" i="11"/>
  <c r="I14" i="11" s="1"/>
  <c r="D26" i="29" l="1"/>
  <c r="D25" i="29" s="1"/>
  <c r="D30" i="29" s="1"/>
  <c r="C25" i="29"/>
  <c r="F26" i="29"/>
  <c r="F25" i="29" s="1"/>
  <c r="E25" i="29"/>
  <c r="E30" i="29" s="1"/>
  <c r="J65" i="22"/>
  <c r="D23" i="21"/>
  <c r="F30" i="29"/>
  <c r="G28" i="29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J93" i="22"/>
  <c r="H93" i="22"/>
  <c r="D114" i="22" s="1"/>
  <c r="D21" i="23" s="1"/>
  <c r="B10" i="23" s="1"/>
  <c r="H11" i="11"/>
  <c r="F117" i="8"/>
  <c r="G117" i="8"/>
  <c r="J66" i="22" l="1"/>
  <c r="D24" i="21"/>
  <c r="G24" i="21" s="1"/>
  <c r="H66" i="22"/>
  <c r="B29" i="21"/>
  <c r="F28" i="21"/>
  <c r="F30" i="21" s="1"/>
  <c r="I5" i="30"/>
  <c r="B7" i="25"/>
  <c r="B41" i="21"/>
  <c r="B40" i="21"/>
  <c r="B33" i="21"/>
  <c r="F19" i="29"/>
  <c r="F22" i="29" s="1"/>
  <c r="F12" i="29" s="1"/>
  <c r="B43" i="25"/>
  <c r="B18" i="21"/>
  <c r="E40" i="21"/>
  <c r="B39" i="21"/>
  <c r="E114" i="22"/>
  <c r="E140" i="22"/>
  <c r="F95" i="22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G19" i="29" l="1"/>
  <c r="G22" i="29" s="1"/>
  <c r="J67" i="22"/>
  <c r="D25" i="2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J95" i="22"/>
  <c r="H95" i="22"/>
  <c r="D115" i="22" s="1"/>
  <c r="D22" i="23" s="1"/>
  <c r="E21" i="23" s="1"/>
  <c r="C10" i="23" s="1"/>
  <c r="I6" i="11"/>
  <c r="J68" i="22" l="1"/>
  <c r="D26" i="21"/>
  <c r="G26" i="21" s="1"/>
  <c r="B9" i="25"/>
  <c r="B15" i="27"/>
  <c r="B5" i="30" s="1"/>
  <c r="E115" i="22"/>
  <c r="C43" i="25"/>
  <c r="D9" i="26" s="1"/>
  <c r="F97" i="22"/>
  <c r="J96" i="22"/>
  <c r="H68" i="22"/>
  <c r="F69" i="22"/>
  <c r="C25" i="20"/>
  <c r="D35" i="20" s="1"/>
  <c r="C16" i="20"/>
  <c r="D53" i="20" s="1"/>
  <c r="J69" i="22" l="1"/>
  <c r="D27" i="21"/>
  <c r="H26" i="21"/>
  <c r="I9" i="30"/>
  <c r="C42" i="21"/>
  <c r="B33" i="25"/>
  <c r="B17" i="26" s="1"/>
  <c r="B10" i="25"/>
  <c r="B25" i="25" s="1"/>
  <c r="E142" i="22"/>
  <c r="F70" i="22"/>
  <c r="F98" i="22"/>
  <c r="J97" i="22"/>
  <c r="H97" i="22"/>
  <c r="D116" i="22" s="1"/>
  <c r="D23" i="23" s="1"/>
  <c r="C23" i="20"/>
  <c r="B35" i="20" s="1"/>
  <c r="C14" i="20"/>
  <c r="B53" i="20" s="1"/>
  <c r="J70" i="22" l="1"/>
  <c r="D28" i="21"/>
  <c r="G28" i="21" s="1"/>
  <c r="E116" i="22"/>
  <c r="D30" i="21"/>
  <c r="D43" i="25"/>
  <c r="E9" i="26" s="1"/>
  <c r="E41" i="21"/>
  <c r="F99" i="22"/>
  <c r="J98" i="22"/>
  <c r="F101" i="22"/>
  <c r="F71" i="22"/>
  <c r="J71" i="22"/>
  <c r="H70" i="22"/>
  <c r="H71" i="22" s="1"/>
  <c r="G86" i="7"/>
  <c r="G88" i="7"/>
  <c r="D87" i="8"/>
  <c r="D19" i="10" s="1"/>
  <c r="D8" i="26" s="1"/>
  <c r="E12" i="8"/>
  <c r="E7" i="10" s="1"/>
  <c r="J95" i="7"/>
  <c r="E6" i="10"/>
  <c r="F6" i="10"/>
  <c r="I86" i="7"/>
  <c r="H28" i="21" l="1"/>
  <c r="I10" i="30"/>
  <c r="I12" i="30" s="1"/>
  <c r="C43" i="21"/>
  <c r="G30" i="21"/>
  <c r="H19" i="27"/>
  <c r="B30" i="21"/>
  <c r="E143" i="22"/>
  <c r="J99" i="22"/>
  <c r="J101" i="22" s="1"/>
  <c r="H99" i="22"/>
  <c r="E66" i="8"/>
  <c r="H88" i="7"/>
  <c r="E87" i="8" s="1"/>
  <c r="E19" i="10" s="1"/>
  <c r="E8" i="26" s="1"/>
  <c r="I87" i="7"/>
  <c r="F12" i="8" s="1"/>
  <c r="F7" i="10" s="1"/>
  <c r="I89" i="7"/>
  <c r="F66" i="8" s="1"/>
  <c r="I88" i="7"/>
  <c r="F87" i="8" s="1"/>
  <c r="F19" i="10" s="1"/>
  <c r="F8" i="26" s="1"/>
  <c r="F116" i="8"/>
  <c r="G6" i="10"/>
  <c r="E116" i="8"/>
  <c r="D116" i="8"/>
  <c r="G89" i="7"/>
  <c r="D66" i="8" s="1"/>
  <c r="G87" i="7"/>
  <c r="H101" i="22" l="1"/>
  <c r="D117" i="22"/>
  <c r="D24" i="23" s="1"/>
  <c r="E10" i="23" s="1"/>
  <c r="G10" i="23" s="1"/>
  <c r="E43" i="25"/>
  <c r="F9" i="26" s="1"/>
  <c r="D151" i="7"/>
  <c r="E151" i="7" s="1"/>
  <c r="D12" i="8"/>
  <c r="D7" i="10" s="1"/>
  <c r="G116" i="8"/>
  <c r="E117" i="22" l="1"/>
  <c r="D118" i="22"/>
  <c r="F151" i="7"/>
  <c r="D38" i="8" s="1"/>
  <c r="E144" i="22" l="1"/>
  <c r="E118" i="22"/>
  <c r="G12" i="8"/>
  <c r="G7" i="10" s="1"/>
  <c r="F43" i="25" l="1"/>
  <c r="G9" i="26" s="1"/>
  <c r="E38" i="8"/>
  <c r="F38" i="8" s="1"/>
  <c r="G38" i="8" s="1"/>
  <c r="E170" i="7"/>
  <c r="F170" i="7" s="1"/>
  <c r="G170" i="7" s="1"/>
  <c r="H170" i="7" s="1"/>
  <c r="K88" i="7" l="1"/>
  <c r="G66" i="8"/>
  <c r="G87" i="8"/>
  <c r="G19" i="10" s="1"/>
  <c r="G8" i="26" s="1"/>
  <c r="C11" i="9" l="1"/>
  <c r="C31" i="9" s="1"/>
  <c r="D15" i="11"/>
  <c r="D11" i="9" l="1"/>
  <c r="D31" i="9" s="1"/>
  <c r="C15" i="11"/>
  <c r="C18" i="11" s="1"/>
  <c r="E15" i="11"/>
  <c r="E11" i="9"/>
  <c r="F11" i="9" s="1"/>
  <c r="B14" i="25" l="1"/>
  <c r="B15" i="25"/>
  <c r="B22" i="9"/>
  <c r="C22" i="11"/>
  <c r="C23" i="11" s="1"/>
  <c r="B24" i="9"/>
  <c r="B25" i="9"/>
  <c r="B36" i="9" s="1"/>
  <c r="E31" i="9"/>
  <c r="F15" i="11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C24" i="30" l="1"/>
  <c r="G24" i="30" s="1"/>
  <c r="B32" i="29"/>
  <c r="B32" i="25"/>
  <c r="F88" i="7"/>
  <c r="C87" i="8"/>
  <c r="C19" i="10" s="1"/>
  <c r="C8" i="26" s="1"/>
  <c r="F89" i="7" l="1"/>
  <c r="C66" i="8" s="1"/>
  <c r="D150" i="7" l="1"/>
  <c r="E165" i="7"/>
  <c r="E150" i="7"/>
  <c r="D153" i="7" l="1"/>
  <c r="F150" i="7"/>
  <c r="C38" i="8"/>
  <c r="C32" i="9" s="1"/>
  <c r="H38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3" i="8" s="1"/>
  <c r="F69" i="7"/>
  <c r="F68" i="7"/>
  <c r="D71" i="7"/>
  <c r="E68" i="7"/>
  <c r="F71" i="7" l="1"/>
  <c r="E71" i="7"/>
  <c r="D13" i="8"/>
  <c r="D8" i="10" s="1"/>
  <c r="F70" i="7"/>
  <c r="C67" i="8"/>
  <c r="C18" i="10" s="1"/>
  <c r="C7" i="26" s="1"/>
  <c r="G93" i="8"/>
  <c r="F93" i="8"/>
  <c r="E93" i="8"/>
  <c r="D93" i="8"/>
  <c r="E70" i="7"/>
  <c r="D67" i="8"/>
  <c r="D18" i="10" s="1"/>
  <c r="D7" i="26" s="1"/>
  <c r="E67" i="8"/>
  <c r="E18" i="10" s="1"/>
  <c r="E7" i="26" s="1"/>
  <c r="F67" i="8"/>
  <c r="F18" i="10" s="1"/>
  <c r="F7" i="26" s="1"/>
  <c r="G67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39" i="8" l="1"/>
  <c r="C39" i="8"/>
  <c r="G12" i="10"/>
  <c r="D39" i="8"/>
  <c r="E171" i="7" s="1"/>
  <c r="E39" i="8"/>
  <c r="E72" i="7"/>
  <c r="K75" i="7" s="1"/>
  <c r="F12" i="10"/>
  <c r="E12" i="10"/>
  <c r="D12" i="10"/>
  <c r="D171" i="7" l="1"/>
  <c r="C33" i="9" s="1"/>
  <c r="C34" i="9" s="1"/>
  <c r="C21" i="25" s="1"/>
  <c r="F171" i="7"/>
  <c r="F39" i="8"/>
  <c r="H44" i="8"/>
  <c r="H45" i="8" s="1"/>
  <c r="C52" i="8" s="1"/>
  <c r="D21" i="25" l="1"/>
  <c r="D33" i="9"/>
  <c r="G39" i="8"/>
  <c r="C16" i="10"/>
  <c r="C15" i="10"/>
  <c r="G171" i="7"/>
  <c r="E33" i="9"/>
  <c r="C13" i="10" l="1"/>
  <c r="C17" i="10" s="1"/>
  <c r="C6" i="26" s="1"/>
  <c r="C123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1" i="5"/>
  <c r="C33" i="5" s="1"/>
  <c r="F16" i="10"/>
  <c r="G16" i="10"/>
  <c r="C35" i="5" l="1"/>
  <c r="B54" i="5"/>
  <c r="D54" i="5" s="1"/>
  <c r="C7" i="25"/>
  <c r="D7" i="11"/>
  <c r="C15" i="29" l="1"/>
  <c r="C8" i="25"/>
  <c r="D57" i="5"/>
  <c r="E10" i="8" s="1"/>
  <c r="E16" i="29"/>
  <c r="C16" i="29"/>
  <c r="C17" i="29" s="1"/>
  <c r="D8" i="25"/>
  <c r="D7" i="25"/>
  <c r="B57" i="5"/>
  <c r="D8" i="11"/>
  <c r="B5" i="21" s="1"/>
  <c r="I7" i="11"/>
  <c r="E54" i="5"/>
  <c r="G4" i="12"/>
  <c r="C36" i="5"/>
  <c r="C15" i="27" l="1"/>
  <c r="C9" i="25"/>
  <c r="C10" i="25" s="1"/>
  <c r="C25" i="25" s="1"/>
  <c r="C27" i="27"/>
  <c r="J6" i="30" s="1"/>
  <c r="D14" i="29"/>
  <c r="C12" i="29"/>
  <c r="E57" i="5"/>
  <c r="F27" i="27" s="1"/>
  <c r="G16" i="29"/>
  <c r="F16" i="29"/>
  <c r="D16" i="29"/>
  <c r="D17" i="29" s="1"/>
  <c r="D12" i="29" s="1"/>
  <c r="H15" i="27"/>
  <c r="B6" i="30"/>
  <c r="C10" i="8"/>
  <c r="D10" i="8"/>
  <c r="E35" i="7"/>
  <c r="C38" i="5"/>
  <c r="C33" i="25"/>
  <c r="C17" i="26" s="1"/>
  <c r="E14" i="29"/>
  <c r="G10" i="8"/>
  <c r="F10" i="8"/>
  <c r="D21" i="11"/>
  <c r="I8" i="11"/>
  <c r="B5" i="12"/>
  <c r="L4" i="12"/>
  <c r="G54" i="5"/>
  <c r="E36" i="7"/>
  <c r="E41" i="7" s="1"/>
  <c r="D50" i="7" s="1"/>
  <c r="L36" i="7"/>
  <c r="O36" i="7" s="1"/>
  <c r="I8" i="12"/>
  <c r="I9" i="12"/>
  <c r="H35" i="7" l="1"/>
  <c r="D48" i="7" s="1"/>
  <c r="C36" i="8" s="1"/>
  <c r="H36" i="7"/>
  <c r="D49" i="7" s="1"/>
  <c r="D27" i="27"/>
  <c r="J7" i="30" s="1"/>
  <c r="E27" i="27"/>
  <c r="J8" i="30" s="1"/>
  <c r="G27" i="27"/>
  <c r="J9" i="30"/>
  <c r="F5" i="21"/>
  <c r="G57" i="5"/>
  <c r="M127" i="22" s="1"/>
  <c r="D9" i="25"/>
  <c r="C22" i="27"/>
  <c r="M4" i="12"/>
  <c r="I21" i="11"/>
  <c r="G44" i="7"/>
  <c r="I5" i="12"/>
  <c r="L35" i="7"/>
  <c r="C65" i="8" s="1"/>
  <c r="C75" i="8" s="1"/>
  <c r="I6" i="12"/>
  <c r="I7" i="12"/>
  <c r="E12" i="29" l="1"/>
  <c r="J10" i="30"/>
  <c r="H27" i="27"/>
  <c r="J12" i="30"/>
  <c r="C44" i="8"/>
  <c r="C45" i="8" s="1"/>
  <c r="C53" i="8" s="1"/>
  <c r="D6" i="30"/>
  <c r="D25" i="25"/>
  <c r="D10" i="25"/>
  <c r="B10" i="30"/>
  <c r="B9" i="12"/>
  <c r="B11" i="12" s="1"/>
  <c r="F36" i="8"/>
  <c r="G36" i="8" s="1"/>
  <c r="I11" i="12"/>
  <c r="M18" i="12" s="1"/>
  <c r="O35" i="7"/>
  <c r="C86" i="8" s="1"/>
  <c r="F65" i="8"/>
  <c r="E65" i="8"/>
  <c r="E75" i="8" s="1"/>
  <c r="D65" i="8"/>
  <c r="D75" i="8" s="1"/>
  <c r="G65" i="8"/>
  <c r="D44" i="7"/>
  <c r="F17" i="9"/>
  <c r="H44" i="7"/>
  <c r="F151" i="8"/>
  <c r="C12" i="9" l="1"/>
  <c r="C46" i="8"/>
  <c r="D16" i="11" s="1"/>
  <c r="D54" i="8"/>
  <c r="G17" i="29"/>
  <c r="G12" i="29" s="1"/>
  <c r="F44" i="8"/>
  <c r="C96" i="8"/>
  <c r="D36" i="8"/>
  <c r="D44" i="8" s="1"/>
  <c r="D45" i="8" s="1"/>
  <c r="D124" i="8" s="1"/>
  <c r="F18" i="9"/>
  <c r="F20" i="9" s="1"/>
  <c r="F22" i="8"/>
  <c r="F23" i="8" s="1"/>
  <c r="G151" i="8"/>
  <c r="G17" i="9"/>
  <c r="G44" i="8"/>
  <c r="G45" i="8" s="1"/>
  <c r="C17" i="9"/>
  <c r="E36" i="8"/>
  <c r="C22" i="8"/>
  <c r="E44" i="7"/>
  <c r="C151" i="8"/>
  <c r="G75" i="8"/>
  <c r="G77" i="8" s="1"/>
  <c r="G79" i="8" s="1"/>
  <c r="G156" i="8" s="1"/>
  <c r="F39" i="25" s="1"/>
  <c r="D77" i="8"/>
  <c r="D79" i="8" s="1"/>
  <c r="D156" i="8" s="1"/>
  <c r="C39" i="25" s="1"/>
  <c r="E77" i="8"/>
  <c r="E79" i="8" s="1"/>
  <c r="E156" i="8" s="1"/>
  <c r="D39" i="25" s="1"/>
  <c r="F75" i="8"/>
  <c r="F77" i="8" s="1"/>
  <c r="F79" i="8" s="1"/>
  <c r="F156" i="8" s="1"/>
  <c r="E39" i="25" s="1"/>
  <c r="G86" i="8"/>
  <c r="F86" i="8"/>
  <c r="E86" i="8"/>
  <c r="D86" i="8"/>
  <c r="C77" i="8"/>
  <c r="C80" i="8" s="1"/>
  <c r="F45" i="8" l="1"/>
  <c r="G53" i="8"/>
  <c r="D53" i="8"/>
  <c r="G12" i="9"/>
  <c r="F46" i="8"/>
  <c r="F12" i="9"/>
  <c r="D17" i="9"/>
  <c r="F118" i="8"/>
  <c r="F120" i="8" s="1"/>
  <c r="C98" i="8"/>
  <c r="C79" i="8"/>
  <c r="C156" i="8" s="1"/>
  <c r="B39" i="25" s="1"/>
  <c r="C157" i="8"/>
  <c r="B40" i="25" s="1"/>
  <c r="C135" i="8"/>
  <c r="B8" i="23" s="1"/>
  <c r="D96" i="8"/>
  <c r="D98" i="8" s="1"/>
  <c r="D136" i="8" s="1"/>
  <c r="C9" i="23" s="1"/>
  <c r="E96" i="8"/>
  <c r="E98" i="8" s="1"/>
  <c r="E100" i="8" s="1"/>
  <c r="E158" i="8" s="1"/>
  <c r="D41" i="25" s="1"/>
  <c r="F96" i="8"/>
  <c r="F136" i="8" s="1"/>
  <c r="E9" i="23" s="1"/>
  <c r="C136" i="8"/>
  <c r="B9" i="23" s="1"/>
  <c r="G96" i="8"/>
  <c r="G98" i="8" s="1"/>
  <c r="G136" i="8" s="1"/>
  <c r="F9" i="23" s="1"/>
  <c r="F80" i="8"/>
  <c r="F157" i="8" s="1"/>
  <c r="E40" i="25" s="1"/>
  <c r="E8" i="23"/>
  <c r="E80" i="8"/>
  <c r="E157" i="8" s="1"/>
  <c r="D40" i="25" s="1"/>
  <c r="E135" i="8"/>
  <c r="D8" i="23" s="1"/>
  <c r="D80" i="8"/>
  <c r="D157" i="8" s="1"/>
  <c r="C40" i="25" s="1"/>
  <c r="D135" i="8"/>
  <c r="C8" i="23" s="1"/>
  <c r="G80" i="8"/>
  <c r="G157" i="8" s="1"/>
  <c r="F40" i="25" s="1"/>
  <c r="G135" i="8"/>
  <c r="F8" i="23" s="1"/>
  <c r="F44" i="7"/>
  <c r="D151" i="8"/>
  <c r="C18" i="9"/>
  <c r="C23" i="8"/>
  <c r="C50" i="8" s="1"/>
  <c r="C55" i="8" s="1"/>
  <c r="E17" i="9"/>
  <c r="E44" i="8"/>
  <c r="E45" i="8" s="1"/>
  <c r="C124" i="8"/>
  <c r="G46" i="8"/>
  <c r="H16" i="11" s="1"/>
  <c r="G124" i="8"/>
  <c r="G18" i="9"/>
  <c r="G20" i="9" s="1"/>
  <c r="G22" i="8"/>
  <c r="G23" i="8" s="1"/>
  <c r="F25" i="8"/>
  <c r="F154" i="8" s="1"/>
  <c r="E37" i="25" s="1"/>
  <c r="F50" i="8"/>
  <c r="F26" i="8"/>
  <c r="F155" i="8" s="1"/>
  <c r="E38" i="25" s="1"/>
  <c r="E53" i="8" l="1"/>
  <c r="E124" i="8"/>
  <c r="G8" i="23"/>
  <c r="C20" i="9"/>
  <c r="C17" i="25"/>
  <c r="F53" i="8"/>
  <c r="C56" i="8"/>
  <c r="E54" i="8"/>
  <c r="D12" i="9"/>
  <c r="D32" i="9" s="1"/>
  <c r="E12" i="9"/>
  <c r="F32" i="9" s="1"/>
  <c r="G32" i="9"/>
  <c r="D46" i="8"/>
  <c r="E16" i="11" s="1"/>
  <c r="G118" i="8"/>
  <c r="G120" i="8" s="1"/>
  <c r="G126" i="8" s="1"/>
  <c r="G128" i="8" s="1"/>
  <c r="E136" i="8"/>
  <c r="D9" i="23" s="1"/>
  <c r="G9" i="23" s="1"/>
  <c r="F100" i="8"/>
  <c r="F158" i="8" s="1"/>
  <c r="E41" i="25" s="1"/>
  <c r="G100" i="8"/>
  <c r="G158" i="8" s="1"/>
  <c r="F41" i="25" s="1"/>
  <c r="D100" i="8"/>
  <c r="D158" i="8" s="1"/>
  <c r="C41" i="25" s="1"/>
  <c r="C100" i="8"/>
  <c r="C158" i="8" s="1"/>
  <c r="B41" i="25" s="1"/>
  <c r="C101" i="8"/>
  <c r="C159" i="8" s="1"/>
  <c r="B42" i="25" s="1"/>
  <c r="C26" i="8"/>
  <c r="C118" i="8"/>
  <c r="C120" i="8" s="1"/>
  <c r="C126" i="8" s="1"/>
  <c r="G25" i="8"/>
  <c r="G154" i="8" s="1"/>
  <c r="F37" i="25" s="1"/>
  <c r="G50" i="8"/>
  <c r="G26" i="8"/>
  <c r="G155" i="8" s="1"/>
  <c r="F38" i="25" s="1"/>
  <c r="E46" i="8"/>
  <c r="F124" i="8"/>
  <c r="F126" i="8" s="1"/>
  <c r="F128" i="8" s="1"/>
  <c r="D18" i="9"/>
  <c r="D20" i="9" s="1"/>
  <c r="D22" i="8"/>
  <c r="D23" i="8" s="1"/>
  <c r="E151" i="8"/>
  <c r="G101" i="8"/>
  <c r="G159" i="8" s="1"/>
  <c r="F42" i="25" s="1"/>
  <c r="F101" i="8"/>
  <c r="F159" i="8" s="1"/>
  <c r="E101" i="8"/>
  <c r="E159" i="8" s="1"/>
  <c r="D42" i="25" s="1"/>
  <c r="D101" i="8"/>
  <c r="D159" i="8" s="1"/>
  <c r="C42" i="25" s="1"/>
  <c r="E98" i="25" l="1"/>
  <c r="F16" i="11"/>
  <c r="G16" i="11"/>
  <c r="D79" i="25"/>
  <c r="D83" i="25"/>
  <c r="D87" i="25"/>
  <c r="D91" i="25"/>
  <c r="D95" i="25"/>
  <c r="D78" i="25"/>
  <c r="D81" i="25"/>
  <c r="D89" i="25"/>
  <c r="D90" i="25"/>
  <c r="D80" i="25"/>
  <c r="D84" i="25"/>
  <c r="D88" i="25"/>
  <c r="D92" i="25"/>
  <c r="D96" i="25"/>
  <c r="D85" i="25"/>
  <c r="D93" i="25"/>
  <c r="D97" i="25"/>
  <c r="D82" i="25"/>
  <c r="D86" i="25"/>
  <c r="D94" i="25"/>
  <c r="D98" i="25"/>
  <c r="F98" i="25" s="1"/>
  <c r="E79" i="25"/>
  <c r="E83" i="25"/>
  <c r="E87" i="25"/>
  <c r="E91" i="25"/>
  <c r="E95" i="25"/>
  <c r="E81" i="25"/>
  <c r="E85" i="25"/>
  <c r="E89" i="25"/>
  <c r="E78" i="25"/>
  <c r="E97" i="25"/>
  <c r="E90" i="25"/>
  <c r="E80" i="25"/>
  <c r="E84" i="25"/>
  <c r="E88" i="25"/>
  <c r="E92" i="25"/>
  <c r="E96" i="25"/>
  <c r="E93" i="25"/>
  <c r="E82" i="25"/>
  <c r="E86" i="25"/>
  <c r="E94" i="25"/>
  <c r="D17" i="25"/>
  <c r="C18" i="25"/>
  <c r="D18" i="25"/>
  <c r="G54" i="8"/>
  <c r="G55" i="8" s="1"/>
  <c r="G59" i="8" s="1"/>
  <c r="F54" i="8"/>
  <c r="F44" i="25"/>
  <c r="F45" i="25" s="1"/>
  <c r="F160" i="8"/>
  <c r="F161" i="8" s="1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C25" i="8"/>
  <c r="C58" i="8" s="1"/>
  <c r="D118" i="8"/>
  <c r="D120" i="8" s="1"/>
  <c r="D126" i="8" s="1"/>
  <c r="C155" i="8"/>
  <c r="B38" i="25" s="1"/>
  <c r="C128" i="8"/>
  <c r="M97" i="7" s="1"/>
  <c r="M99" i="7" s="1"/>
  <c r="E18" i="9"/>
  <c r="E20" i="9" s="1"/>
  <c r="E22" i="8"/>
  <c r="D25" i="8"/>
  <c r="D154" i="8" s="1"/>
  <c r="C37" i="25" s="1"/>
  <c r="D50" i="8"/>
  <c r="D55" i="8" s="1"/>
  <c r="D56" i="8" s="1"/>
  <c r="D26" i="8"/>
  <c r="D155" i="8" s="1"/>
  <c r="C38" i="25" s="1"/>
  <c r="C44" i="25" s="1"/>
  <c r="C59" i="8"/>
  <c r="Q97" i="7"/>
  <c r="P97" i="7"/>
  <c r="G160" i="8"/>
  <c r="G161" i="8" s="1"/>
  <c r="E191" i="8"/>
  <c r="E211" i="8"/>
  <c r="E205" i="8"/>
  <c r="E195" i="8"/>
  <c r="E194" i="8"/>
  <c r="E196" i="8"/>
  <c r="E208" i="8"/>
  <c r="E204" i="8"/>
  <c r="E201" i="8"/>
  <c r="E192" i="8"/>
  <c r="E206" i="8"/>
  <c r="E203" i="8"/>
  <c r="E197" i="8"/>
  <c r="E207" i="8"/>
  <c r="E198" i="8"/>
  <c r="E202" i="8"/>
  <c r="E193" i="8"/>
  <c r="E200" i="8"/>
  <c r="E210" i="8"/>
  <c r="E199" i="8"/>
  <c r="E209" i="8"/>
  <c r="D128" i="8" l="1"/>
  <c r="N97" i="7" s="1"/>
  <c r="O98" i="7" s="1"/>
  <c r="E23" i="8"/>
  <c r="E50" i="8" s="1"/>
  <c r="F96" i="25"/>
  <c r="F94" i="25"/>
  <c r="F84" i="25"/>
  <c r="F80" i="25"/>
  <c r="B44" i="25"/>
  <c r="E72" i="25"/>
  <c r="G56" i="8"/>
  <c r="F93" i="25"/>
  <c r="F88" i="25"/>
  <c r="F89" i="25"/>
  <c r="F91" i="25"/>
  <c r="F86" i="25"/>
  <c r="F87" i="25"/>
  <c r="G58" i="8"/>
  <c r="F82" i="25"/>
  <c r="F78" i="25"/>
  <c r="F83" i="25"/>
  <c r="F85" i="25"/>
  <c r="F81" i="25"/>
  <c r="F97" i="25"/>
  <c r="F92" i="25"/>
  <c r="F90" i="25"/>
  <c r="F95" i="25"/>
  <c r="F79" i="25"/>
  <c r="D142" i="22"/>
  <c r="D143" i="22"/>
  <c r="D144" i="22"/>
  <c r="D141" i="22"/>
  <c r="F55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0" i="8"/>
  <c r="D161" i="8" s="1"/>
  <c r="C160" i="8"/>
  <c r="E15" i="10"/>
  <c r="E17" i="10" s="1"/>
  <c r="E34" i="9"/>
  <c r="N98" i="7"/>
  <c r="C154" i="8"/>
  <c r="B37" i="25" s="1"/>
  <c r="F186" i="8"/>
  <c r="E118" i="8"/>
  <c r="N99" i="7"/>
  <c r="D131" i="8" s="1"/>
  <c r="D133" i="8" s="1"/>
  <c r="C131" i="8"/>
  <c r="C13" i="30" s="1"/>
  <c r="I16" i="11"/>
  <c r="Q98" i="7"/>
  <c r="Q99" i="7" s="1"/>
  <c r="G131" i="8" s="1"/>
  <c r="G133" i="8" s="1"/>
  <c r="H58" i="8"/>
  <c r="H59" i="8"/>
  <c r="D58" i="8"/>
  <c r="D59" i="8"/>
  <c r="E25" i="8"/>
  <c r="E154" i="8" s="1"/>
  <c r="D37" i="25" s="1"/>
  <c r="E55" i="8"/>
  <c r="E26" i="8"/>
  <c r="E155" i="8" s="1"/>
  <c r="D38" i="25" s="1"/>
  <c r="D44" i="25" s="1"/>
  <c r="E120" i="8" l="1"/>
  <c r="E126" i="8" s="1"/>
  <c r="E128" i="8" s="1"/>
  <c r="O97" i="7"/>
  <c r="D53" i="25"/>
  <c r="D57" i="25"/>
  <c r="D61" i="25"/>
  <c r="D65" i="25"/>
  <c r="D69" i="25"/>
  <c r="D52" i="25"/>
  <c r="D54" i="25"/>
  <c r="D58" i="25"/>
  <c r="D62" i="25"/>
  <c r="D66" i="25"/>
  <c r="D70" i="25"/>
  <c r="D55" i="25"/>
  <c r="D59" i="25"/>
  <c r="D63" i="25"/>
  <c r="D67" i="25"/>
  <c r="D71" i="25"/>
  <c r="D68" i="25"/>
  <c r="D56" i="25"/>
  <c r="D60" i="25"/>
  <c r="D64" i="25"/>
  <c r="D72" i="25"/>
  <c r="F72" i="25" s="1"/>
  <c r="E53" i="25"/>
  <c r="E57" i="25"/>
  <c r="E61" i="25"/>
  <c r="E65" i="25"/>
  <c r="E69" i="25"/>
  <c r="E54" i="25"/>
  <c r="E58" i="25"/>
  <c r="E62" i="25"/>
  <c r="E66" i="25"/>
  <c r="E70" i="25"/>
  <c r="E60" i="25"/>
  <c r="E68" i="25"/>
  <c r="E55" i="25"/>
  <c r="E59" i="25"/>
  <c r="E63" i="25"/>
  <c r="E67" i="25"/>
  <c r="E71" i="25"/>
  <c r="E56" i="25"/>
  <c r="E64" i="25"/>
  <c r="E52" i="25"/>
  <c r="C133" i="8"/>
  <c r="B5" i="23" s="1"/>
  <c r="B6" i="23" s="1"/>
  <c r="C38" i="9"/>
  <c r="F168" i="8"/>
  <c r="C140" i="22"/>
  <c r="D12" i="26"/>
  <c r="D14" i="26" s="1"/>
  <c r="B45" i="25"/>
  <c r="F58" i="8"/>
  <c r="F59" i="8"/>
  <c r="F56" i="8"/>
  <c r="E56" i="8"/>
  <c r="E21" i="10"/>
  <c r="E23" i="10" s="1"/>
  <c r="E6" i="26"/>
  <c r="E10" i="26" s="1"/>
  <c r="E12" i="26" s="1"/>
  <c r="E14" i="26" s="1"/>
  <c r="D45" i="25"/>
  <c r="E160" i="8"/>
  <c r="E161" i="8" s="1"/>
  <c r="G138" i="8"/>
  <c r="G140" i="8" s="1"/>
  <c r="F5" i="23"/>
  <c r="C138" i="8"/>
  <c r="C142" i="8" s="1"/>
  <c r="D138" i="8"/>
  <c r="C5" i="23"/>
  <c r="C6" i="23" s="1"/>
  <c r="F167" i="8"/>
  <c r="E166" i="8"/>
  <c r="E181" i="8"/>
  <c r="E182" i="8"/>
  <c r="E176" i="8"/>
  <c r="E172" i="8"/>
  <c r="E186" i="8"/>
  <c r="E174" i="8"/>
  <c r="E183" i="8"/>
  <c r="E173" i="8"/>
  <c r="E167" i="8"/>
  <c r="E185" i="8"/>
  <c r="E179" i="8"/>
  <c r="E175" i="8"/>
  <c r="E171" i="8"/>
  <c r="E169" i="8"/>
  <c r="E184" i="8"/>
  <c r="E178" i="8"/>
  <c r="E170" i="8"/>
  <c r="E180" i="8"/>
  <c r="E177" i="8"/>
  <c r="E168" i="8"/>
  <c r="G168" i="8" s="1"/>
  <c r="C161" i="8"/>
  <c r="E59" i="8"/>
  <c r="E58" i="8"/>
  <c r="F166" i="8"/>
  <c r="F169" i="8"/>
  <c r="F170" i="8"/>
  <c r="F171" i="8"/>
  <c r="F172" i="8"/>
  <c r="F173" i="8"/>
  <c r="F174" i="8"/>
  <c r="F175" i="8"/>
  <c r="F176" i="8"/>
  <c r="G176" i="8" s="1"/>
  <c r="F177" i="8"/>
  <c r="G177" i="8" s="1"/>
  <c r="F178" i="8"/>
  <c r="F179" i="8"/>
  <c r="G179" i="8" s="1"/>
  <c r="F180" i="8"/>
  <c r="F182" i="8"/>
  <c r="F183" i="8"/>
  <c r="G183" i="8" s="1"/>
  <c r="F184" i="8"/>
  <c r="G184" i="8" s="1"/>
  <c r="F185" i="8"/>
  <c r="F181" i="8"/>
  <c r="F71" i="25" l="1"/>
  <c r="F55" i="25"/>
  <c r="F65" i="25"/>
  <c r="O99" i="7"/>
  <c r="E131" i="8" s="1"/>
  <c r="E133" i="8" s="1"/>
  <c r="D5" i="23" s="1"/>
  <c r="P98" i="7"/>
  <c r="P99" i="7" s="1"/>
  <c r="F131" i="8" s="1"/>
  <c r="F133" i="8" s="1"/>
  <c r="G167" i="8"/>
  <c r="G142" i="8"/>
  <c r="C140" i="8"/>
  <c r="C13" i="9" s="1"/>
  <c r="C14" i="9" s="1"/>
  <c r="C17" i="27"/>
  <c r="G172" i="8"/>
  <c r="G175" i="8"/>
  <c r="G166" i="8"/>
  <c r="F64" i="25"/>
  <c r="F58" i="25"/>
  <c r="F60" i="25"/>
  <c r="F67" i="25"/>
  <c r="F70" i="25"/>
  <c r="F54" i="25"/>
  <c r="F61" i="25"/>
  <c r="F56" i="25"/>
  <c r="F63" i="25"/>
  <c r="F66" i="25"/>
  <c r="F52" i="25"/>
  <c r="F57" i="25"/>
  <c r="D17" i="11"/>
  <c r="F68" i="25"/>
  <c r="F59" i="25"/>
  <c r="F62" i="25"/>
  <c r="F69" i="25"/>
  <c r="F53" i="25"/>
  <c r="E138" i="8"/>
  <c r="B11" i="23"/>
  <c r="G170" i="8"/>
  <c r="G186" i="8"/>
  <c r="D140" i="22"/>
  <c r="G140" i="22" s="1"/>
  <c r="B18" i="26"/>
  <c r="B22" i="27"/>
  <c r="D5" i="30"/>
  <c r="D17" i="27"/>
  <c r="F6" i="23"/>
  <c r="F11" i="23" s="1"/>
  <c r="G17" i="27"/>
  <c r="B12" i="30"/>
  <c r="L25" i="30" s="1"/>
  <c r="D142" i="8"/>
  <c r="D140" i="8"/>
  <c r="G178" i="8"/>
  <c r="G173" i="8"/>
  <c r="G181" i="8"/>
  <c r="G174" i="8"/>
  <c r="G182" i="8"/>
  <c r="G185" i="8"/>
  <c r="G180" i="8"/>
  <c r="G169" i="8"/>
  <c r="G171" i="8"/>
  <c r="C143" i="8"/>
  <c r="H5" i="12"/>
  <c r="H9" i="12"/>
  <c r="G143" i="8"/>
  <c r="E9" i="12" s="1"/>
  <c r="F138" i="8" l="1"/>
  <c r="E5" i="23"/>
  <c r="E6" i="23" s="1"/>
  <c r="E11" i="23" s="1"/>
  <c r="C10" i="29"/>
  <c r="D13" i="9"/>
  <c r="C9" i="9"/>
  <c r="E142" i="8"/>
  <c r="H7" i="12" s="1"/>
  <c r="E140" i="8"/>
  <c r="C14" i="25"/>
  <c r="C15" i="9"/>
  <c r="C24" i="9" s="1"/>
  <c r="D10" i="29"/>
  <c r="E17" i="11"/>
  <c r="D9" i="9"/>
  <c r="D15" i="9" s="1"/>
  <c r="D24" i="9" s="1"/>
  <c r="F13" i="23"/>
  <c r="F14" i="23" s="1"/>
  <c r="F10" i="30" s="1"/>
  <c r="F12" i="23"/>
  <c r="G20" i="27" s="1"/>
  <c r="C11" i="23"/>
  <c r="H7" i="30" s="1"/>
  <c r="B13" i="23"/>
  <c r="B14" i="23" s="1"/>
  <c r="B12" i="23"/>
  <c r="C16" i="26"/>
  <c r="B19" i="26"/>
  <c r="H10" i="30"/>
  <c r="C18" i="26"/>
  <c r="G18" i="27"/>
  <c r="H6" i="12"/>
  <c r="D143" i="8"/>
  <c r="F211" i="8"/>
  <c r="F196" i="8" s="1"/>
  <c r="G196" i="8" s="1"/>
  <c r="G144" i="8"/>
  <c r="F9" i="12" s="1"/>
  <c r="F194" i="8"/>
  <c r="G194" i="8" s="1"/>
  <c r="E5" i="12"/>
  <c r="C144" i="8"/>
  <c r="C146" i="8" s="1"/>
  <c r="C147" i="8" s="1"/>
  <c r="F195" i="8"/>
  <c r="G195" i="8" s="1"/>
  <c r="F208" i="8"/>
  <c r="G208" i="8" s="1"/>
  <c r="F191" i="8"/>
  <c r="G191" i="8" s="1"/>
  <c r="F192" i="8"/>
  <c r="G192" i="8" s="1"/>
  <c r="F203" i="8"/>
  <c r="G203" i="8" s="1"/>
  <c r="F207" i="8"/>
  <c r="G207" i="8" s="1"/>
  <c r="F202" i="8"/>
  <c r="G202" i="8" s="1"/>
  <c r="F193" i="8"/>
  <c r="G193" i="8" s="1"/>
  <c r="F210" i="8"/>
  <c r="G210" i="8" s="1"/>
  <c r="F199" i="8"/>
  <c r="G199" i="8" s="1"/>
  <c r="F209" i="8"/>
  <c r="G209" i="8" s="1"/>
  <c r="C16" i="27" l="1"/>
  <c r="C6" i="30" s="1"/>
  <c r="G5" i="23"/>
  <c r="D6" i="23"/>
  <c r="D11" i="23" s="1"/>
  <c r="D14" i="9"/>
  <c r="E13" i="9"/>
  <c r="F17" i="27"/>
  <c r="F140" i="8"/>
  <c r="F142" i="8"/>
  <c r="G6" i="23"/>
  <c r="E143" i="8"/>
  <c r="E144" i="8" s="1"/>
  <c r="F206" i="8"/>
  <c r="G206" i="8" s="1"/>
  <c r="F204" i="8"/>
  <c r="G204" i="8" s="1"/>
  <c r="F205" i="8"/>
  <c r="G205" i="8" s="1"/>
  <c r="F198" i="8"/>
  <c r="G198" i="8" s="1"/>
  <c r="B15" i="23"/>
  <c r="C33" i="29" s="1"/>
  <c r="D34" i="29" s="1"/>
  <c r="G211" i="8"/>
  <c r="F200" i="8"/>
  <c r="G200" i="8" s="1"/>
  <c r="F197" i="8"/>
  <c r="G197" i="8" s="1"/>
  <c r="F201" i="8"/>
  <c r="G201" i="8" s="1"/>
  <c r="D16" i="27"/>
  <c r="C7" i="30" s="1"/>
  <c r="E17" i="27"/>
  <c r="H17" i="27" s="1"/>
  <c r="E10" i="30"/>
  <c r="F15" i="23"/>
  <c r="G33" i="29" s="1"/>
  <c r="D14" i="25"/>
  <c r="C15" i="25"/>
  <c r="C19" i="25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D16" i="26"/>
  <c r="F6" i="30"/>
  <c r="C18" i="27"/>
  <c r="H6" i="30"/>
  <c r="C20" i="27"/>
  <c r="E6" i="12"/>
  <c r="D144" i="8"/>
  <c r="G146" i="8"/>
  <c r="F5" i="12"/>
  <c r="C19" i="9"/>
  <c r="E14" i="9" l="1"/>
  <c r="F17" i="11"/>
  <c r="E9" i="9"/>
  <c r="E15" i="9" s="1"/>
  <c r="E10" i="29"/>
  <c r="F13" i="9"/>
  <c r="H8" i="12"/>
  <c r="H11" i="12" s="1"/>
  <c r="F143" i="8"/>
  <c r="E13" i="23"/>
  <c r="E14" i="23" s="1"/>
  <c r="E12" i="23"/>
  <c r="E15" i="23" s="1"/>
  <c r="F33" i="29" s="1"/>
  <c r="H9" i="30"/>
  <c r="E7" i="12"/>
  <c r="K6" i="30"/>
  <c r="L6" i="30" s="1"/>
  <c r="C21" i="26"/>
  <c r="C11" i="27"/>
  <c r="D15" i="25"/>
  <c r="C22" i="25"/>
  <c r="D22" i="25" s="1"/>
  <c r="C20" i="25"/>
  <c r="C23" i="25" s="1"/>
  <c r="D13" i="23"/>
  <c r="D14" i="23" s="1"/>
  <c r="G14" i="23" s="1"/>
  <c r="D12" i="23"/>
  <c r="G11" i="23"/>
  <c r="C15" i="23"/>
  <c r="D33" i="29" s="1"/>
  <c r="E34" i="29" s="1"/>
  <c r="E7" i="30"/>
  <c r="D20" i="27"/>
  <c r="F7" i="30"/>
  <c r="D18" i="27"/>
  <c r="B5" i="29"/>
  <c r="H8" i="30"/>
  <c r="H12" i="30" s="1"/>
  <c r="G5" i="30"/>
  <c r="M5" i="30" s="1"/>
  <c r="E6" i="30"/>
  <c r="G6" i="30" s="1"/>
  <c r="C24" i="27"/>
  <c r="D19" i="25"/>
  <c r="F6" i="12"/>
  <c r="D146" i="8"/>
  <c r="G147" i="8"/>
  <c r="G19" i="9" s="1"/>
  <c r="G150" i="8"/>
  <c r="G152" i="8" s="1"/>
  <c r="F7" i="12"/>
  <c r="E146" i="8"/>
  <c r="C150" i="8"/>
  <c r="C152" i="8" s="1"/>
  <c r="E24" i="9" l="1"/>
  <c r="E16" i="27" s="1"/>
  <c r="C8" i="30" s="1"/>
  <c r="B23" i="29"/>
  <c r="B12" i="29" s="1"/>
  <c r="B24" i="29" s="1"/>
  <c r="G12" i="23"/>
  <c r="D15" i="23"/>
  <c r="G13" i="9"/>
  <c r="G17" i="11"/>
  <c r="F10" i="29"/>
  <c r="F14" i="9"/>
  <c r="F9" i="9"/>
  <c r="F15" i="9" s="1"/>
  <c r="F24" i="9" s="1"/>
  <c r="F16" i="27" s="1"/>
  <c r="C9" i="30" s="1"/>
  <c r="E9" i="30"/>
  <c r="F20" i="27"/>
  <c r="F9" i="30"/>
  <c r="F18" i="27"/>
  <c r="E8" i="12"/>
  <c r="E11" i="12" s="1"/>
  <c r="F144" i="8"/>
  <c r="F8" i="12" s="1"/>
  <c r="F146" i="8"/>
  <c r="F11" i="12"/>
  <c r="M6" i="30"/>
  <c r="G13" i="23"/>
  <c r="F8" i="30"/>
  <c r="E18" i="27"/>
  <c r="E20" i="27"/>
  <c r="E8" i="30"/>
  <c r="E12" i="30" s="1"/>
  <c r="N5" i="30"/>
  <c r="C26" i="25"/>
  <c r="D20" i="25"/>
  <c r="D147" i="8"/>
  <c r="D19" i="9" s="1"/>
  <c r="D150" i="8"/>
  <c r="D152" i="8" s="1"/>
  <c r="C22" i="9"/>
  <c r="C25" i="9" s="1"/>
  <c r="C36" i="9" s="1"/>
  <c r="G18" i="11"/>
  <c r="G22" i="11" s="1"/>
  <c r="E150" i="8"/>
  <c r="E152" i="8" s="1"/>
  <c r="E147" i="8"/>
  <c r="E19" i="9" s="1"/>
  <c r="H13" i="12" l="1"/>
  <c r="G9" i="9"/>
  <c r="G15" i="9" s="1"/>
  <c r="G24" i="9" s="1"/>
  <c r="H17" i="11"/>
  <c r="G14" i="9"/>
  <c r="G10" i="29"/>
  <c r="F150" i="8"/>
  <c r="F152" i="8" s="1"/>
  <c r="F147" i="8"/>
  <c r="F19" i="9" s="1"/>
  <c r="F22" i="9" s="1"/>
  <c r="H18" i="27"/>
  <c r="G15" i="23"/>
  <c r="E33" i="29"/>
  <c r="F34" i="29" s="1"/>
  <c r="G34" i="29" s="1"/>
  <c r="C27" i="25"/>
  <c r="C31" i="25" s="1"/>
  <c r="C32" i="29" s="1"/>
  <c r="F12" i="30"/>
  <c r="H13" i="30" s="1"/>
  <c r="D31" i="30"/>
  <c r="H20" i="27"/>
  <c r="N6" i="30"/>
  <c r="D23" i="25"/>
  <c r="D22" i="9"/>
  <c r="D25" i="9" s="1"/>
  <c r="D36" i="9" s="1"/>
  <c r="E18" i="11"/>
  <c r="E22" i="9"/>
  <c r="F25" i="9" s="1"/>
  <c r="F36" i="9" s="1"/>
  <c r="F18" i="11"/>
  <c r="C8" i="12"/>
  <c r="I12" i="11"/>
  <c r="D18" i="11"/>
  <c r="I17" i="11" l="1"/>
  <c r="H18" i="11"/>
  <c r="H22" i="11" s="1"/>
  <c r="H23" i="11" s="1"/>
  <c r="G17" i="26" s="1"/>
  <c r="G16" i="27"/>
  <c r="G22" i="9"/>
  <c r="G25" i="9" s="1"/>
  <c r="G36" i="9" s="1"/>
  <c r="H25" i="11"/>
  <c r="G25" i="11"/>
  <c r="E25" i="9"/>
  <c r="E36" i="9" s="1"/>
  <c r="B25" i="30"/>
  <c r="C25" i="30" s="1"/>
  <c r="D32" i="29"/>
  <c r="E32" i="29" s="1"/>
  <c r="D31" i="25"/>
  <c r="D34" i="30"/>
  <c r="B6" i="21"/>
  <c r="C32" i="25"/>
  <c r="D26" i="25"/>
  <c r="C6" i="12"/>
  <c r="E22" i="11"/>
  <c r="E23" i="11" s="1"/>
  <c r="D17" i="26" s="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F22" i="11"/>
  <c r="F23" i="11" s="1"/>
  <c r="E17" i="26" s="1"/>
  <c r="C7" i="12"/>
  <c r="H16" i="27" l="1"/>
  <c r="G9" i="12"/>
  <c r="E25" i="11"/>
  <c r="F25" i="11"/>
  <c r="F32" i="29"/>
  <c r="F31" i="29" s="1"/>
  <c r="F35" i="29" s="1"/>
  <c r="E31" i="29"/>
  <c r="D31" i="29"/>
  <c r="D35" i="29" s="1"/>
  <c r="D18" i="26"/>
  <c r="D19" i="26" s="1"/>
  <c r="F6" i="21"/>
  <c r="D27" i="25"/>
  <c r="E30" i="25" s="1"/>
  <c r="D10" i="30"/>
  <c r="D9" i="30"/>
  <c r="G9" i="30" s="1"/>
  <c r="D6" i="12"/>
  <c r="G6" i="12" s="1"/>
  <c r="D26" i="10"/>
  <c r="C26" i="10"/>
  <c r="C27" i="10" s="1"/>
  <c r="C28" i="10" s="1"/>
  <c r="C30" i="10" s="1"/>
  <c r="B7" i="21"/>
  <c r="E5" i="21" s="1"/>
  <c r="E26" i="10"/>
  <c r="E22" i="27" s="1"/>
  <c r="E24" i="27" s="1"/>
  <c r="D7" i="12"/>
  <c r="G7" i="12" s="1"/>
  <c r="I22" i="11"/>
  <c r="C11" i="12"/>
  <c r="C10" i="30" l="1"/>
  <c r="C12" i="30"/>
  <c r="L27" i="30"/>
  <c r="E16" i="26"/>
  <c r="E18" i="26" s="1"/>
  <c r="G32" i="29"/>
  <c r="G31" i="29" s="1"/>
  <c r="G35" i="29" s="1"/>
  <c r="E6" i="21"/>
  <c r="E8" i="21" s="1"/>
  <c r="D21" i="26"/>
  <c r="C11" i="29"/>
  <c r="B8" i="21"/>
  <c r="C5" i="21" s="1"/>
  <c r="D22" i="27"/>
  <c r="D24" i="27" s="1"/>
  <c r="D8" i="30"/>
  <c r="G8" i="30" s="1"/>
  <c r="D7" i="30"/>
  <c r="C7" i="27"/>
  <c r="C5" i="27" s="1"/>
  <c r="D5" i="12"/>
  <c r="I23" i="11"/>
  <c r="D25" i="11"/>
  <c r="I25" i="11" s="1"/>
  <c r="G10" i="30" l="1"/>
  <c r="B29" i="30"/>
  <c r="C29" i="30" s="1"/>
  <c r="C31" i="30" s="1"/>
  <c r="G5" i="21"/>
  <c r="G6" i="21"/>
  <c r="C7" i="21"/>
  <c r="G7" i="21" s="1"/>
  <c r="F16" i="26"/>
  <c r="E19" i="26"/>
  <c r="E21" i="26" s="1"/>
  <c r="C6" i="21"/>
  <c r="H22" i="27"/>
  <c r="H24" i="27" s="1"/>
  <c r="B10" i="21"/>
  <c r="D12" i="30"/>
  <c r="G7" i="30"/>
  <c r="D11" i="12"/>
  <c r="G5" i="12"/>
  <c r="G8" i="21" l="1"/>
  <c r="D11" i="29"/>
  <c r="F18" i="26"/>
  <c r="G12" i="30"/>
  <c r="C8" i="21"/>
  <c r="G11" i="12"/>
  <c r="D25" i="10"/>
  <c r="D27" i="10" s="1"/>
  <c r="D28" i="10" s="1"/>
  <c r="G16" i="26" l="1"/>
  <c r="G18" i="26" s="1"/>
  <c r="F19" i="26"/>
  <c r="G19" i="26"/>
  <c r="G21" i="26" s="1"/>
  <c r="D11" i="27"/>
  <c r="K7" i="30"/>
  <c r="J5" i="12"/>
  <c r="D30" i="10"/>
  <c r="J6" i="12"/>
  <c r="K6" i="12" s="1"/>
  <c r="L6" i="12" s="1"/>
  <c r="E25" i="10"/>
  <c r="F11" i="29" l="1"/>
  <c r="E11" i="29"/>
  <c r="F21" i="26"/>
  <c r="E27" i="10"/>
  <c r="F25" i="10" s="1"/>
  <c r="L7" i="30"/>
  <c r="K5" i="12"/>
  <c r="F27" i="10" l="1"/>
  <c r="G25" i="10" s="1"/>
  <c r="M7" i="30"/>
  <c r="E28" i="10"/>
  <c r="L5" i="12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K9" i="30"/>
  <c r="F11" i="27"/>
  <c r="J11" i="12" l="1"/>
  <c r="M19" i="12" s="1"/>
  <c r="L9" i="30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 s="1"/>
  <c r="D6" i="27" s="1"/>
  <c r="D5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D26" i="27" s="1"/>
  <c r="D29" i="27" s="1"/>
  <c r="E25" i="30"/>
  <c r="D30" i="27" l="1"/>
  <c r="E6" i="27"/>
  <c r="E5" i="27" s="1"/>
  <c r="D17" i="30"/>
  <c r="D16" i="30"/>
  <c r="M12" i="30"/>
  <c r="N10" i="30"/>
  <c r="F25" i="30"/>
  <c r="L28" i="30" l="1"/>
  <c r="N12" i="30"/>
  <c r="D14" i="30"/>
  <c r="G25" i="30"/>
  <c r="E26" i="30" l="1"/>
  <c r="D8" i="29"/>
  <c r="D5" i="29" s="1"/>
  <c r="D24" i="29" s="1"/>
  <c r="E12" i="27"/>
  <c r="E26" i="27" s="1"/>
  <c r="E29" i="27" s="1"/>
  <c r="F6" i="27" l="1"/>
  <c r="F5" i="27" s="1"/>
  <c r="E30" i="27"/>
  <c r="F26" i="30"/>
  <c r="G26" i="30" s="1"/>
  <c r="E8" i="29" l="1"/>
  <c r="F12" i="27"/>
  <c r="F26" i="27" s="1"/>
  <c r="F29" i="27" s="1"/>
  <c r="E5" i="29" l="1"/>
  <c r="E24" i="29" s="1"/>
  <c r="E27" i="30"/>
  <c r="F8" i="29" l="1"/>
  <c r="F5" i="29" s="1"/>
  <c r="F27" i="30"/>
  <c r="F24" i="29" l="1"/>
  <c r="F36" i="29" s="1"/>
  <c r="G6" i="27"/>
  <c r="G5" i="27" s="1"/>
  <c r="G27" i="30"/>
  <c r="F30" i="27"/>
  <c r="F40" i="29" l="1"/>
  <c r="E28" i="30"/>
  <c r="F28" i="30" l="1"/>
  <c r="G28" i="30" l="1"/>
  <c r="C44" i="21" l="1"/>
  <c r="E42" i="21"/>
  <c r="E43" i="21"/>
  <c r="E44" i="21" s="1"/>
  <c r="D32" i="25"/>
  <c r="E32" i="25" s="1"/>
  <c r="D40" i="29"/>
  <c r="D38" i="29"/>
  <c r="B31" i="30"/>
  <c r="C34" i="25"/>
  <c r="B34" i="25"/>
  <c r="B7" i="27"/>
  <c r="B31" i="29"/>
  <c r="B35" i="29" s="1"/>
  <c r="B38" i="29"/>
  <c r="B40" i="29" l="1"/>
  <c r="H7" i="27"/>
  <c r="B12" i="27"/>
  <c r="F38" i="29"/>
  <c r="E35" i="29"/>
  <c r="C31" i="29"/>
  <c r="C35" i="29" s="1"/>
  <c r="E31" i="25"/>
  <c r="H35" i="29" l="1"/>
  <c r="C40" i="29"/>
  <c r="C38" i="29"/>
  <c r="E40" i="29"/>
  <c r="E38" i="29"/>
  <c r="H24" i="30"/>
  <c r="H25" i="30" l="1"/>
  <c r="H26" i="30" s="1"/>
  <c r="H27" i="30" s="1"/>
  <c r="H28" i="30" s="1"/>
  <c r="H6" i="27"/>
  <c r="H12" i="27" s="1"/>
  <c r="G12" i="27"/>
  <c r="G26" i="27" s="1"/>
  <c r="H26" i="27" s="1"/>
  <c r="G29" i="27" l="1"/>
  <c r="G30" i="27" s="1"/>
  <c r="H30" i="27" s="1"/>
  <c r="G8" i="29" l="1"/>
  <c r="G5" i="29" s="1"/>
  <c r="G24" i="29" s="1"/>
  <c r="G36" i="29" s="1"/>
  <c r="H29" i="27"/>
  <c r="E29" i="30"/>
  <c r="F29" i="30" s="1"/>
  <c r="L36" i="30" l="1"/>
  <c r="G40" i="29"/>
  <c r="H24" i="29"/>
  <c r="G38" i="29"/>
  <c r="E31" i="30"/>
  <c r="F31" i="30"/>
  <c r="G29" i="30"/>
  <c r="G31" i="30" l="1"/>
  <c r="H29" i="30"/>
  <c r="D37" i="30"/>
  <c r="D36" i="30"/>
  <c r="L34" i="30" l="1"/>
  <c r="L31" i="30"/>
  <c r="L30" i="30"/>
  <c r="L33" i="30"/>
  <c r="L32" i="30"/>
  <c r="H3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[Threaded comment]
Your version of Excel allows you to read this threaded comment; however, any edits to it will get removed if the file is opened in a newer version of Excel. Learn more: https://go.microsoft.com/fwlink/?linkid=870924
Comment: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porcentajes salen de práctica dada por catedra</t>
      </text>
    </comment>
    <comment ref="D82" authorId="1" shapeId="0" xr:uid="{42141B42-B524-413F-9B65-A83336A63F0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datos optenidos del  ejercicio 19- I4DT1 EJERCICIOS DE APLICADION
</t>
      </text>
    </comment>
    <comment ref="E87" authorId="2" shapeId="0" xr:uid="{F7BD38D8-FDBD-4B4D-941D-8F26CAD1CF6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[Threaded comment]
Your version of Excel allows you to read this threaded comment; however, any edits to it will get removed if the file is opened in a newer version of Excel. Learn more: https://go.microsoft.com/fwlink/?linkid=870924
Comment:
    ACTIVO TOTAL=PASIVO+PATRIMONIO NETO</t>
      </text>
    </comment>
  </commentList>
</comments>
</file>

<file path=xl/sharedStrings.xml><?xml version="1.0" encoding="utf-8"?>
<sst xmlns="http://schemas.openxmlformats.org/spreadsheetml/2006/main" count="2058" uniqueCount="1114">
  <si>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</si>
  <si>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</si>
  <si>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</si>
  <si>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</si>
  <si>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</si>
  <si>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</si>
  <si>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</si>
  <si>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</si>
  <si>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</si>
  <si>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</si>
  <si>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</si>
  <si>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</si>
  <si>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</si>
  <si>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</si>
  <si>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</si>
  <si>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</si>
  <si>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</si>
  <si>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</si>
  <si>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Año 3 (reducción por pandemia)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</si>
  <si>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</si>
  <si>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</si>
  <si>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</si>
  <si>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</si>
  <si>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</si>
  <si>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</si>
  <si>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</si>
  <si>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</si>
  <si>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&lt;--kg en año 3</t>
  </si>
  <si>
    <t>Compra:</t>
  </si>
  <si>
    <t>$</t>
  </si>
  <si>
    <t>Mermas y desperdicios</t>
  </si>
  <si>
    <t>Venta:</t>
  </si>
  <si>
    <t>Mercadería en proceso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</si>
  <si>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</si>
  <si>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</si>
  <si>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</si>
  <si>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</si>
  <si>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</si>
  <si>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</si>
  <si>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</si>
  <si>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</si>
  <si>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</si>
  <si>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</si>
  <si>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</si>
  <si>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</si>
  <si>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</si>
  <si>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</si>
  <si>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</si>
  <si>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</si>
  <si>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</si>
  <si>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</si>
  <si>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</si>
  <si>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</si>
  <si>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</si>
  <si>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</si>
  <si>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</si>
  <si>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</si>
  <si>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</si>
  <si>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</si>
  <si>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</si>
  <si>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</si>
  <si>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</si>
  <si>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</si>
  <si>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</si>
  <si>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</si>
  <si>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</si>
  <si>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</si>
  <si>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</si>
  <si>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</si>
  <si>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</si>
  <si>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</si>
  <si>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</si>
  <si>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</si>
  <si>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</si>
  <si>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</si>
  <si>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</si>
  <si>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</si>
  <si>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</si>
  <si>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</si>
  <si>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</si>
  <si>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</si>
  <si>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</si>
  <si>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</si>
  <si>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</si>
  <si>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</si>
  <si>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</si>
  <si>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</si>
  <si>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</si>
  <si>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</si>
  <si>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</si>
  <si>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</si>
  <si>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</si>
  <si>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</si>
  <si>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</si>
  <si>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</si>
  <si>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</si>
  <si>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</si>
  <si>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</si>
  <si>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</si>
  <si>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</si>
  <si>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</si>
  <si>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</si>
  <si>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</si>
  <si>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</si>
  <si>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</si>
  <si>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</si>
  <si>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</si>
  <si>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</si>
  <si>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</si>
  <si>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</si>
  <si>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</si>
  <si>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</si>
  <si>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</si>
  <si>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</si>
  <si>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</si>
  <si>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</si>
  <si>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</si>
  <si>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</si>
  <si>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</si>
  <si>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</si>
  <si>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</si>
  <si>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</si>
  <si>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</si>
  <si>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</si>
  <si>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</si>
  <si>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</si>
  <si>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</si>
  <si>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</si>
  <si>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</si>
  <si>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</si>
  <si>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</si>
  <si>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</si>
  <si>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</si>
  <si>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</si>
  <si>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</si>
  <si>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</si>
  <si>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</si>
  <si>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</si>
  <si>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</si>
  <si>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</si>
  <si>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</si>
  <si>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</si>
  <si>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</si>
  <si>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</si>
  <si>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</si>
  <si>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</si>
  <si>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</si>
  <si>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</si>
  <si>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</si>
  <si>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</si>
  <si>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</si>
  <si>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</si>
  <si>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</si>
  <si>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</si>
  <si>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</si>
  <si>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</si>
  <si>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</si>
  <si>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</si>
  <si>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</si>
  <si>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</si>
  <si>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</si>
  <si>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</si>
  <si>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</si>
  <si>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</si>
  <si>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</si>
  <si>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</si>
  <si>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</si>
  <si>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</si>
  <si>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</si>
  <si>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</si>
  <si>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</si>
  <si>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</si>
  <si>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</si>
  <si>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</si>
  <si>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</si>
  <si>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</si>
  <si>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</si>
  <si>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</si>
  <si>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</si>
  <si>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</si>
  <si>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</si>
  <si>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</si>
  <si>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</si>
  <si>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</si>
  <si>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</si>
  <si>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</si>
  <si>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</si>
  <si>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</si>
  <si>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</si>
  <si>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</si>
  <si>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</si>
  <si>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</si>
  <si>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</si>
  <si>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</si>
  <si>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</si>
  <si>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</si>
  <si>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</si>
  <si>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</si>
  <si>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</si>
  <si>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</si>
  <si>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</si>
  <si>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</si>
  <si>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</si>
  <si>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</si>
  <si>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</si>
  <si>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</si>
  <si>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</si>
  <si>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</si>
  <si>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</si>
  <si>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</si>
  <si>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</si>
  <si>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</si>
  <si>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</si>
  <si>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</si>
  <si>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</si>
  <si>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</si>
  <si>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</si>
  <si>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</si>
  <si>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</si>
  <si>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</si>
  <si>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</si>
  <si>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</si>
  <si>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</si>
  <si>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</si>
  <si>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</si>
  <si>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</si>
  <si>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</si>
  <si>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</si>
  <si>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</si>
  <si>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</si>
  <si>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</si>
  <si>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</si>
  <si>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</si>
  <si>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</si>
  <si>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</si>
  <si>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</si>
  <si>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</si>
  <si>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</si>
  <si>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</si>
  <si>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</si>
  <si>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</si>
  <si>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</si>
  <si>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</si>
  <si>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</si>
  <si>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</si>
  <si>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</si>
  <si>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</si>
  <si>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</si>
  <si>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</si>
  <si>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</si>
  <si>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Costos año 3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</si>
  <si>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</si>
  <si>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</si>
  <si>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</si>
  <si>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</si>
  <si>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</si>
  <si>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</si>
  <si>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</si>
  <si>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</si>
  <si>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</si>
  <si>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</si>
  <si>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</si>
  <si>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</si>
  <si>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</si>
  <si>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</si>
  <si>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</si>
  <si>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</si>
  <si>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</si>
  <si>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 xml:space="preserve">Reducción de salarios para año 3 en un: 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</si>
  <si>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</si>
  <si>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</si>
  <si>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</si>
  <si>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</si>
  <si>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</si>
  <si>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</si>
  <si>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</si>
  <si>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</si>
  <si>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</si>
  <si>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</si>
  <si>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</si>
  <si>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</si>
  <si>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</si>
  <si>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</si>
  <si>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</si>
  <si>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</si>
  <si>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</si>
  <si>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</si>
  <si>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</si>
  <si>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</si>
  <si>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</si>
  <si>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</si>
  <si>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</si>
  <si>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</si>
  <si>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</si>
  <si>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</si>
  <si>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</si>
  <si>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</si>
  <si>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</si>
  <si>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</si>
  <si>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</si>
  <si>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</si>
  <si>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</si>
  <si>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</si>
  <si>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</si>
  <si>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</si>
  <si>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</si>
  <si>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</si>
  <si>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</si>
  <si>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</si>
  <si>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</si>
  <si>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</si>
  <si>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</si>
  <si>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</si>
  <si>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</si>
  <si>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</si>
  <si>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</si>
  <si>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</si>
  <si>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</si>
  <si>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</si>
  <si>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</si>
  <si>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</si>
  <si>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</si>
  <si>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</si>
  <si>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</si>
  <si>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</si>
  <si>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</si>
  <si>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</si>
  <si>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</si>
  <si>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</si>
  <si>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</si>
  <si>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</si>
  <si>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</si>
  <si>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</si>
  <si>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</si>
  <si>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</si>
  <si>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</si>
  <si>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</si>
  <si>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</si>
  <si>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</si>
  <si>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</si>
  <si>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</si>
  <si>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</si>
  <si>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</si>
  <si>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</si>
  <si>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</si>
  <si>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</si>
  <si>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</si>
  <si>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</si>
  <si>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</si>
  <si>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</si>
  <si>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</si>
  <si>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</si>
  <si>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</si>
  <si>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</si>
  <si>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</si>
  <si>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</si>
  <si>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</si>
  <si>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</si>
  <si>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</si>
  <si>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</si>
  <si>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</si>
  <si>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</si>
  <si>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</si>
  <si>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</si>
  <si>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</si>
  <si>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</si>
  <si>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</si>
  <si>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</si>
  <si>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</si>
  <si>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</si>
  <si>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</si>
  <si>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</si>
  <si>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</si>
  <si>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</si>
  <si>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</si>
  <si>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</si>
  <si>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</si>
  <si>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</si>
  <si>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</si>
  <si>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</si>
  <si>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</si>
  <si>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</si>
  <si>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</si>
  <si>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</si>
  <si>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</si>
  <si>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</si>
  <si>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</si>
  <si>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</si>
  <si>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</si>
  <si>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</si>
  <si>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</si>
  <si>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</si>
  <si>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</si>
  <si>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</si>
  <si>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</si>
  <si>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</si>
  <si>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</si>
  <si>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en curso y semi elab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</si>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</sst>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\ _€_-;\-* #,##0.00\ _€_-;_-* &quot;-&quot;??\ _€_-;_-@_-"/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[$$-2C0A]\ #,##0.00"/>
    <numFmt numFmtId="167" formatCode="0\ %"/>
    <numFmt numFmtId="168" formatCode="0.00\ %"/>
    <numFmt numFmtId="169" formatCode="_(\$* #,##0.00_);_(\$* \(#,##0.00\);_(\$* \-??_);_(@_)"/>
    <numFmt numFmtId="170" formatCode="0.0"/>
    <numFmt numFmtId="171" formatCode="_-* #,##0.00_-;\-* #,##0.00_-;_-* &quot;-&quot;??_-;_-@"/>
    <numFmt numFmtId="172" formatCode="_-&quot;$&quot;\ * #,##0.00_-;\-&quot;$&quot;\ * #,##0.00_-;_-&quot;$&quot;\ * &quot;-&quot;??_-;_-@"/>
    <numFmt numFmtId="173" formatCode="0.000"/>
    <numFmt numFmtId="174" formatCode="&quot;$&quot;#,##0"/>
    <numFmt numFmtId="175" formatCode="&quot;$&quot;#,##0.00"/>
    <numFmt numFmtId="176" formatCode="_-* #,##0.00\ _€_-;\-* #,##0.00\ _€_-;_-* &quot;-&quot;??\ _€_-;_-@"/>
    <numFmt numFmtId="177" formatCode="_(\$* #,##0.00_);_(\$* \(#,##0.00\);_(\$* \-??.0_);_(@_)"/>
    <numFmt numFmtId="178" formatCode="0.0%"/>
    <numFmt numFmtId="179" formatCode="0.0\ %"/>
    <numFmt numFmtId="180" formatCode="_(* #,##0.00_);_(* \(#,##0.00\);_(* \-??_);_(@_)"/>
    <numFmt numFmtId="181" formatCode="[$ $]#,##0.00"/>
    <numFmt numFmtId="182" formatCode="_-[$$-2C0A]\ * #,##0.00_-;\-[$$-2C0A]\ * #,##0.00_-;_-[$$-2C0A]\ * &quot;-&quot;??_-;_-@_-"/>
    <numFmt numFmtId="183" formatCode="&quot;$&quot;#,##0.00_);[Red]\(&quot;$&quot;#,##0.00\)"/>
    <numFmt numFmtId="184" formatCode="&quot;$&quot;\ #,##0.00"/>
    <numFmt numFmtId="185" formatCode="_-[$$-409]* #,##0.00_ ;_-[$$-409]* \-#,##0.00\ ;_-[$$-409]* &quot;-&quot;??_ ;_-@_ "/>
    <numFmt numFmtId="186" formatCode="[$$-340A]#,##0.00"/>
  </numFmts>
  <fonts count="102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scheme val="minor"/>
    </font>
    <font>
      <sz val="10"/>
      <color rgb="FFFF0000"/>
      <name val="Arial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3FB2"/>
        <bgColor indexed="64"/>
      </patternFill>
    </fill>
    <fill>
      <patternFill patternType="solid">
        <fgColor rgb="FFA9D08E"/>
        <bgColor indexed="64"/>
      </patternFill>
    </fill>
  </fills>
  <borders count="2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6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  <xf numFmtId="165" fontId="85" fillId="0" borderId="0" applyFont="0" applyFill="0" applyBorder="0" applyAlignment="0" applyProtection="0"/>
  </cellStyleXfs>
  <cellXfs count="1102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7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8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6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9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1" fontId="4" fillId="0" borderId="0" xfId="0" applyNumberFormat="1" applyFont="1"/>
    <xf numFmtId="0" fontId="34" fillId="0" borderId="0" xfId="0" applyFont="1"/>
    <xf numFmtId="166" fontId="6" fillId="0" borderId="0" xfId="0" applyNumberFormat="1" applyFont="1"/>
    <xf numFmtId="0" fontId="35" fillId="0" borderId="0" xfId="0" applyFont="1"/>
    <xf numFmtId="170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3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4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4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5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9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7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7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1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3" fontId="27" fillId="0" borderId="103" xfId="0" applyNumberFormat="1" applyFont="1" applyBorder="1" applyAlignment="1">
      <alignment horizontal="left"/>
    </xf>
    <xf numFmtId="164" fontId="4" fillId="0" borderId="0" xfId="0" applyNumberFormat="1" applyFont="1"/>
    <xf numFmtId="166" fontId="3" fillId="15" borderId="0" xfId="0" applyNumberFormat="1" applyFont="1" applyFill="1"/>
    <xf numFmtId="0" fontId="67" fillId="0" borderId="115" xfId="0" applyFont="1" applyBorder="1" applyAlignment="1">
      <alignment readingOrder="1"/>
    </xf>
    <xf numFmtId="0" fontId="67" fillId="0" borderId="116" xfId="0" applyFont="1" applyBorder="1" applyAlignment="1">
      <alignment readingOrder="1"/>
    </xf>
    <xf numFmtId="0" fontId="66" fillId="0" borderId="117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9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165" fontId="5" fillId="0" borderId="0" xfId="0" applyNumberFormat="1" applyFont="1"/>
    <xf numFmtId="10" fontId="0" fillId="0" borderId="0" xfId="0" applyNumberFormat="1"/>
    <xf numFmtId="184" fontId="0" fillId="0" borderId="0" xfId="0" applyNumberFormat="1"/>
    <xf numFmtId="0" fontId="0" fillId="15" borderId="0" xfId="0" applyFill="1"/>
    <xf numFmtId="176" fontId="3" fillId="18" borderId="0" xfId="0" applyNumberFormat="1" applyFont="1" applyFill="1"/>
    <xf numFmtId="172" fontId="3" fillId="18" borderId="0" xfId="0" applyNumberFormat="1" applyFont="1" applyFill="1"/>
    <xf numFmtId="176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3" fontId="27" fillId="20" borderId="103" xfId="0" applyNumberFormat="1" applyFont="1" applyFill="1" applyBorder="1"/>
    <xf numFmtId="183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6" fontId="3" fillId="15" borderId="103" xfId="0" applyNumberFormat="1" applyFont="1" applyFill="1" applyBorder="1"/>
    <xf numFmtId="172" fontId="5" fillId="18" borderId="103" xfId="0" applyNumberFormat="1" applyFont="1" applyFill="1" applyBorder="1"/>
    <xf numFmtId="172" fontId="5" fillId="18" borderId="0" xfId="0" applyNumberFormat="1" applyFont="1" applyFill="1"/>
    <xf numFmtId="165" fontId="0" fillId="0" borderId="0" xfId="0" applyNumberFormat="1"/>
    <xf numFmtId="166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6" fontId="0" fillId="0" borderId="0" xfId="0" applyNumberFormat="1"/>
    <xf numFmtId="43" fontId="4" fillId="21" borderId="0" xfId="0" applyNumberFormat="1" applyFont="1" applyFill="1"/>
    <xf numFmtId="0" fontId="4" fillId="0" borderId="0" xfId="0" applyFont="1" applyAlignment="1">
      <alignment horizontal="left"/>
    </xf>
    <xf numFmtId="178" fontId="3" fillId="0" borderId="0" xfId="0" applyNumberFormat="1" applyFont="1"/>
    <xf numFmtId="0" fontId="1" fillId="0" borderId="103" xfId="0" applyFont="1" applyBorder="1"/>
    <xf numFmtId="0" fontId="4" fillId="0" borderId="121" xfId="0" applyFont="1" applyBorder="1"/>
    <xf numFmtId="0" fontId="27" fillId="0" borderId="0" xfId="0" applyFont="1"/>
    <xf numFmtId="43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9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7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8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3" fontId="54" fillId="0" borderId="104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6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6" xfId="0" applyFont="1" applyBorder="1" applyAlignment="1">
      <alignment wrapText="1"/>
    </xf>
    <xf numFmtId="3" fontId="58" fillId="0" borderId="106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2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2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3" fontId="27" fillId="0" borderId="102" xfId="0" applyNumberFormat="1" applyFont="1" applyBorder="1" applyAlignment="1">
      <alignment horizontal="center"/>
    </xf>
    <xf numFmtId="183" fontId="27" fillId="0" borderId="71" xfId="0" applyNumberFormat="1" applyFont="1" applyBorder="1" applyAlignment="1">
      <alignment horizontal="center"/>
    </xf>
    <xf numFmtId="183" fontId="27" fillId="0" borderId="15" xfId="0" applyNumberFormat="1" applyFont="1" applyBorder="1" applyAlignment="1">
      <alignment horizontal="left"/>
    </xf>
    <xf numFmtId="183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3" fontId="27" fillId="0" borderId="64" xfId="0" applyNumberFormat="1" applyFont="1" applyBorder="1" applyAlignment="1">
      <alignment horizontal="center"/>
    </xf>
    <xf numFmtId="183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3" fontId="27" fillId="0" borderId="102" xfId="0" applyNumberFormat="1" applyFont="1" applyBorder="1" applyAlignment="1">
      <alignment horizontal="left"/>
    </xf>
    <xf numFmtId="183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164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20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10" xfId="0" applyFont="1" applyBorder="1" applyAlignment="1">
      <alignment wrapText="1"/>
    </xf>
    <xf numFmtId="3" fontId="30" fillId="0" borderId="110" xfId="0" applyNumberFormat="1" applyFont="1" applyBorder="1" applyAlignment="1">
      <alignment horizontal="left" wrapText="1"/>
    </xf>
    <xf numFmtId="184" fontId="27" fillId="0" borderId="67" xfId="0" applyNumberFormat="1" applyFont="1" applyBorder="1" applyAlignment="1">
      <alignment wrapText="1"/>
    </xf>
    <xf numFmtId="184" fontId="27" fillId="0" borderId="18" xfId="0" applyNumberFormat="1" applyFont="1" applyBorder="1" applyAlignment="1">
      <alignment horizontal="left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4" fontId="27" fillId="0" borderId="43" xfId="0" applyNumberFormat="1" applyFont="1" applyBorder="1" applyAlignment="1">
      <alignment horizontal="left" wrapText="1"/>
    </xf>
    <xf numFmtId="3" fontId="30" fillId="0" borderId="63" xfId="0" applyNumberFormat="1" applyFont="1" applyBorder="1" applyAlignment="1">
      <alignment horizontal="left" wrapText="1"/>
    </xf>
    <xf numFmtId="184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4" fontId="27" fillId="0" borderId="1" xfId="0" applyNumberFormat="1" applyFont="1" applyBorder="1" applyAlignment="1">
      <alignment horizontal="left" wrapText="1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9" xfId="0" applyFont="1" applyBorder="1" applyAlignment="1">
      <alignment wrapText="1"/>
    </xf>
    <xf numFmtId="0" fontId="30" fillId="0" borderId="119" xfId="0" applyFont="1" applyBorder="1" applyAlignment="1">
      <alignment horizontal="left" wrapText="1"/>
    </xf>
    <xf numFmtId="184" fontId="27" fillId="0" borderId="65" xfId="0" applyNumberFormat="1" applyFont="1" applyBorder="1" applyAlignment="1">
      <alignment wrapText="1"/>
    </xf>
    <xf numFmtId="184" fontId="27" fillId="0" borderId="22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4" fontId="3" fillId="0" borderId="2" xfId="0" applyNumberFormat="1" applyFont="1" applyBorder="1"/>
    <xf numFmtId="184" fontId="27" fillId="0" borderId="64" xfId="0" applyNumberFormat="1" applyFont="1" applyBorder="1" applyAlignment="1">
      <alignment horizontal="left" wrapText="1"/>
    </xf>
    <xf numFmtId="172" fontId="3" fillId="0" borderId="65" xfId="0" applyNumberFormat="1" applyFont="1" applyBorder="1"/>
    <xf numFmtId="172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2" fontId="3" fillId="0" borderId="103" xfId="0" applyNumberFormat="1" applyFont="1" applyBorder="1"/>
    <xf numFmtId="172" fontId="3" fillId="0" borderId="65" xfId="0" applyNumberFormat="1" applyFont="1" applyBorder="1" applyAlignment="1">
      <alignment horizontal="center" vertical="center"/>
    </xf>
    <xf numFmtId="172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2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2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2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2" fontId="3" fillId="0" borderId="67" xfId="0" applyNumberFormat="1" applyFont="1" applyBorder="1"/>
    <xf numFmtId="172" fontId="3" fillId="0" borderId="19" xfId="0" applyNumberFormat="1" applyFont="1" applyBorder="1"/>
    <xf numFmtId="0" fontId="0" fillId="0" borderId="20" xfId="0" applyBorder="1"/>
    <xf numFmtId="172" fontId="0" fillId="0" borderId="67" xfId="0" applyNumberFormat="1" applyBorder="1"/>
    <xf numFmtId="4" fontId="33" fillId="0" borderId="0" xfId="0" applyNumberFormat="1" applyFont="1"/>
    <xf numFmtId="166" fontId="3" fillId="0" borderId="17" xfId="0" applyNumberFormat="1" applyFont="1" applyBorder="1"/>
    <xf numFmtId="166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5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164" fontId="5" fillId="0" borderId="0" xfId="0" applyNumberFormat="1" applyFont="1"/>
    <xf numFmtId="173" fontId="0" fillId="0" borderId="0" xfId="0" applyNumberFormat="1"/>
    <xf numFmtId="165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3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70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6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9" fontId="4" fillId="0" borderId="74" xfId="0" applyNumberFormat="1" applyFont="1" applyBorder="1" applyAlignment="1">
      <alignment horizontal="center"/>
    </xf>
    <xf numFmtId="169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 applyAlignment="1">
      <alignment horizontal="center"/>
    </xf>
    <xf numFmtId="170" fontId="4" fillId="0" borderId="58" xfId="0" applyNumberFormat="1" applyFont="1" applyBorder="1" applyAlignment="1">
      <alignment horizontal="center"/>
    </xf>
    <xf numFmtId="170" fontId="4" fillId="0" borderId="61" xfId="0" applyNumberFormat="1" applyFont="1" applyBorder="1"/>
    <xf numFmtId="170" fontId="4" fillId="0" borderId="81" xfId="0" applyNumberFormat="1" applyFont="1" applyBorder="1" applyAlignment="1">
      <alignment horizontal="center"/>
    </xf>
    <xf numFmtId="170" fontId="4" fillId="0" borderId="78" xfId="0" applyNumberFormat="1" applyFont="1" applyBorder="1"/>
    <xf numFmtId="0" fontId="1" fillId="0" borderId="89" xfId="0" applyFont="1" applyBorder="1"/>
    <xf numFmtId="169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9" fontId="4" fillId="0" borderId="58" xfId="0" applyNumberFormat="1" applyFont="1" applyBorder="1"/>
    <xf numFmtId="164" fontId="64" fillId="0" borderId="93" xfId="0" applyNumberFormat="1" applyFont="1" applyBorder="1"/>
    <xf numFmtId="164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9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9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2" xfId="0" applyFont="1" applyBorder="1"/>
    <xf numFmtId="173" fontId="51" fillId="0" borderId="93" xfId="0" applyNumberFormat="1" applyFont="1" applyBorder="1"/>
    <xf numFmtId="164" fontId="51" fillId="0" borderId="112" xfId="0" applyNumberFormat="1" applyFont="1" applyBorder="1"/>
    <xf numFmtId="164" fontId="65" fillId="0" borderId="93" xfId="0" applyNumberFormat="1" applyFont="1" applyBorder="1"/>
    <xf numFmtId="0" fontId="65" fillId="0" borderId="93" xfId="0" applyFont="1" applyBorder="1"/>
    <xf numFmtId="164" fontId="65" fillId="0" borderId="112" xfId="0" applyNumberFormat="1" applyFont="1" applyBorder="1"/>
    <xf numFmtId="0" fontId="63" fillId="0" borderId="93" xfId="0" applyFont="1" applyBorder="1"/>
    <xf numFmtId="0" fontId="63" fillId="0" borderId="113" xfId="0" applyFont="1" applyBorder="1"/>
    <xf numFmtId="164" fontId="51" fillId="0" borderId="114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9" fontId="4" fillId="0" borderId="76" xfId="0" applyNumberFormat="1" applyFont="1" applyBorder="1" applyAlignment="1">
      <alignment horizontal="center"/>
    </xf>
    <xf numFmtId="169" fontId="4" fillId="0" borderId="79" xfId="0" applyNumberFormat="1" applyFont="1" applyBorder="1"/>
    <xf numFmtId="177" fontId="4" fillId="0" borderId="58" xfId="0" applyNumberFormat="1" applyFont="1" applyBorder="1" applyAlignment="1">
      <alignment horizontal="center"/>
    </xf>
    <xf numFmtId="169" fontId="70" fillId="0" borderId="58" xfId="0" applyNumberFormat="1" applyFont="1" applyBorder="1" applyAlignment="1">
      <alignment horizontal="center"/>
    </xf>
    <xf numFmtId="169" fontId="71" fillId="0" borderId="0" xfId="0" applyNumberFormat="1" applyFont="1"/>
    <xf numFmtId="178" fontId="4" fillId="0" borderId="81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178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9" fontId="4" fillId="0" borderId="74" xfId="0" applyNumberFormat="1" applyFont="1" applyBorder="1"/>
    <xf numFmtId="169" fontId="0" fillId="0" borderId="0" xfId="0" applyNumberFormat="1"/>
    <xf numFmtId="173" fontId="4" fillId="0" borderId="0" xfId="0" applyNumberFormat="1" applyFont="1" applyAlignment="1">
      <alignment horizontal="center"/>
    </xf>
    <xf numFmtId="169" fontId="4" fillId="0" borderId="61" xfId="0" applyNumberFormat="1" applyFont="1" applyBorder="1"/>
    <xf numFmtId="173" fontId="18" fillId="0" borderId="0" xfId="0" applyNumberFormat="1" applyFont="1" applyAlignment="1">
      <alignment horizontal="left"/>
    </xf>
    <xf numFmtId="169" fontId="4" fillId="0" borderId="81" xfId="0" applyNumberFormat="1" applyFont="1" applyBorder="1" applyAlignment="1">
      <alignment horizontal="center"/>
    </xf>
    <xf numFmtId="173" fontId="42" fillId="0" borderId="0" xfId="0" applyNumberFormat="1" applyFont="1" applyAlignment="1">
      <alignment horizontal="center"/>
    </xf>
    <xf numFmtId="168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8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9" fontId="4" fillId="0" borderId="59" xfId="0" applyNumberFormat="1" applyFont="1" applyBorder="1" applyAlignment="1">
      <alignment horizontal="center"/>
    </xf>
    <xf numFmtId="179" fontId="3" fillId="0" borderId="58" xfId="0" applyNumberFormat="1" applyFont="1" applyBorder="1" applyAlignment="1">
      <alignment horizontal="center"/>
    </xf>
    <xf numFmtId="179" fontId="3" fillId="0" borderId="54" xfId="0" applyNumberFormat="1" applyFont="1" applyBorder="1" applyAlignment="1">
      <alignment horizontal="center"/>
    </xf>
    <xf numFmtId="179" fontId="4" fillId="0" borderId="58" xfId="0" applyNumberFormat="1" applyFont="1" applyBorder="1" applyAlignment="1">
      <alignment horizontal="center"/>
    </xf>
    <xf numFmtId="179" fontId="4" fillId="0" borderId="5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5" fontId="4" fillId="0" borderId="58" xfId="0" applyNumberFormat="1" applyFont="1" applyBorder="1" applyAlignment="1">
      <alignment horizontal="right"/>
    </xf>
    <xf numFmtId="175" fontId="4" fillId="0" borderId="86" xfId="0" applyNumberFormat="1" applyFont="1" applyBorder="1" applyAlignment="1">
      <alignment horizontal="right"/>
    </xf>
    <xf numFmtId="180" fontId="4" fillId="0" borderId="58" xfId="0" applyNumberFormat="1" applyFont="1" applyBorder="1" applyAlignment="1">
      <alignment horizontal="right"/>
    </xf>
    <xf numFmtId="180" fontId="4" fillId="0" borderId="86" xfId="0" applyNumberFormat="1" applyFont="1" applyBorder="1" applyAlignment="1">
      <alignment horizontal="right"/>
    </xf>
    <xf numFmtId="169" fontId="4" fillId="0" borderId="58" xfId="0" applyNumberFormat="1" applyFont="1" applyBorder="1" applyAlignment="1">
      <alignment horizontal="right"/>
    </xf>
    <xf numFmtId="169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9" fontId="4" fillId="0" borderId="86" xfId="0" applyNumberFormat="1" applyFont="1" applyBorder="1" applyAlignment="1">
      <alignment horizontal="center"/>
    </xf>
    <xf numFmtId="169" fontId="1" fillId="0" borderId="58" xfId="0" applyNumberFormat="1" applyFont="1" applyBorder="1" applyAlignment="1">
      <alignment horizontal="center"/>
    </xf>
    <xf numFmtId="169" fontId="1" fillId="0" borderId="86" xfId="0" applyNumberFormat="1" applyFont="1" applyBorder="1" applyAlignment="1">
      <alignment horizontal="center"/>
    </xf>
    <xf numFmtId="167" fontId="4" fillId="0" borderId="58" xfId="0" applyNumberFormat="1" applyFont="1" applyBorder="1"/>
    <xf numFmtId="167" fontId="4" fillId="0" borderId="86" xfId="0" applyNumberFormat="1" applyFont="1" applyBorder="1"/>
    <xf numFmtId="166" fontId="4" fillId="0" borderId="58" xfId="0" applyNumberFormat="1" applyFont="1" applyBorder="1"/>
    <xf numFmtId="169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1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9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9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9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9" fontId="4" fillId="0" borderId="99" xfId="0" applyNumberFormat="1" applyFont="1" applyBorder="1" applyAlignment="1">
      <alignment horizontal="center"/>
    </xf>
    <xf numFmtId="169" fontId="4" fillId="0" borderId="100" xfId="0" applyNumberFormat="1" applyFont="1" applyBorder="1" applyAlignment="1">
      <alignment horizontal="center"/>
    </xf>
    <xf numFmtId="169" fontId="4" fillId="0" borderId="55" xfId="0" applyNumberFormat="1" applyFont="1" applyBorder="1" applyAlignment="1">
      <alignment horizontal="center"/>
    </xf>
    <xf numFmtId="0" fontId="36" fillId="22" borderId="126" xfId="0" applyFont="1" applyFill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69" fillId="0" borderId="127" xfId="0" applyFont="1" applyBorder="1" applyAlignment="1">
      <alignment horizontal="left" vertical="top" wrapText="1"/>
    </xf>
    <xf numFmtId="4" fontId="30" fillId="0" borderId="128" xfId="0" applyNumberFormat="1" applyFont="1" applyBorder="1" applyAlignment="1">
      <alignment horizontal="left" vertical="top"/>
    </xf>
    <xf numFmtId="4" fontId="30" fillId="0" borderId="129" xfId="0" applyNumberFormat="1" applyFont="1" applyBorder="1" applyAlignment="1">
      <alignment horizontal="left" vertical="top"/>
    </xf>
    <xf numFmtId="0" fontId="69" fillId="0" borderId="130" xfId="0" applyFont="1" applyBorder="1" applyAlignment="1">
      <alignment vertical="top" wrapText="1"/>
    </xf>
    <xf numFmtId="4" fontId="30" fillId="0" borderId="131" xfId="0" applyNumberFormat="1" applyFont="1" applyBorder="1" applyAlignment="1">
      <alignment horizontal="left" vertical="top"/>
    </xf>
    <xf numFmtId="0" fontId="69" fillId="0" borderId="132" xfId="0" applyFont="1" applyBorder="1" applyAlignment="1">
      <alignment vertical="top" wrapText="1"/>
    </xf>
    <xf numFmtId="4" fontId="30" fillId="0" borderId="133" xfId="0" applyNumberFormat="1" applyFont="1" applyBorder="1" applyAlignment="1">
      <alignment horizontal="left" vertical="top"/>
    </xf>
    <xf numFmtId="4" fontId="30" fillId="0" borderId="134" xfId="0" applyNumberFormat="1" applyFont="1" applyBorder="1" applyAlignment="1">
      <alignment horizontal="left" vertical="top"/>
    </xf>
    <xf numFmtId="184" fontId="0" fillId="0" borderId="9" xfId="0" applyNumberFormat="1" applyBorder="1"/>
    <xf numFmtId="0" fontId="0" fillId="0" borderId="103" xfId="0" applyBorder="1" applyAlignment="1">
      <alignment horizontal="center"/>
    </xf>
    <xf numFmtId="164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1" fillId="21" borderId="96" xfId="0" applyFont="1" applyFill="1" applyBorder="1"/>
    <xf numFmtId="0" fontId="55" fillId="0" borderId="0" xfId="3"/>
    <xf numFmtId="0" fontId="72" fillId="0" borderId="103" xfId="0" applyFont="1" applyBorder="1"/>
    <xf numFmtId="164" fontId="72" fillId="0" borderId="103" xfId="0" applyNumberFormat="1" applyFont="1" applyBorder="1" applyAlignment="1">
      <alignment horizontal="center"/>
    </xf>
    <xf numFmtId="0" fontId="72" fillId="0" borderId="0" xfId="0" applyFont="1"/>
    <xf numFmtId="164" fontId="72" fillId="0" borderId="0" xfId="0" applyNumberFormat="1" applyFont="1" applyAlignment="1">
      <alignment horizontal="center"/>
    </xf>
    <xf numFmtId="169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6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2" fontId="4" fillId="18" borderId="138" xfId="0" applyNumberFormat="1" applyFont="1" applyFill="1" applyBorder="1"/>
    <xf numFmtId="182" fontId="4" fillId="18" borderId="139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5" fontId="5" fillId="0" borderId="103" xfId="0" applyNumberFormat="1" applyFont="1" applyBorder="1"/>
    <xf numFmtId="169" fontId="4" fillId="21" borderId="81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4" xfId="0" applyFont="1" applyBorder="1"/>
    <xf numFmtId="0" fontId="63" fillId="0" borderId="140" xfId="0" applyFont="1" applyBorder="1"/>
    <xf numFmtId="0" fontId="63" fillId="0" borderId="103" xfId="0" applyFont="1" applyBorder="1"/>
    <xf numFmtId="0" fontId="74" fillId="0" borderId="141" xfId="0" applyFont="1" applyBorder="1"/>
    <xf numFmtId="0" fontId="74" fillId="0" borderId="142" xfId="0" applyFont="1" applyBorder="1"/>
    <xf numFmtId="0" fontId="74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63" fillId="0" borderId="146" xfId="0" applyFont="1" applyBorder="1"/>
    <xf numFmtId="0" fontId="51" fillId="0" borderId="113" xfId="0" applyFont="1" applyBorder="1"/>
    <xf numFmtId="0" fontId="51" fillId="0" borderId="114" xfId="0" applyFont="1" applyBorder="1"/>
    <xf numFmtId="0" fontId="51" fillId="0" borderId="145" xfId="0" applyFont="1" applyBorder="1"/>
    <xf numFmtId="0" fontId="51" fillId="0" borderId="146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7" xfId="0" applyFont="1" applyBorder="1"/>
    <xf numFmtId="0" fontId="63" fillId="0" borderId="148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7" xfId="0" applyFont="1" applyBorder="1"/>
    <xf numFmtId="182" fontId="51" fillId="0" borderId="58" xfId="0" applyNumberFormat="1" applyFont="1" applyBorder="1"/>
    <xf numFmtId="182" fontId="51" fillId="0" borderId="74" xfId="0" applyNumberFormat="1" applyFont="1" applyBorder="1"/>
    <xf numFmtId="182" fontId="51" fillId="0" borderId="93" xfId="0" applyNumberFormat="1" applyFont="1" applyBorder="1"/>
    <xf numFmtId="182" fontId="51" fillId="0" borderId="149" xfId="0" applyNumberFormat="1" applyFont="1" applyBorder="1"/>
    <xf numFmtId="182" fontId="51" fillId="0" borderId="79" xfId="0" applyNumberFormat="1" applyFont="1" applyBorder="1"/>
    <xf numFmtId="182" fontId="51" fillId="0" borderId="114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1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8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1" xfId="0" applyFont="1" applyBorder="1" applyAlignment="1">
      <alignment readingOrder="1"/>
    </xf>
    <xf numFmtId="0" fontId="78" fillId="0" borderId="151" xfId="0" applyFont="1" applyBorder="1" applyAlignment="1">
      <alignment readingOrder="1"/>
    </xf>
    <xf numFmtId="182" fontId="51" fillId="0" borderId="95" xfId="0" applyNumberFormat="1" applyFont="1" applyBorder="1"/>
    <xf numFmtId="0" fontId="78" fillId="0" borderId="136" xfId="0" applyFont="1" applyBorder="1" applyAlignment="1">
      <alignment readingOrder="1"/>
    </xf>
    <xf numFmtId="0" fontId="78" fillId="0" borderId="157" xfId="0" applyFont="1" applyBorder="1" applyAlignment="1">
      <alignment readingOrder="1"/>
    </xf>
    <xf numFmtId="0" fontId="66" fillId="0" borderId="161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78" fillId="0" borderId="163" xfId="0" applyFont="1" applyBorder="1" applyAlignment="1">
      <alignment readingOrder="1"/>
    </xf>
    <xf numFmtId="0" fontId="74" fillId="0" borderId="90" xfId="0" applyFont="1" applyBorder="1"/>
    <xf numFmtId="0" fontId="63" fillId="0" borderId="114" xfId="0" applyFont="1" applyBorder="1" applyAlignment="1">
      <alignment wrapText="1"/>
    </xf>
    <xf numFmtId="0" fontId="63" fillId="0" borderId="92" xfId="0" applyFont="1" applyBorder="1"/>
    <xf numFmtId="0" fontId="51" fillId="0" borderId="164" xfId="0" applyFont="1" applyBorder="1"/>
    <xf numFmtId="0" fontId="63" fillId="0" borderId="164" xfId="0" applyFont="1" applyBorder="1"/>
    <xf numFmtId="0" fontId="63" fillId="0" borderId="165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2" fontId="51" fillId="0" borderId="112" xfId="0" applyNumberFormat="1" applyFont="1" applyBorder="1"/>
    <xf numFmtId="0" fontId="79" fillId="0" borderId="0" xfId="0" applyFont="1"/>
    <xf numFmtId="0" fontId="77" fillId="0" borderId="58" xfId="0" applyFont="1" applyBorder="1"/>
    <xf numFmtId="169" fontId="4" fillId="16" borderId="58" xfId="0" applyNumberFormat="1" applyFont="1" applyFill="1" applyBorder="1" applyAlignment="1">
      <alignment horizontal="center"/>
    </xf>
    <xf numFmtId="0" fontId="78" fillId="0" borderId="166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6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6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7" xfId="0" applyFont="1" applyBorder="1" applyAlignment="1">
      <alignment readingOrder="1"/>
    </xf>
    <xf numFmtId="10" fontId="66" fillId="0" borderId="151" xfId="0" applyNumberFormat="1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0" fontId="78" fillId="0" borderId="179" xfId="0" applyFont="1" applyBorder="1" applyAlignment="1">
      <alignment wrapText="1" readingOrder="1"/>
    </xf>
    <xf numFmtId="0" fontId="78" fillId="0" borderId="161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66" fillId="0" borderId="180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9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7" fillId="0" borderId="180" xfId="0" applyFont="1" applyBorder="1" applyAlignment="1">
      <alignment readingOrder="1"/>
    </xf>
    <xf numFmtId="0" fontId="66" fillId="0" borderId="179" xfId="0" applyFont="1" applyBorder="1" applyAlignment="1">
      <alignment readingOrder="1"/>
    </xf>
    <xf numFmtId="0" fontId="74" fillId="0" borderId="52" xfId="0" applyFont="1" applyBorder="1"/>
    <xf numFmtId="0" fontId="63" fillId="0" borderId="149" xfId="0" applyFont="1" applyBorder="1"/>
    <xf numFmtId="0" fontId="66" fillId="0" borderId="158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9" xfId="0" applyFont="1" applyBorder="1" applyAlignment="1">
      <alignment wrapText="1" readingOrder="1"/>
    </xf>
    <xf numFmtId="0" fontId="78" fillId="0" borderId="155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2" fontId="77" fillId="0" borderId="58" xfId="0" applyNumberFormat="1" applyFont="1" applyBorder="1"/>
    <xf numFmtId="182" fontId="77" fillId="0" borderId="95" xfId="0" applyNumberFormat="1" applyFont="1" applyBorder="1"/>
    <xf numFmtId="0" fontId="68" fillId="9" borderId="103" xfId="0" applyFont="1" applyFill="1" applyBorder="1"/>
    <xf numFmtId="0" fontId="71" fillId="0" borderId="149" xfId="0" applyFont="1" applyBorder="1"/>
    <xf numFmtId="0" fontId="77" fillId="0" borderId="79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2" fontId="68" fillId="0" borderId="58" xfId="0" applyNumberFormat="1" applyFont="1" applyBorder="1"/>
    <xf numFmtId="186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2" fontId="77" fillId="0" borderId="74" xfId="0" applyNumberFormat="1" applyFont="1" applyBorder="1"/>
    <xf numFmtId="182" fontId="71" fillId="0" borderId="112" xfId="0" applyNumberFormat="1" applyFont="1" applyBorder="1"/>
    <xf numFmtId="0" fontId="71" fillId="0" borderId="58" xfId="0" applyFont="1" applyBorder="1"/>
    <xf numFmtId="0" fontId="71" fillId="0" borderId="150" xfId="0" applyFont="1" applyBorder="1"/>
    <xf numFmtId="0" fontId="76" fillId="0" borderId="9" xfId="0" applyFont="1" applyBorder="1"/>
    <xf numFmtId="182" fontId="71" fillId="0" borderId="9" xfId="0" applyNumberFormat="1" applyFont="1" applyBorder="1"/>
    <xf numFmtId="182" fontId="71" fillId="0" borderId="93" xfId="0" applyNumberFormat="1" applyFont="1" applyBorder="1"/>
    <xf numFmtId="182" fontId="71" fillId="0" borderId="79" xfId="0" applyNumberFormat="1" applyFont="1" applyBorder="1"/>
    <xf numFmtId="182" fontId="71" fillId="0" borderId="114" xfId="0" applyNumberFormat="1" applyFont="1" applyBorder="1"/>
    <xf numFmtId="182" fontId="71" fillId="0" borderId="74" xfId="0" applyNumberFormat="1" applyFont="1" applyBorder="1"/>
    <xf numFmtId="182" fontId="51" fillId="0" borderId="187" xfId="0" applyNumberFormat="1" applyFont="1" applyBorder="1"/>
    <xf numFmtId="0" fontId="51" fillId="0" borderId="188" xfId="0" applyFont="1" applyBorder="1"/>
    <xf numFmtId="182" fontId="51" fillId="0" borderId="189" xfId="0" applyNumberFormat="1" applyFont="1" applyBorder="1"/>
    <xf numFmtId="0" fontId="51" fillId="0" borderId="190" xfId="0" applyFont="1" applyBorder="1"/>
    <xf numFmtId="0" fontId="51" fillId="0" borderId="144" xfId="0" applyFont="1" applyBorder="1"/>
    <xf numFmtId="0" fontId="63" fillId="0" borderId="147" xfId="0" applyFont="1" applyBorder="1" applyAlignment="1">
      <alignment wrapText="1"/>
    </xf>
    <xf numFmtId="0" fontId="63" fillId="0" borderId="148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2" fontId="51" fillId="0" borderId="50" xfId="0" applyNumberFormat="1" applyFont="1" applyBorder="1"/>
    <xf numFmtId="182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7" xfId="0" applyFont="1" applyBorder="1"/>
    <xf numFmtId="0" fontId="63" fillId="0" borderId="191" xfId="0" applyFont="1" applyBorder="1"/>
    <xf numFmtId="0" fontId="74" fillId="0" borderId="192" xfId="0" applyFont="1" applyBorder="1"/>
    <xf numFmtId="0" fontId="74" fillId="0" borderId="193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5" xfId="4" applyFont="1" applyBorder="1" applyAlignment="1">
      <alignment horizontal="center" vertical="center" wrapText="1"/>
    </xf>
    <xf numFmtId="9" fontId="88" fillId="0" borderId="105" xfId="0" applyNumberFormat="1" applyFont="1" applyBorder="1" applyAlignment="1">
      <alignment horizontal="center" vertical="center" shrinkToFit="1"/>
    </xf>
    <xf numFmtId="9" fontId="0" fillId="0" borderId="105" xfId="0" applyNumberFormat="1" applyBorder="1" applyAlignment="1">
      <alignment horizontal="center" vertical="center" wrapText="1"/>
    </xf>
    <xf numFmtId="170" fontId="0" fillId="0" borderId="105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170" fontId="0" fillId="26" borderId="134" xfId="0" applyNumberFormat="1" applyFill="1" applyBorder="1" applyAlignment="1">
      <alignment vertical="top" wrapText="1"/>
    </xf>
    <xf numFmtId="170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4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5" xfId="0" applyBorder="1" applyAlignment="1">
      <alignment vertical="top"/>
    </xf>
    <xf numFmtId="0" fontId="0" fillId="0" borderId="105" xfId="0" applyBorder="1" applyAlignment="1">
      <alignment vertical="top" wrapText="1"/>
    </xf>
    <xf numFmtId="3" fontId="0" fillId="0" borderId="105" xfId="0" applyNumberFormat="1" applyBorder="1" applyAlignment="1">
      <alignment horizontal="center" vertical="top" wrapText="1"/>
    </xf>
    <xf numFmtId="1" fontId="0" fillId="0" borderId="105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5" xfId="0" applyBorder="1" applyAlignment="1">
      <alignment horizontal="center" vertical="top" wrapText="1"/>
    </xf>
    <xf numFmtId="1" fontId="0" fillId="0" borderId="105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5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182" fontId="66" fillId="0" borderId="180" xfId="0" applyNumberFormat="1" applyFont="1" applyBorder="1" applyAlignment="1">
      <alignment readingOrder="1"/>
    </xf>
    <xf numFmtId="182" fontId="66" fillId="0" borderId="102" xfId="0" applyNumberFormat="1" applyFont="1" applyBorder="1" applyAlignment="1">
      <alignment readingOrder="1"/>
    </xf>
    <xf numFmtId="182" fontId="67" fillId="0" borderId="159" xfId="0" applyNumberFormat="1" applyFont="1" applyBorder="1" applyAlignment="1">
      <alignment readingOrder="1"/>
    </xf>
    <xf numFmtId="182" fontId="67" fillId="0" borderId="136" xfId="0" applyNumberFormat="1" applyFont="1" applyBorder="1" applyAlignment="1">
      <alignment readingOrder="1"/>
    </xf>
    <xf numFmtId="182" fontId="67" fillId="0" borderId="157" xfId="0" applyNumberFormat="1" applyFont="1" applyBorder="1" applyAlignment="1">
      <alignment readingOrder="1"/>
    </xf>
    <xf numFmtId="182" fontId="66" fillId="0" borderId="160" xfId="0" applyNumberFormat="1" applyFont="1" applyBorder="1" applyAlignment="1">
      <alignment readingOrder="1"/>
    </xf>
    <xf numFmtId="182" fontId="66" fillId="20" borderId="161" xfId="0" applyNumberFormat="1" applyFont="1" applyFill="1" applyBorder="1" applyAlignment="1">
      <alignment readingOrder="1"/>
    </xf>
    <xf numFmtId="182" fontId="67" fillId="0" borderId="162" xfId="0" applyNumberFormat="1" applyFont="1" applyBorder="1" applyAlignment="1">
      <alignment readingOrder="1"/>
    </xf>
    <xf numFmtId="182" fontId="78" fillId="0" borderId="183" xfId="0" applyNumberFormat="1" applyFont="1" applyBorder="1" applyAlignment="1">
      <alignment readingOrder="1"/>
    </xf>
    <xf numFmtId="182" fontId="78" fillId="0" borderId="162" xfId="0" applyNumberFormat="1" applyFont="1" applyBorder="1" applyAlignment="1">
      <alignment readingOrder="1"/>
    </xf>
    <xf numFmtId="166" fontId="67" fillId="0" borderId="102" xfId="0" applyNumberFormat="1" applyFont="1" applyBorder="1" applyAlignment="1">
      <alignment readingOrder="1"/>
    </xf>
    <xf numFmtId="166" fontId="66" fillId="0" borderId="102" xfId="0" applyNumberFormat="1" applyFont="1" applyBorder="1" applyAlignment="1">
      <alignment readingOrder="1"/>
    </xf>
    <xf numFmtId="166" fontId="78" fillId="0" borderId="163" xfId="0" applyNumberFormat="1" applyFont="1" applyBorder="1" applyAlignment="1">
      <alignment readingOrder="1"/>
    </xf>
    <xf numFmtId="182" fontId="78" fillId="0" borderId="163" xfId="0" applyNumberFormat="1" applyFont="1" applyBorder="1" applyAlignment="1">
      <alignment readingOrder="1"/>
    </xf>
    <xf numFmtId="166" fontId="78" fillId="0" borderId="161" xfId="0" applyNumberFormat="1" applyFont="1" applyBorder="1" applyAlignment="1">
      <alignment readingOrder="1"/>
    </xf>
    <xf numFmtId="182" fontId="78" fillId="0" borderId="160" xfId="0" applyNumberFormat="1" applyFont="1" applyBorder="1" applyAlignment="1">
      <alignment readingOrder="1"/>
    </xf>
    <xf numFmtId="182" fontId="66" fillId="0" borderId="159" xfId="0" applyNumberFormat="1" applyFont="1" applyBorder="1" applyAlignment="1">
      <alignment readingOrder="1"/>
    </xf>
    <xf numFmtId="182" fontId="67" fillId="0" borderId="156" xfId="0" applyNumberFormat="1" applyFont="1" applyBorder="1" applyAlignment="1">
      <alignment readingOrder="1"/>
    </xf>
    <xf numFmtId="182" fontId="66" fillId="0" borderId="156" xfId="0" applyNumberFormat="1" applyFont="1" applyBorder="1" applyAlignment="1">
      <alignment readingOrder="1"/>
    </xf>
    <xf numFmtId="182" fontId="78" fillId="0" borderId="161" xfId="0" applyNumberFormat="1" applyFont="1" applyBorder="1" applyAlignment="1">
      <alignment readingOrder="1"/>
    </xf>
    <xf numFmtId="182" fontId="78" fillId="0" borderId="156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7" xfId="0" applyFont="1" applyBorder="1" applyAlignment="1">
      <alignment readingOrder="1"/>
    </xf>
    <xf numFmtId="0" fontId="0" fillId="0" borderId="1" xfId="0" applyBorder="1"/>
    <xf numFmtId="182" fontId="0" fillId="0" borderId="0" xfId="0" applyNumberFormat="1"/>
    <xf numFmtId="182" fontId="63" fillId="0" borderId="64" xfId="0" applyNumberFormat="1" applyFont="1" applyBorder="1"/>
    <xf numFmtId="182" fontId="63" fillId="0" borderId="103" xfId="0" applyNumberFormat="1" applyFont="1" applyBorder="1"/>
    <xf numFmtId="182" fontId="63" fillId="0" borderId="0" xfId="0" applyNumberFormat="1" applyFont="1"/>
    <xf numFmtId="182" fontId="63" fillId="0" borderId="26" xfId="0" applyNumberFormat="1" applyFont="1" applyBorder="1"/>
    <xf numFmtId="182" fontId="51" fillId="0" borderId="103" xfId="0" applyNumberFormat="1" applyFont="1" applyBorder="1"/>
    <xf numFmtId="182" fontId="63" fillId="0" borderId="114" xfId="0" applyNumberFormat="1" applyFont="1" applyBorder="1"/>
    <xf numFmtId="182" fontId="63" fillId="0" borderId="140" xfId="0" applyNumberFormat="1" applyFont="1" applyBorder="1"/>
    <xf numFmtId="182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1" fontId="71" fillId="0" borderId="102" xfId="0" applyNumberFormat="1" applyFont="1" applyBorder="1" applyAlignment="1">
      <alignment horizontal="center"/>
    </xf>
    <xf numFmtId="169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1" fontId="68" fillId="27" borderId="102" xfId="0" applyNumberFormat="1" applyFont="1" applyFill="1" applyBorder="1" applyAlignment="1">
      <alignment horizontal="center"/>
    </xf>
    <xf numFmtId="169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5" fontId="51" fillId="0" borderId="79" xfId="0" applyNumberFormat="1" applyFont="1" applyBorder="1"/>
    <xf numFmtId="185" fontId="51" fillId="0" borderId="149" xfId="0" applyNumberFormat="1" applyFont="1" applyBorder="1"/>
    <xf numFmtId="0" fontId="15" fillId="25" borderId="198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9" fontId="4" fillId="0" borderId="9" xfId="0" applyNumberFormat="1" applyFont="1" applyBorder="1" applyAlignment="1">
      <alignment horizontal="center"/>
    </xf>
    <xf numFmtId="182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5" fontId="71" fillId="0" borderId="112" xfId="0" applyNumberFormat="1" applyFont="1" applyBorder="1"/>
    <xf numFmtId="182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2" fillId="0" borderId="203" xfId="0" applyFont="1" applyBorder="1"/>
    <xf numFmtId="164" fontId="2" fillId="0" borderId="203" xfId="0" applyNumberFormat="1" applyFont="1" applyBorder="1"/>
    <xf numFmtId="164" fontId="2" fillId="0" borderId="204" xfId="0" applyNumberFormat="1" applyFont="1" applyBorder="1"/>
    <xf numFmtId="0" fontId="2" fillId="0" borderId="205" xfId="0" applyFont="1" applyBorder="1"/>
    <xf numFmtId="164" fontId="2" fillId="0" borderId="206" xfId="0" applyNumberFormat="1" applyFont="1" applyBorder="1"/>
    <xf numFmtId="164" fontId="65" fillId="0" borderId="103" xfId="0" applyNumberFormat="1" applyFont="1" applyBorder="1"/>
    <xf numFmtId="185" fontId="51" fillId="0" borderId="93" xfId="0" applyNumberFormat="1" applyFont="1" applyBorder="1"/>
    <xf numFmtId="185" fontId="51" fillId="0" borderId="112" xfId="0" applyNumberFormat="1" applyFont="1" applyBorder="1"/>
    <xf numFmtId="182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2" fontId="71" fillId="0" borderId="102" xfId="0" applyNumberFormat="1" applyFont="1" applyBorder="1"/>
    <xf numFmtId="182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6" xfId="0" applyNumberFormat="1" applyFont="1" applyBorder="1" applyAlignment="1">
      <alignment horizontal="left" readingOrder="1"/>
    </xf>
    <xf numFmtId="14" fontId="66" fillId="0" borderId="197" xfId="0" applyNumberFormat="1" applyFont="1" applyBorder="1" applyAlignment="1">
      <alignment horizontal="left" readingOrder="1"/>
    </xf>
    <xf numFmtId="182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2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2" fontId="66" fillId="15" borderId="180" xfId="0" applyNumberFormat="1" applyFont="1" applyFill="1" applyBorder="1" applyAlignment="1">
      <alignment readingOrder="1"/>
    </xf>
    <xf numFmtId="182" fontId="51" fillId="31" borderId="93" xfId="0" applyNumberFormat="1" applyFont="1" applyFill="1" applyBorder="1"/>
    <xf numFmtId="0" fontId="63" fillId="0" borderId="209" xfId="0" applyFont="1" applyBorder="1"/>
    <xf numFmtId="0" fontId="63" fillId="0" borderId="210" xfId="0" applyFont="1" applyBorder="1"/>
    <xf numFmtId="186" fontId="51" fillId="0" borderId="209" xfId="0" applyNumberFormat="1" applyFont="1" applyBorder="1"/>
    <xf numFmtId="10" fontId="51" fillId="0" borderId="210" xfId="0" applyNumberFormat="1" applyFont="1" applyBorder="1"/>
    <xf numFmtId="186" fontId="63" fillId="0" borderId="211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2" xfId="0" applyFont="1" applyBorder="1"/>
    <xf numFmtId="10" fontId="51" fillId="0" borderId="149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4" xfId="0" applyNumberFormat="1" applyFont="1" applyBorder="1"/>
    <xf numFmtId="0" fontId="74" fillId="0" borderId="214" xfId="0" applyFont="1" applyBorder="1"/>
    <xf numFmtId="186" fontId="64" fillId="0" borderId="209" xfId="0" applyNumberFormat="1" applyFont="1" applyBorder="1"/>
    <xf numFmtId="0" fontId="51" fillId="0" borderId="209" xfId="0" applyFont="1" applyBorder="1"/>
    <xf numFmtId="10" fontId="63" fillId="0" borderId="19" xfId="0" applyNumberFormat="1" applyFont="1" applyBorder="1"/>
    <xf numFmtId="186" fontId="63" fillId="0" borderId="215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2" fontId="51" fillId="21" borderId="93" xfId="0" applyNumberFormat="1" applyFont="1" applyFill="1" applyBorder="1"/>
    <xf numFmtId="182" fontId="51" fillId="15" borderId="93" xfId="0" applyNumberFormat="1" applyFont="1" applyFill="1" applyBorder="1"/>
    <xf numFmtId="182" fontId="51" fillId="15" borderId="112" xfId="0" applyNumberFormat="1" applyFont="1" applyFill="1" applyBorder="1"/>
    <xf numFmtId="0" fontId="68" fillId="0" borderId="69" xfId="0" applyFont="1" applyBorder="1" applyAlignment="1">
      <alignment wrapText="1"/>
    </xf>
    <xf numFmtId="164" fontId="71" fillId="0" borderId="102" xfId="0" applyNumberFormat="1" applyFont="1" applyBorder="1"/>
    <xf numFmtId="0" fontId="62" fillId="9" borderId="102" xfId="0" applyFont="1" applyFill="1" applyBorder="1"/>
    <xf numFmtId="164" fontId="68" fillId="0" borderId="102" xfId="0" applyNumberFormat="1" applyFont="1" applyBorder="1"/>
    <xf numFmtId="182" fontId="51" fillId="18" borderId="93" xfId="0" applyNumberFormat="1" applyFont="1" applyFill="1" applyBorder="1"/>
    <xf numFmtId="182" fontId="51" fillId="18" borderId="112" xfId="0" applyNumberFormat="1" applyFont="1" applyFill="1" applyBorder="1"/>
    <xf numFmtId="182" fontId="63" fillId="0" borderId="150" xfId="0" applyNumberFormat="1" applyFont="1" applyBorder="1"/>
    <xf numFmtId="182" fontId="63" fillId="0" borderId="74" xfId="0" applyNumberFormat="1" applyFont="1" applyBorder="1"/>
    <xf numFmtId="182" fontId="63" fillId="18" borderId="93" xfId="0" applyNumberFormat="1" applyFont="1" applyFill="1" applyBorder="1"/>
    <xf numFmtId="182" fontId="51" fillId="18" borderId="50" xfId="0" applyNumberFormat="1" applyFont="1" applyFill="1" applyBorder="1"/>
    <xf numFmtId="0" fontId="63" fillId="21" borderId="164" xfId="0" applyFont="1" applyFill="1" applyBorder="1"/>
    <xf numFmtId="0" fontId="0" fillId="21" borderId="0" xfId="0" applyFill="1"/>
    <xf numFmtId="185" fontId="51" fillId="18" borderId="93" xfId="0" applyNumberFormat="1" applyFont="1" applyFill="1" applyBorder="1"/>
    <xf numFmtId="182" fontId="51" fillId="18" borderId="114" xfId="0" applyNumberFormat="1" applyFont="1" applyFill="1" applyBorder="1"/>
    <xf numFmtId="169" fontId="4" fillId="31" borderId="58" xfId="0" applyNumberFormat="1" applyFont="1" applyFill="1" applyBorder="1" applyAlignment="1">
      <alignment horizontal="center"/>
    </xf>
    <xf numFmtId="169" fontId="4" fillId="31" borderId="61" xfId="0" applyNumberFormat="1" applyFont="1" applyFill="1" applyBorder="1" applyAlignment="1">
      <alignment horizontal="center"/>
    </xf>
    <xf numFmtId="0" fontId="4" fillId="20" borderId="88" xfId="0" applyFont="1" applyFill="1" applyBorder="1"/>
    <xf numFmtId="164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7" xfId="0" applyFont="1" applyBorder="1"/>
    <xf numFmtId="164" fontId="71" fillId="0" borderId="136" xfId="0" applyNumberFormat="1" applyFont="1" applyBorder="1"/>
    <xf numFmtId="169" fontId="3" fillId="0" borderId="58" xfId="0" applyNumberFormat="1" applyFont="1" applyBorder="1" applyAlignment="1">
      <alignment horizontal="right"/>
    </xf>
    <xf numFmtId="169" fontId="3" fillId="0" borderId="86" xfId="0" applyNumberFormat="1" applyFont="1" applyBorder="1" applyAlignment="1">
      <alignment horizontal="right"/>
    </xf>
    <xf numFmtId="182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2" fontId="51" fillId="20" borderId="95" xfId="0" applyNumberFormat="1" applyFont="1" applyFill="1" applyBorder="1"/>
    <xf numFmtId="0" fontId="96" fillId="0" borderId="56" xfId="0" applyFont="1" applyBorder="1"/>
    <xf numFmtId="182" fontId="64" fillId="18" borderId="93" xfId="0" applyNumberFormat="1" applyFont="1" applyFill="1" applyBorder="1"/>
    <xf numFmtId="182" fontId="64" fillId="18" borderId="112" xfId="0" applyNumberFormat="1" applyFont="1" applyFill="1" applyBorder="1"/>
    <xf numFmtId="182" fontId="71" fillId="18" borderId="58" xfId="0" applyNumberFormat="1" applyFont="1" applyFill="1" applyBorder="1"/>
    <xf numFmtId="182" fontId="71" fillId="18" borderId="74" xfId="0" applyNumberFormat="1" applyFont="1" applyFill="1" applyBorder="1"/>
    <xf numFmtId="0" fontId="96" fillId="0" borderId="113" xfId="0" applyFont="1" applyBorder="1"/>
    <xf numFmtId="182" fontId="64" fillId="31" borderId="114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5" fontId="0" fillId="0" borderId="0" xfId="0" applyNumberFormat="1"/>
    <xf numFmtId="9" fontId="51" fillId="0" borderId="103" xfId="0" applyNumberFormat="1" applyFont="1" applyBorder="1"/>
    <xf numFmtId="185" fontId="51" fillId="0" borderId="42" xfId="0" applyNumberFormat="1" applyFont="1" applyBorder="1"/>
    <xf numFmtId="0" fontId="3" fillId="20" borderId="58" xfId="0" applyFont="1" applyFill="1" applyBorder="1"/>
    <xf numFmtId="164" fontId="3" fillId="20" borderId="95" xfId="0" applyNumberFormat="1" applyFont="1" applyFill="1" applyBorder="1"/>
    <xf numFmtId="169" fontId="4" fillId="20" borderId="58" xfId="0" applyNumberFormat="1" applyFont="1" applyFill="1" applyBorder="1" applyAlignment="1">
      <alignment horizontal="center"/>
    </xf>
    <xf numFmtId="172" fontId="0" fillId="0" borderId="103" xfId="0" applyNumberFormat="1" applyBorder="1"/>
    <xf numFmtId="165" fontId="68" fillId="0" borderId="74" xfId="5" applyFont="1" applyBorder="1"/>
    <xf numFmtId="164" fontId="79" fillId="0" borderId="0" xfId="0" applyNumberFormat="1" applyFont="1"/>
    <xf numFmtId="0" fontId="3" fillId="21" borderId="22" xfId="0" applyFont="1" applyFill="1" applyBorder="1" applyAlignment="1">
      <alignment horizontal="left" vertical="top"/>
    </xf>
    <xf numFmtId="172" fontId="3" fillId="0" borderId="125" xfId="0" applyNumberFormat="1" applyFont="1" applyBorder="1"/>
    <xf numFmtId="169" fontId="98" fillId="0" borderId="74" xfId="0" applyNumberFormat="1" applyFont="1" applyBorder="1" applyAlignment="1">
      <alignment horizontal="center"/>
    </xf>
    <xf numFmtId="169" fontId="3" fillId="0" borderId="74" xfId="0" applyNumberFormat="1" applyFont="1" applyBorder="1" applyAlignment="1">
      <alignment horizontal="center"/>
    </xf>
    <xf numFmtId="169" fontId="98" fillId="0" borderId="76" xfId="0" applyNumberFormat="1" applyFont="1" applyBorder="1" applyAlignment="1">
      <alignment horizontal="center"/>
    </xf>
    <xf numFmtId="169" fontId="98" fillId="0" borderId="58" xfId="0" applyNumberFormat="1" applyFont="1" applyBorder="1" applyAlignment="1">
      <alignment horizontal="center"/>
    </xf>
    <xf numFmtId="169" fontId="98" fillId="0" borderId="59" xfId="0" applyNumberFormat="1" applyFont="1" applyBorder="1" applyAlignment="1">
      <alignment horizontal="center"/>
    </xf>
    <xf numFmtId="4" fontId="98" fillId="0" borderId="74" xfId="0" applyNumberFormat="1" applyFont="1" applyBorder="1" applyAlignment="1">
      <alignment horizontal="right"/>
    </xf>
    <xf numFmtId="169" fontId="98" fillId="0" borderId="58" xfId="0" applyNumberFormat="1" applyFont="1" applyBorder="1" applyAlignment="1">
      <alignment horizontal="right"/>
    </xf>
    <xf numFmtId="184" fontId="99" fillId="0" borderId="0" xfId="0" applyNumberFormat="1" applyFont="1"/>
    <xf numFmtId="169" fontId="4" fillId="20" borderId="79" xfId="0" applyNumberFormat="1" applyFont="1" applyFill="1" applyBorder="1" applyAlignment="1">
      <alignment horizontal="center"/>
    </xf>
    <xf numFmtId="0" fontId="100" fillId="0" borderId="0" xfId="0" applyFont="1"/>
    <xf numFmtId="182" fontId="51" fillId="32" borderId="114" xfId="0" applyNumberFormat="1" applyFont="1" applyFill="1" applyBorder="1"/>
    <xf numFmtId="182" fontId="51" fillId="32" borderId="103" xfId="0" applyNumberFormat="1" applyFont="1" applyFill="1" applyBorder="1"/>
    <xf numFmtId="182" fontId="0" fillId="33" borderId="0" xfId="0" applyNumberFormat="1" applyFill="1"/>
    <xf numFmtId="182" fontId="101" fillId="31" borderId="93" xfId="0" applyNumberFormat="1" applyFont="1" applyFill="1" applyBorder="1"/>
    <xf numFmtId="182" fontId="101" fillId="31" borderId="114" xfId="0" applyNumberFormat="1" applyFont="1" applyFill="1" applyBorder="1"/>
    <xf numFmtId="182" fontId="101" fillId="18" borderId="93" xfId="0" applyNumberFormat="1" applyFont="1" applyFill="1" applyBorder="1"/>
    <xf numFmtId="0" fontId="100" fillId="33" borderId="0" xfId="0" applyFont="1" applyFill="1"/>
    <xf numFmtId="0" fontId="30" fillId="8" borderId="64" xfId="0" applyFont="1" applyFill="1" applyBorder="1" applyAlignment="1">
      <alignment horizontal="center" vertical="center"/>
    </xf>
    <xf numFmtId="184" fontId="27" fillId="0" borderId="67" xfId="0" applyNumberFormat="1" applyFont="1" applyBorder="1" applyAlignment="1">
      <alignment horizontal="left" wrapText="1"/>
    </xf>
    <xf numFmtId="0" fontId="57" fillId="0" borderId="22" xfId="3" applyFont="1" applyFill="1" applyBorder="1" applyAlignment="1">
      <alignment horizontal="left" vertical="top" wrapText="1"/>
    </xf>
    <xf numFmtId="0" fontId="57" fillId="0" borderId="43" xfId="3" applyFont="1" applyFill="1" applyBorder="1" applyAlignment="1">
      <alignment horizontal="left" vertical="top" wrapText="1"/>
    </xf>
    <xf numFmtId="0" fontId="68" fillId="0" borderId="1" xfId="0" applyFont="1" applyBorder="1" applyAlignment="1">
      <alignment horizontal="center"/>
    </xf>
    <xf numFmtId="0" fontId="57" fillId="0" borderId="18" xfId="3" applyFont="1" applyFill="1" applyBorder="1" applyAlignment="1">
      <alignment horizontal="left" vertical="top" wrapText="1"/>
    </xf>
    <xf numFmtId="182" fontId="101" fillId="0" borderId="74" xfId="0" applyNumberFormat="1" applyFont="1" applyBorder="1"/>
    <xf numFmtId="185" fontId="71" fillId="34" borderId="112" xfId="0" applyNumberFormat="1" applyFont="1" applyFill="1" applyBorder="1"/>
    <xf numFmtId="182" fontId="51" fillId="34" borderId="79" xfId="0" applyNumberFormat="1" applyFont="1" applyFill="1" applyBorder="1"/>
    <xf numFmtId="182" fontId="68" fillId="35" borderId="58" xfId="0" applyNumberFormat="1" applyFont="1" applyFill="1" applyBorder="1"/>
    <xf numFmtId="182" fontId="71" fillId="36" borderId="148" xfId="0" applyNumberFormat="1" applyFont="1" applyFill="1" applyBorder="1"/>
    <xf numFmtId="182" fontId="71" fillId="36" borderId="93" xfId="0" applyNumberFormat="1" applyFont="1" applyFill="1" applyBorder="1"/>
    <xf numFmtId="182" fontId="0" fillId="0" borderId="103" xfId="0" applyNumberFormat="1" applyBorder="1"/>
    <xf numFmtId="0" fontId="4" fillId="22" borderId="135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2" fontId="3" fillId="0" borderId="65" xfId="0" applyNumberFormat="1" applyFont="1" applyBorder="1" applyAlignment="1">
      <alignment horizontal="center" vertical="center"/>
    </xf>
    <xf numFmtId="172" fontId="3" fillId="0" borderId="66" xfId="0" applyNumberFormat="1" applyFont="1" applyBorder="1" applyAlignment="1">
      <alignment horizontal="center" vertical="center"/>
    </xf>
    <xf numFmtId="172" fontId="3" fillId="0" borderId="67" xfId="0" applyNumberFormat="1" applyFont="1" applyBorder="1" applyAlignment="1">
      <alignment horizontal="center" vertical="center"/>
    </xf>
    <xf numFmtId="0" fontId="3" fillId="21" borderId="22" xfId="0" applyFont="1" applyFill="1" applyBorder="1" applyAlignment="1">
      <alignment horizontal="left" vertical="top"/>
    </xf>
    <xf numFmtId="0" fontId="3" fillId="21" borderId="103" xfId="0" applyFont="1" applyFill="1" applyBorder="1" applyAlignment="1">
      <alignment horizontal="left" vertical="top"/>
    </xf>
    <xf numFmtId="0" fontId="1" fillId="0" borderId="49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0" borderId="12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66" fillId="0" borderId="154" xfId="0" applyFont="1" applyBorder="1" applyAlignment="1">
      <alignment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78" xfId="0" applyFont="1" applyBorder="1" applyAlignment="1">
      <alignment wrapText="1"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8" fillId="0" borderId="186" xfId="0" applyFont="1" applyBorder="1" applyAlignment="1">
      <alignment readingOrder="1"/>
    </xf>
    <xf numFmtId="0" fontId="75" fillId="23" borderId="0" xfId="0" applyFont="1" applyFill="1" applyAlignment="1">
      <alignment readingOrder="1"/>
    </xf>
    <xf numFmtId="0" fontId="75" fillId="23" borderId="103" xfId="0" applyFont="1" applyFill="1" applyBorder="1" applyAlignment="1">
      <alignment readingOrder="1"/>
    </xf>
    <xf numFmtId="0" fontId="72" fillId="0" borderId="0" xfId="0" applyFont="1" applyAlignment="1">
      <alignment horizontal="center"/>
    </xf>
    <xf numFmtId="18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87" fillId="0" borderId="71" xfId="0" applyFont="1" applyBorder="1" applyAlignment="1">
      <alignment horizontal="left" vertical="top" wrapText="1"/>
    </xf>
    <xf numFmtId="0" fontId="0" fillId="0" borderId="136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7" xfId="0" applyFont="1" applyBorder="1" applyAlignment="1">
      <alignment horizontal="center" vertical="center"/>
    </xf>
    <xf numFmtId="0" fontId="63" fillId="0" borderId="213" xfId="0" applyFont="1" applyBorder="1" applyAlignment="1">
      <alignment horizontal="center" vertical="center"/>
    </xf>
    <xf numFmtId="0" fontId="63" fillId="0" borderId="208" xfId="0" applyFont="1" applyBorder="1" applyAlignment="1">
      <alignment horizontal="center" vertical="center"/>
    </xf>
    <xf numFmtId="0" fontId="73" fillId="0" borderId="147" xfId="0" applyFont="1" applyBorder="1" applyAlignment="1">
      <alignment horizontal="center"/>
    </xf>
    <xf numFmtId="0" fontId="73" fillId="0" borderId="114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68" fillId="27" borderId="111" xfId="0" applyFont="1" applyFill="1" applyBorder="1" applyAlignment="1">
      <alignment horizontal="center" wrapText="1"/>
    </xf>
    <xf numFmtId="0" fontId="73" fillId="0" borderId="103" xfId="0" applyFont="1" applyBorder="1" applyAlignment="1">
      <alignment horizontal="center"/>
    </xf>
    <xf numFmtId="0" fontId="73" fillId="0" borderId="145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49" fillId="12" borderId="46" xfId="0" applyFont="1" applyFill="1" applyBorder="1" applyAlignment="1">
      <alignment horizontal="center"/>
    </xf>
    <xf numFmtId="169" fontId="98" fillId="0" borderId="80" xfId="0" applyNumberFormat="1" applyFont="1" applyBorder="1" applyAlignment="1">
      <alignment horizontal="center"/>
    </xf>
    <xf numFmtId="43" fontId="5" fillId="0" borderId="0" xfId="0" applyNumberFormat="1" applyFont="1"/>
    <xf numFmtId="0" fontId="2" fillId="22" borderId="2" xfId="0" applyFont="1" applyFill="1" applyBorder="1" applyAlignment="1"/>
    <xf numFmtId="0" fontId="2" fillId="22" borderId="3" xfId="0" applyFont="1" applyFill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0" fillId="0" borderId="0" xfId="0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0" fillId="14" borderId="38" xfId="0" applyFill="1" applyBorder="1" applyAlignment="1"/>
    <xf numFmtId="0" fontId="0" fillId="14" borderId="39" xfId="0" applyFill="1" applyBorder="1" applyAlignment="1"/>
    <xf numFmtId="0" fontId="0" fillId="14" borderId="40" xfId="0" applyFill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2" fillId="22" borderId="44" xfId="0" applyFont="1" applyFill="1" applyBorder="1" applyAlignment="1"/>
    <xf numFmtId="0" fontId="2" fillId="22" borderId="45" xfId="0" applyFont="1" applyFill="1" applyBorder="1" applyAlignment="1"/>
    <xf numFmtId="0" fontId="2" fillId="22" borderId="5" xfId="0" applyFont="1" applyFill="1" applyBorder="1" applyAlignment="1"/>
    <xf numFmtId="0" fontId="2" fillId="22" borderId="6" xfId="0" applyFont="1" applyFill="1" applyBorder="1" applyAlignment="1"/>
    <xf numFmtId="0" fontId="2" fillId="0" borderId="72" xfId="0" applyFont="1" applyBorder="1" applyAlignment="1"/>
    <xf numFmtId="0" fontId="2" fillId="0" borderId="69" xfId="0" applyFont="1" applyBorder="1" applyAlignment="1"/>
    <xf numFmtId="0" fontId="2" fillId="0" borderId="50" xfId="0" applyFont="1" applyBorder="1" applyAlignment="1"/>
    <xf numFmtId="0" fontId="2" fillId="0" borderId="51" xfId="0" applyFont="1" applyBorder="1" applyAlignment="1"/>
    <xf numFmtId="0" fontId="2" fillId="0" borderId="60" xfId="0" applyFont="1" applyBorder="1" applyAlignment="1"/>
    <xf numFmtId="0" fontId="44" fillId="0" borderId="46" xfId="0" applyFont="1" applyBorder="1" applyAlignment="1"/>
    <xf numFmtId="0" fontId="77" fillId="0" borderId="15" xfId="0" applyFont="1" applyBorder="1" applyAlignment="1"/>
    <xf numFmtId="0" fontId="77" fillId="0" borderId="102" xfId="0" applyFont="1" applyBorder="1" applyAlignment="1"/>
    <xf numFmtId="0" fontId="84" fillId="25" borderId="27" xfId="0" applyFont="1" applyFill="1" applyBorder="1" applyAlignment="1"/>
    <xf numFmtId="0" fontId="84" fillId="25" borderId="29" xfId="0" applyFont="1" applyFill="1" applyBorder="1" applyAlignment="1"/>
  </cellXfs>
  <cellStyles count="6">
    <cellStyle name="Hipervínculo 2" xfId="2" xr:uid="{93B67021-40E7-46F5-8D15-C0DB2F4C265F}"/>
    <cellStyle name="Hyperlink" xfId="3" xr:uid="{00000000-000B-0000-0000-000008000000}"/>
    <cellStyle name="Moneda" xfId="5" builtinId="4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'E-Costos'!$D$166:$D$186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'E-Costos'!$E$165:$E$186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126343830.98652369</c:v>
                </c:pt>
                <c:pt idx="2">
                  <c:v>126343830.98652369</c:v>
                </c:pt>
                <c:pt idx="3">
                  <c:v>126343830.98652369</c:v>
                </c:pt>
                <c:pt idx="4">
                  <c:v>126343830.98652369</c:v>
                </c:pt>
                <c:pt idx="5">
                  <c:v>126343830.98652369</c:v>
                </c:pt>
                <c:pt idx="6">
                  <c:v>126343830.98652369</c:v>
                </c:pt>
                <c:pt idx="7">
                  <c:v>126343830.98652369</c:v>
                </c:pt>
                <c:pt idx="8">
                  <c:v>126343830.98652369</c:v>
                </c:pt>
                <c:pt idx="9">
                  <c:v>126343830.98652369</c:v>
                </c:pt>
                <c:pt idx="10">
                  <c:v>126343830.98652369</c:v>
                </c:pt>
                <c:pt idx="11">
                  <c:v>126343830.98652369</c:v>
                </c:pt>
                <c:pt idx="12">
                  <c:v>126343830.98652369</c:v>
                </c:pt>
                <c:pt idx="13">
                  <c:v>126343830.98652369</c:v>
                </c:pt>
                <c:pt idx="14">
                  <c:v>126343830.98652369</c:v>
                </c:pt>
                <c:pt idx="15">
                  <c:v>126343830.98652369</c:v>
                </c:pt>
                <c:pt idx="16">
                  <c:v>126343830.98652369</c:v>
                </c:pt>
                <c:pt idx="17">
                  <c:v>126343830.98652369</c:v>
                </c:pt>
                <c:pt idx="18">
                  <c:v>126343830.98652369</c:v>
                </c:pt>
                <c:pt idx="19">
                  <c:v>126343830.98652369</c:v>
                </c:pt>
                <c:pt idx="20">
                  <c:v>126343830.98652369</c:v>
                </c:pt>
                <c:pt idx="21">
                  <c:v>126343830.98652369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'E-Costos'!$F$165:$F$186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65393254.222146027</c:v>
                </c:pt>
                <c:pt idx="3">
                  <c:v>130786508.44429205</c:v>
                </c:pt>
                <c:pt idx="4">
                  <c:v>196179762.66643807</c:v>
                </c:pt>
                <c:pt idx="5">
                  <c:v>261573016.88858411</c:v>
                </c:pt>
                <c:pt idx="6">
                  <c:v>326966271.11073011</c:v>
                </c:pt>
                <c:pt idx="7">
                  <c:v>392359525.33287615</c:v>
                </c:pt>
                <c:pt idx="8">
                  <c:v>457752779.55502212</c:v>
                </c:pt>
                <c:pt idx="9">
                  <c:v>523146033.77716821</c:v>
                </c:pt>
                <c:pt idx="10">
                  <c:v>588539287.99931419</c:v>
                </c:pt>
                <c:pt idx="11">
                  <c:v>653932542.22146022</c:v>
                </c:pt>
                <c:pt idx="12">
                  <c:v>719325796.44360626</c:v>
                </c:pt>
                <c:pt idx="13">
                  <c:v>784719050.66575229</c:v>
                </c:pt>
                <c:pt idx="14">
                  <c:v>850112304.88789833</c:v>
                </c:pt>
                <c:pt idx="15">
                  <c:v>915505559.11004424</c:v>
                </c:pt>
                <c:pt idx="16">
                  <c:v>980898813.33219028</c:v>
                </c:pt>
                <c:pt idx="17">
                  <c:v>1046292067.5543364</c:v>
                </c:pt>
                <c:pt idx="18">
                  <c:v>1111685321.7764823</c:v>
                </c:pt>
                <c:pt idx="19">
                  <c:v>1177078575.9986284</c:v>
                </c:pt>
                <c:pt idx="20">
                  <c:v>1242471830.2207744</c:v>
                </c:pt>
                <c:pt idx="21">
                  <c:v>1307865084.4429204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'E-Costos'!$G$165:$G$186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126343830.98652369</c:v>
                </c:pt>
                <c:pt idx="2">
                  <c:v>191737085.20866972</c:v>
                </c:pt>
                <c:pt idx="3">
                  <c:v>257130339.43081576</c:v>
                </c:pt>
                <c:pt idx="4">
                  <c:v>322523593.65296173</c:v>
                </c:pt>
                <c:pt idx="5">
                  <c:v>387916847.87510777</c:v>
                </c:pt>
                <c:pt idx="6">
                  <c:v>453310102.0972538</c:v>
                </c:pt>
                <c:pt idx="7">
                  <c:v>518703356.31939983</c:v>
                </c:pt>
                <c:pt idx="8">
                  <c:v>584096610.54154587</c:v>
                </c:pt>
                <c:pt idx="9">
                  <c:v>649489864.7636919</c:v>
                </c:pt>
                <c:pt idx="10">
                  <c:v>714883118.98583794</c:v>
                </c:pt>
                <c:pt idx="11">
                  <c:v>780276373.20798397</c:v>
                </c:pt>
                <c:pt idx="12">
                  <c:v>845669627.43013</c:v>
                </c:pt>
                <c:pt idx="13">
                  <c:v>911062881.65227604</c:v>
                </c:pt>
                <c:pt idx="14">
                  <c:v>976456135.87442207</c:v>
                </c:pt>
                <c:pt idx="15">
                  <c:v>1041849390.0965679</c:v>
                </c:pt>
                <c:pt idx="16">
                  <c:v>1107242644.3187139</c:v>
                </c:pt>
                <c:pt idx="17">
                  <c:v>1172635898.5408602</c:v>
                </c:pt>
                <c:pt idx="18">
                  <c:v>1238029152.763006</c:v>
                </c:pt>
                <c:pt idx="19">
                  <c:v>1303422406.985152</c:v>
                </c:pt>
                <c:pt idx="20">
                  <c:v>1368815661.207298</c:v>
                </c:pt>
                <c:pt idx="21">
                  <c:v>1434208915.4294441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'E-Costos'!$D$191:$D$211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99225000</c:v>
                </c:pt>
                <c:pt idx="2">
                  <c:v>198450000</c:v>
                </c:pt>
                <c:pt idx="3">
                  <c:v>297675000</c:v>
                </c:pt>
                <c:pt idx="4">
                  <c:v>396900000</c:v>
                </c:pt>
                <c:pt idx="5">
                  <c:v>496125000</c:v>
                </c:pt>
                <c:pt idx="6">
                  <c:v>595350000</c:v>
                </c:pt>
                <c:pt idx="7">
                  <c:v>694575000</c:v>
                </c:pt>
                <c:pt idx="8">
                  <c:v>793800000</c:v>
                </c:pt>
                <c:pt idx="9">
                  <c:v>893025000</c:v>
                </c:pt>
                <c:pt idx="10">
                  <c:v>992250000</c:v>
                </c:pt>
                <c:pt idx="11">
                  <c:v>1091475000</c:v>
                </c:pt>
                <c:pt idx="12">
                  <c:v>1190700000</c:v>
                </c:pt>
                <c:pt idx="13">
                  <c:v>1289925000</c:v>
                </c:pt>
                <c:pt idx="14">
                  <c:v>1389150000</c:v>
                </c:pt>
                <c:pt idx="15">
                  <c:v>1488375000</c:v>
                </c:pt>
                <c:pt idx="16">
                  <c:v>1587600000</c:v>
                </c:pt>
                <c:pt idx="17">
                  <c:v>1686825000</c:v>
                </c:pt>
                <c:pt idx="18">
                  <c:v>1786050000</c:v>
                </c:pt>
                <c:pt idx="19">
                  <c:v>1885275000</c:v>
                </c:pt>
                <c:pt idx="20">
                  <c:v>1984500000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'E-Costos'!$E$190:$E$211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143225121.9415237</c:v>
                </c:pt>
                <c:pt idx="2">
                  <c:v>143225121.9415237</c:v>
                </c:pt>
                <c:pt idx="3">
                  <c:v>143225121.9415237</c:v>
                </c:pt>
                <c:pt idx="4">
                  <c:v>143225121.9415237</c:v>
                </c:pt>
                <c:pt idx="5">
                  <c:v>143225121.9415237</c:v>
                </c:pt>
                <c:pt idx="6">
                  <c:v>143225121.9415237</c:v>
                </c:pt>
                <c:pt idx="7">
                  <c:v>143225121.9415237</c:v>
                </c:pt>
                <c:pt idx="8">
                  <c:v>143225121.9415237</c:v>
                </c:pt>
                <c:pt idx="9">
                  <c:v>143225121.9415237</c:v>
                </c:pt>
                <c:pt idx="10">
                  <c:v>143225121.9415237</c:v>
                </c:pt>
                <c:pt idx="11">
                  <c:v>143225121.9415237</c:v>
                </c:pt>
                <c:pt idx="12">
                  <c:v>143225121.9415237</c:v>
                </c:pt>
                <c:pt idx="13">
                  <c:v>143225121.9415237</c:v>
                </c:pt>
                <c:pt idx="14">
                  <c:v>143225121.9415237</c:v>
                </c:pt>
                <c:pt idx="15">
                  <c:v>143225121.9415237</c:v>
                </c:pt>
                <c:pt idx="16">
                  <c:v>143225121.9415237</c:v>
                </c:pt>
                <c:pt idx="17">
                  <c:v>143225121.9415237</c:v>
                </c:pt>
                <c:pt idx="18">
                  <c:v>143225121.9415237</c:v>
                </c:pt>
                <c:pt idx="19">
                  <c:v>143225121.9415237</c:v>
                </c:pt>
                <c:pt idx="20">
                  <c:v>143225121.9415237</c:v>
                </c:pt>
                <c:pt idx="21">
                  <c:v>143225121.9415237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'E-Costos'!$F$190:$F$211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175895384.78112903</c:v>
                </c:pt>
                <c:pt idx="3">
                  <c:v>351790769.56225806</c:v>
                </c:pt>
                <c:pt idx="4">
                  <c:v>527686154.34338707</c:v>
                </c:pt>
                <c:pt idx="5">
                  <c:v>703581539.12451613</c:v>
                </c:pt>
                <c:pt idx="6">
                  <c:v>879476923.90564513</c:v>
                </c:pt>
                <c:pt idx="7">
                  <c:v>1055372308.6867741</c:v>
                </c:pt>
                <c:pt idx="8">
                  <c:v>1231267693.4679031</c:v>
                </c:pt>
                <c:pt idx="9">
                  <c:v>1407163078.2490323</c:v>
                </c:pt>
                <c:pt idx="10">
                  <c:v>1583058463.0301614</c:v>
                </c:pt>
                <c:pt idx="11">
                  <c:v>1758953847.8112903</c:v>
                </c:pt>
                <c:pt idx="12">
                  <c:v>1934849232.5924194</c:v>
                </c:pt>
                <c:pt idx="13">
                  <c:v>2110744617.3735483</c:v>
                </c:pt>
                <c:pt idx="14">
                  <c:v>2286640002.1546774</c:v>
                </c:pt>
                <c:pt idx="15">
                  <c:v>2462535386.9358063</c:v>
                </c:pt>
                <c:pt idx="16">
                  <c:v>2638430771.7169352</c:v>
                </c:pt>
                <c:pt idx="17">
                  <c:v>2814326156.4980645</c:v>
                </c:pt>
                <c:pt idx="18">
                  <c:v>2990221541.2791934</c:v>
                </c:pt>
                <c:pt idx="19">
                  <c:v>3166116926.0603228</c:v>
                </c:pt>
                <c:pt idx="20">
                  <c:v>3342012310.8414512</c:v>
                </c:pt>
                <c:pt idx="21">
                  <c:v>3517907695.6225805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'E-Costos'!$G$190:$G$211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143225121.9415237</c:v>
                </c:pt>
                <c:pt idx="2">
                  <c:v>319120506.72265273</c:v>
                </c:pt>
                <c:pt idx="3">
                  <c:v>495015891.5037818</c:v>
                </c:pt>
                <c:pt idx="4">
                  <c:v>670911276.2849108</c:v>
                </c:pt>
                <c:pt idx="5">
                  <c:v>846806661.0660398</c:v>
                </c:pt>
                <c:pt idx="6">
                  <c:v>1022702045.8471688</c:v>
                </c:pt>
                <c:pt idx="7">
                  <c:v>1198597430.6282978</c:v>
                </c:pt>
                <c:pt idx="8">
                  <c:v>1374492815.4094269</c:v>
                </c:pt>
                <c:pt idx="9">
                  <c:v>1550388200.190556</c:v>
                </c:pt>
                <c:pt idx="10">
                  <c:v>1726283584.9716852</c:v>
                </c:pt>
                <c:pt idx="11">
                  <c:v>1902178969.7528141</c:v>
                </c:pt>
                <c:pt idx="12">
                  <c:v>2078074354.5339432</c:v>
                </c:pt>
                <c:pt idx="13">
                  <c:v>2253969739.3150721</c:v>
                </c:pt>
                <c:pt idx="14">
                  <c:v>2429865124.0962009</c:v>
                </c:pt>
                <c:pt idx="15">
                  <c:v>2605760508.8773298</c:v>
                </c:pt>
                <c:pt idx="16">
                  <c:v>2781655893.6584587</c:v>
                </c:pt>
                <c:pt idx="17">
                  <c:v>2957551278.4395881</c:v>
                </c:pt>
                <c:pt idx="18">
                  <c:v>3133446663.220717</c:v>
                </c:pt>
                <c:pt idx="19">
                  <c:v>3309342048.0018463</c:v>
                </c:pt>
                <c:pt idx="20">
                  <c:v>3485237432.7829747</c:v>
                </c:pt>
                <c:pt idx="21">
                  <c:v>3661132817.5641041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160743884.06212837</c:v>
                </c:pt>
                <c:pt idx="1">
                  <c:v>160743884.06212837</c:v>
                </c:pt>
                <c:pt idx="2">
                  <c:v>160743884.06212837</c:v>
                </c:pt>
                <c:pt idx="3">
                  <c:v>160743884.06212837</c:v>
                </c:pt>
                <c:pt idx="4">
                  <c:v>160743884.06212837</c:v>
                </c:pt>
                <c:pt idx="5">
                  <c:v>160743884.06212837</c:v>
                </c:pt>
                <c:pt idx="6">
                  <c:v>160743884.06212837</c:v>
                </c:pt>
                <c:pt idx="7">
                  <c:v>160743884.06212837</c:v>
                </c:pt>
                <c:pt idx="8">
                  <c:v>160743884.06212837</c:v>
                </c:pt>
                <c:pt idx="9">
                  <c:v>160743884.06212837</c:v>
                </c:pt>
                <c:pt idx="10">
                  <c:v>160743884.06212837</c:v>
                </c:pt>
                <c:pt idx="11">
                  <c:v>160743884.06212837</c:v>
                </c:pt>
                <c:pt idx="12">
                  <c:v>160743884.06212837</c:v>
                </c:pt>
                <c:pt idx="13">
                  <c:v>160743884.06212837</c:v>
                </c:pt>
                <c:pt idx="14">
                  <c:v>160743884.06212837</c:v>
                </c:pt>
                <c:pt idx="15">
                  <c:v>160743884.06212837</c:v>
                </c:pt>
                <c:pt idx="16">
                  <c:v>160743884.06212837</c:v>
                </c:pt>
                <c:pt idx="17">
                  <c:v>160743884.06212837</c:v>
                </c:pt>
                <c:pt idx="18">
                  <c:v>160743884.06212837</c:v>
                </c:pt>
                <c:pt idx="19">
                  <c:v>160743884.06212837</c:v>
                </c:pt>
                <c:pt idx="20">
                  <c:v>160743884.06212837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65393254.222146027</c:v>
                </c:pt>
                <c:pt idx="2">
                  <c:v>130786508.44429205</c:v>
                </c:pt>
                <c:pt idx="3">
                  <c:v>196179762.66643807</c:v>
                </c:pt>
                <c:pt idx="4">
                  <c:v>261573016.88858411</c:v>
                </c:pt>
                <c:pt idx="5">
                  <c:v>326966271.11073011</c:v>
                </c:pt>
                <c:pt idx="6">
                  <c:v>392359525.33287615</c:v>
                </c:pt>
                <c:pt idx="7">
                  <c:v>457752779.55502212</c:v>
                </c:pt>
                <c:pt idx="8">
                  <c:v>523146033.77716821</c:v>
                </c:pt>
                <c:pt idx="9">
                  <c:v>588539287.99931419</c:v>
                </c:pt>
                <c:pt idx="10">
                  <c:v>653932542.22146022</c:v>
                </c:pt>
                <c:pt idx="11">
                  <c:v>719325796.44360626</c:v>
                </c:pt>
                <c:pt idx="12">
                  <c:v>784719050.66575229</c:v>
                </c:pt>
                <c:pt idx="13">
                  <c:v>850112304.88789833</c:v>
                </c:pt>
                <c:pt idx="14">
                  <c:v>915505559.11004424</c:v>
                </c:pt>
                <c:pt idx="15">
                  <c:v>980898813.33219028</c:v>
                </c:pt>
                <c:pt idx="16">
                  <c:v>1046292067.5543364</c:v>
                </c:pt>
                <c:pt idx="17">
                  <c:v>1111685321.7764823</c:v>
                </c:pt>
                <c:pt idx="18">
                  <c:v>1177078575.9986284</c:v>
                </c:pt>
                <c:pt idx="19">
                  <c:v>1242471830.2207744</c:v>
                </c:pt>
                <c:pt idx="20">
                  <c:v>1307865084.4429204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160743884.06212837</c:v>
                </c:pt>
                <c:pt idx="1">
                  <c:v>226137138.2842744</c:v>
                </c:pt>
                <c:pt idx="2">
                  <c:v>291530392.50642043</c:v>
                </c:pt>
                <c:pt idx="3">
                  <c:v>356923646.72856641</c:v>
                </c:pt>
                <c:pt idx="4">
                  <c:v>422316900.95071244</c:v>
                </c:pt>
                <c:pt idx="5">
                  <c:v>487710155.17285848</c:v>
                </c:pt>
                <c:pt idx="6">
                  <c:v>553103409.39500451</c:v>
                </c:pt>
                <c:pt idx="7">
                  <c:v>618496663.61715055</c:v>
                </c:pt>
                <c:pt idx="8">
                  <c:v>683889917.83929658</c:v>
                </c:pt>
                <c:pt idx="9">
                  <c:v>749283172.06144261</c:v>
                </c:pt>
                <c:pt idx="10">
                  <c:v>814676426.28358865</c:v>
                </c:pt>
                <c:pt idx="11">
                  <c:v>880069680.50573468</c:v>
                </c:pt>
                <c:pt idx="12">
                  <c:v>945462934.72788072</c:v>
                </c:pt>
                <c:pt idx="13">
                  <c:v>1010856188.9500268</c:v>
                </c:pt>
                <c:pt idx="14">
                  <c:v>1076249443.1721725</c:v>
                </c:pt>
                <c:pt idx="15">
                  <c:v>1141642697.3943186</c:v>
                </c:pt>
                <c:pt idx="16">
                  <c:v>1207035951.6164649</c:v>
                </c:pt>
                <c:pt idx="17">
                  <c:v>1272429205.8386106</c:v>
                </c:pt>
                <c:pt idx="18">
                  <c:v>1337822460.0607567</c:v>
                </c:pt>
                <c:pt idx="19">
                  <c:v>1403215714.2829027</c:v>
                </c:pt>
                <c:pt idx="20">
                  <c:v>1468608968.5050488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254074400.02152371</c:v>
                </c:pt>
                <c:pt idx="1">
                  <c:v>254074400.02152371</c:v>
                </c:pt>
                <c:pt idx="2">
                  <c:v>254074400.02152371</c:v>
                </c:pt>
                <c:pt idx="3">
                  <c:v>254074400.02152371</c:v>
                </c:pt>
                <c:pt idx="4">
                  <c:v>254074400.02152371</c:v>
                </c:pt>
                <c:pt idx="5">
                  <c:v>254074400.02152371</c:v>
                </c:pt>
                <c:pt idx="6">
                  <c:v>254074400.02152371</c:v>
                </c:pt>
                <c:pt idx="7">
                  <c:v>254074400.02152371</c:v>
                </c:pt>
                <c:pt idx="8">
                  <c:v>254074400.02152371</c:v>
                </c:pt>
                <c:pt idx="9">
                  <c:v>254074400.02152371</c:v>
                </c:pt>
                <c:pt idx="10">
                  <c:v>254074400.02152371</c:v>
                </c:pt>
                <c:pt idx="11">
                  <c:v>254074400.02152371</c:v>
                </c:pt>
                <c:pt idx="12">
                  <c:v>254074400.02152371</c:v>
                </c:pt>
                <c:pt idx="13">
                  <c:v>254074400.02152371</c:v>
                </c:pt>
                <c:pt idx="14">
                  <c:v>254074400.02152371</c:v>
                </c:pt>
                <c:pt idx="15">
                  <c:v>254074400.02152371</c:v>
                </c:pt>
                <c:pt idx="16">
                  <c:v>254074400.02152371</c:v>
                </c:pt>
                <c:pt idx="17">
                  <c:v>254074400.02152371</c:v>
                </c:pt>
                <c:pt idx="18">
                  <c:v>254074400.02152371</c:v>
                </c:pt>
                <c:pt idx="19">
                  <c:v>254074400.02152371</c:v>
                </c:pt>
                <c:pt idx="20">
                  <c:v>254074400.02152371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60981347.529396027</c:v>
                </c:pt>
                <c:pt idx="2">
                  <c:v>121962695.05879205</c:v>
                </c:pt>
                <c:pt idx="3">
                  <c:v>182944042.58818805</c:v>
                </c:pt>
                <c:pt idx="4">
                  <c:v>243925390.11758411</c:v>
                </c:pt>
                <c:pt idx="5">
                  <c:v>304906737.64698011</c:v>
                </c:pt>
                <c:pt idx="6">
                  <c:v>365888085.1763761</c:v>
                </c:pt>
                <c:pt idx="7">
                  <c:v>426869432.7057721</c:v>
                </c:pt>
                <c:pt idx="8">
                  <c:v>487850780.23516822</c:v>
                </c:pt>
                <c:pt idx="9">
                  <c:v>548832127.76456416</c:v>
                </c:pt>
                <c:pt idx="10">
                  <c:v>609813475.29396021</c:v>
                </c:pt>
                <c:pt idx="11">
                  <c:v>670794822.82335627</c:v>
                </c:pt>
                <c:pt idx="12">
                  <c:v>731776170.35275221</c:v>
                </c:pt>
                <c:pt idx="13">
                  <c:v>792757517.88214827</c:v>
                </c:pt>
                <c:pt idx="14">
                  <c:v>853738865.4115442</c:v>
                </c:pt>
                <c:pt idx="15">
                  <c:v>914720212.94094038</c:v>
                </c:pt>
                <c:pt idx="16">
                  <c:v>975701560.47033644</c:v>
                </c:pt>
                <c:pt idx="17">
                  <c:v>1036682907.9997324</c:v>
                </c:pt>
                <c:pt idx="18">
                  <c:v>1097664255.5291283</c:v>
                </c:pt>
                <c:pt idx="19">
                  <c:v>1158645603.0585244</c:v>
                </c:pt>
                <c:pt idx="20">
                  <c:v>1219626950.5879204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254074400.02152371</c:v>
                </c:pt>
                <c:pt idx="1">
                  <c:v>315055747.55091977</c:v>
                </c:pt>
                <c:pt idx="2">
                  <c:v>376037095.08031577</c:v>
                </c:pt>
                <c:pt idx="3">
                  <c:v>437018442.60971177</c:v>
                </c:pt>
                <c:pt idx="4">
                  <c:v>497999790.13910782</c:v>
                </c:pt>
                <c:pt idx="5">
                  <c:v>558981137.66850376</c:v>
                </c:pt>
                <c:pt idx="6">
                  <c:v>619962485.19789982</c:v>
                </c:pt>
                <c:pt idx="7">
                  <c:v>680943832.72729588</c:v>
                </c:pt>
                <c:pt idx="8">
                  <c:v>741925180.25669193</c:v>
                </c:pt>
                <c:pt idx="9">
                  <c:v>802906527.78608787</c:v>
                </c:pt>
                <c:pt idx="10">
                  <c:v>863887875.31548393</c:v>
                </c:pt>
                <c:pt idx="11">
                  <c:v>924869222.84487998</c:v>
                </c:pt>
                <c:pt idx="12">
                  <c:v>985850570.37427592</c:v>
                </c:pt>
                <c:pt idx="13">
                  <c:v>1046831917.903672</c:v>
                </c:pt>
                <c:pt idx="14">
                  <c:v>1107813265.4330678</c:v>
                </c:pt>
                <c:pt idx="15">
                  <c:v>1168794612.9624641</c:v>
                </c:pt>
                <c:pt idx="16">
                  <c:v>1229775960.4918602</c:v>
                </c:pt>
                <c:pt idx="17">
                  <c:v>1290757308.021256</c:v>
                </c:pt>
                <c:pt idx="18">
                  <c:v>1351738655.550652</c:v>
                </c:pt>
                <c:pt idx="19">
                  <c:v>1412720003.0800481</c:v>
                </c:pt>
                <c:pt idx="20">
                  <c:v>1473701350.6094441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28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498021</xdr:colOff>
      <xdr:row>51</xdr:row>
      <xdr:rowOff>66676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164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189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26" Type="http://schemas.openxmlformats.org/officeDocument/2006/relationships/hyperlink" Target="https://www.argentina.gob.ar/transporte/cnrt/transparencia/escalas-salariales" TargetMode="External"/><Relationship Id="rId21" Type="http://schemas.openxmlformats.org/officeDocument/2006/relationships/hyperlink" Target="https://www.uci.org.ar/index.php?seccion=Escala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5" Type="http://schemas.openxmlformats.org/officeDocument/2006/relationships/hyperlink" Target="https://www.argentina.gob.ar/transporte/cnrt/transparencia/escalas-salariales" TargetMode="External"/><Relationship Id="rId33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29" Type="http://schemas.openxmlformats.org/officeDocument/2006/relationships/hyperlink" Target="https://www.iprofesional.com/management/354392-sueldo-empleado-de-comercio-argentina-2022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openxmlformats.org/officeDocument/2006/relationships/hyperlink" Target="http://setia.org.ar/pdf-setia/gremiales/convenio123-90/Escala%20salarial%20junio22-Mayo%202023%20FE%20DE%20ERRATAS.pdf" TargetMode="External"/><Relationship Id="rId32" Type="http://schemas.openxmlformats.org/officeDocument/2006/relationships/hyperlink" Target="https://www.iprofesional.com/management/354392-sueldo-empleado-de-comercio-argentina-2022" TargetMode="External"/><Relationship Id="rId37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hyperlink" Target="https://www.uci.org.ar/calcular2.php" TargetMode="External"/><Relationship Id="rId28" Type="http://schemas.openxmlformats.org/officeDocument/2006/relationships/hyperlink" Target="https://www.argentina.gob.ar/transporte/cnrt/transparencia/escalas-salariales" TargetMode="External"/><Relationship Id="rId36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31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hyperlink" Target="https://www.fadeeac.org.ar/wp-content/uploads/2021/06/SALARIOS-MARZO-2022.pdf" TargetMode="External"/><Relationship Id="rId27" Type="http://schemas.openxmlformats.org/officeDocument/2006/relationships/hyperlink" Target="https://www.argentina.gob.ar/transporte/cnrt/transparencia/escalas-salariales" TargetMode="External"/><Relationship Id="rId30" Type="http://schemas.openxmlformats.org/officeDocument/2006/relationships/hyperlink" Target="https://www.iprofesional.com/management/354392-sueldo-empleado-de-comercio-argentina-2022" TargetMode="External"/><Relationship Id="rId35" Type="http://schemas.openxmlformats.org/officeDocument/2006/relationships/vmlDrawing" Target="../drawings/vmlDrawing2.vml"/><Relationship Id="rId8" Type="http://schemas.openxmlformats.org/officeDocument/2006/relationships/hyperlink" Target="https://www.fadeeac.org.ar/wp-content/uploads/2021/06/SALARIOS-MARZO-2022.pdf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topLeftCell="E1" workbookViewId="0">
      <selection activeCell="O12" sqref="O12"/>
    </sheetView>
  </sheetViews>
  <sheetFormatPr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73" t="s">
        <v>0</v>
      </c>
      <c r="C2" s="1071"/>
      <c r="D2" s="1071"/>
      <c r="E2" s="1071"/>
      <c r="F2" s="1071"/>
      <c r="G2" s="1072"/>
      <c r="J2" s="253" t="s">
        <v>1</v>
      </c>
      <c r="K2" s="254" t="s">
        <v>2</v>
      </c>
      <c r="L2" s="254" t="s">
        <v>3</v>
      </c>
      <c r="M2" s="254" t="s">
        <v>4</v>
      </c>
      <c r="N2" s="254" t="s">
        <v>5</v>
      </c>
      <c r="O2" s="255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6" t="s">
        <v>7</v>
      </c>
      <c r="K3" s="270">
        <f>1350</f>
        <v>1350</v>
      </c>
      <c r="L3" s="270">
        <f>D5</f>
        <v>1890</v>
      </c>
      <c r="M3" s="270">
        <f>E5</f>
        <v>1323</v>
      </c>
      <c r="N3" s="270">
        <f>F5</f>
        <v>1890</v>
      </c>
      <c r="O3" s="270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3" t="s">
        <v>1</v>
      </c>
      <c r="C4" s="254" t="s">
        <v>2</v>
      </c>
      <c r="D4" s="254" t="s">
        <v>3</v>
      </c>
      <c r="E4" s="254" t="s">
        <v>4</v>
      </c>
      <c r="F4" s="254" t="s">
        <v>5</v>
      </c>
      <c r="G4" s="255" t="s">
        <v>6</v>
      </c>
      <c r="J4" s="256" t="s">
        <v>8</v>
      </c>
      <c r="K4" s="272">
        <f>2.5</f>
        <v>2.5</v>
      </c>
      <c r="L4" s="272">
        <f>2.5</f>
        <v>2.5</v>
      </c>
      <c r="M4" s="272">
        <f>2.5</f>
        <v>2.5</v>
      </c>
      <c r="N4" s="272">
        <f>2.5</f>
        <v>2.5</v>
      </c>
      <c r="O4" s="272">
        <f>2.5</f>
        <v>2.5</v>
      </c>
    </row>
    <row r="5" spans="2:27" ht="12.75" customHeight="1">
      <c r="B5" s="256" t="s">
        <v>7</v>
      </c>
      <c r="C5" s="270">
        <v>1350</v>
      </c>
      <c r="D5" s="270">
        <f>1890</f>
        <v>1890</v>
      </c>
      <c r="E5" s="270">
        <f>1890*0.7</f>
        <v>1323</v>
      </c>
      <c r="F5" s="270">
        <f>1890</f>
        <v>1890</v>
      </c>
      <c r="G5" s="270">
        <f>1890</f>
        <v>1890</v>
      </c>
      <c r="J5" s="256" t="s">
        <v>9</v>
      </c>
      <c r="K5" s="270">
        <f>(K3*1000)/K4</f>
        <v>540000</v>
      </c>
      <c r="L5" s="270">
        <f>(L3*1000)/L4</f>
        <v>756000</v>
      </c>
      <c r="M5" s="270">
        <f>(M3*1000)/M4</f>
        <v>529200</v>
      </c>
      <c r="N5" s="270">
        <f>(N3*1000)/N4</f>
        <v>756000</v>
      </c>
      <c r="O5" s="270">
        <f>(O3*1000)/O4</f>
        <v>756000</v>
      </c>
    </row>
    <row r="6" spans="2:27" ht="12.75" customHeight="1">
      <c r="B6" s="256" t="s">
        <v>10</v>
      </c>
      <c r="C6" s="272">
        <f>2.5</f>
        <v>2.5</v>
      </c>
      <c r="D6" s="272">
        <f>2.5</f>
        <v>2.5</v>
      </c>
      <c r="E6" s="272">
        <f>2.5</f>
        <v>2.5</v>
      </c>
      <c r="F6" s="272">
        <f>2.5</f>
        <v>2.5</v>
      </c>
      <c r="G6" s="272">
        <f>2.5</f>
        <v>2.5</v>
      </c>
      <c r="J6" s="257" t="s">
        <v>11</v>
      </c>
      <c r="K6" s="270">
        <v>1050</v>
      </c>
      <c r="L6" s="270">
        <v>1050</v>
      </c>
      <c r="M6" s="270">
        <v>1050</v>
      </c>
      <c r="N6" s="270">
        <v>1050</v>
      </c>
      <c r="O6" s="271">
        <v>1050</v>
      </c>
    </row>
    <row r="7" spans="2:27" ht="12.75" customHeight="1">
      <c r="B7" s="256" t="s">
        <v>9</v>
      </c>
      <c r="C7" s="270">
        <f>(C5*1000)/C6</f>
        <v>540000</v>
      </c>
      <c r="D7" s="270">
        <f>(D5*1000)/D6</f>
        <v>756000</v>
      </c>
      <c r="E7" s="270">
        <f>(E5*1000)/E6</f>
        <v>529200</v>
      </c>
      <c r="F7" s="270">
        <f>(F5*1000)/F6</f>
        <v>756000</v>
      </c>
      <c r="G7" s="270">
        <f>(G5*1000)/G6</f>
        <v>756000</v>
      </c>
      <c r="J7" s="258" t="s">
        <v>12</v>
      </c>
      <c r="K7" s="273">
        <f>K6*K3*1000</f>
        <v>1417500000</v>
      </c>
      <c r="L7" s="273">
        <f>L6*L3*1000</f>
        <v>1984500000</v>
      </c>
      <c r="M7" s="273">
        <f>M6*M3*1000</f>
        <v>1389150000</v>
      </c>
      <c r="N7" s="273">
        <f>N6*N3*1000</f>
        <v>1984500000</v>
      </c>
      <c r="O7" s="273">
        <f>O6*O3*1000</f>
        <v>1984500000</v>
      </c>
    </row>
    <row r="8" spans="2:27" ht="12.75" customHeight="1">
      <c r="B8" s="257" t="s">
        <v>11</v>
      </c>
      <c r="C8" s="270">
        <v>1050</v>
      </c>
      <c r="D8" s="270">
        <v>1050</v>
      </c>
      <c r="E8" s="270">
        <v>1050</v>
      </c>
      <c r="F8" s="270">
        <v>1050</v>
      </c>
      <c r="G8" s="271">
        <v>1050</v>
      </c>
      <c r="K8" s="231">
        <f>K7/K5</f>
        <v>2625</v>
      </c>
      <c r="L8" s="231">
        <f>L7/L5</f>
        <v>2625</v>
      </c>
      <c r="M8" s="231">
        <f>M7/M5</f>
        <v>2625</v>
      </c>
      <c r="N8" s="231">
        <f>N7/N5</f>
        <v>2625</v>
      </c>
      <c r="O8" s="231">
        <f>O7/O5</f>
        <v>2625</v>
      </c>
    </row>
    <row r="9" spans="2:27" ht="12.75" customHeight="1">
      <c r="B9" s="258" t="s">
        <v>12</v>
      </c>
      <c r="C9" s="273">
        <f>C8*2.5*C7</f>
        <v>1417500000</v>
      </c>
      <c r="D9" s="273">
        <f>D8*2.5*D7</f>
        <v>1984500000</v>
      </c>
      <c r="E9" s="273">
        <f>E8*2.5*E7</f>
        <v>1389150000</v>
      </c>
      <c r="F9" s="273">
        <f>F8*2.5*F7</f>
        <v>1984500000</v>
      </c>
      <c r="G9" s="273">
        <f>G8*2.5*G7</f>
        <v>1984500000</v>
      </c>
    </row>
    <row r="10" spans="2:27" ht="12.75" customHeight="1">
      <c r="B10" s="7"/>
      <c r="C10" s="8">
        <f>C8*2.5</f>
        <v>2625</v>
      </c>
      <c r="D10" s="8"/>
      <c r="E10" s="8"/>
      <c r="F10" s="8"/>
      <c r="G10" s="9"/>
      <c r="J10" s="974" t="s">
        <v>13</v>
      </c>
      <c r="K10" s="975"/>
      <c r="L10" s="975"/>
      <c r="M10" s="975"/>
      <c r="N10" s="976"/>
    </row>
    <row r="11" spans="2:27" ht="12.75" customHeight="1">
      <c r="J11" s="265"/>
      <c r="K11" s="266" t="s">
        <v>14</v>
      </c>
      <c r="L11" s="266" t="s">
        <v>15</v>
      </c>
      <c r="M11" s="266" t="s">
        <v>16</v>
      </c>
      <c r="N11" s="267" t="s">
        <v>17</v>
      </c>
      <c r="O11" s="3" t="s">
        <v>18</v>
      </c>
    </row>
    <row r="12" spans="2:27" ht="12.75" customHeight="1">
      <c r="B12" s="973" t="s">
        <v>19</v>
      </c>
      <c r="C12" s="1071"/>
      <c r="D12" s="1071"/>
      <c r="E12" s="1071"/>
      <c r="F12" s="1071"/>
      <c r="G12" s="1072"/>
      <c r="J12" s="277" t="s">
        <v>20</v>
      </c>
      <c r="K12" s="278">
        <v>0</v>
      </c>
      <c r="L12" s="279">
        <f>1598*1000</f>
        <v>1598000</v>
      </c>
      <c r="M12" s="280">
        <f>1000*L3</f>
        <v>1890000</v>
      </c>
      <c r="N12" s="281" t="s">
        <v>21</v>
      </c>
      <c r="O12" s="950">
        <f>1617*1000</f>
        <v>1617000</v>
      </c>
      <c r="Q12">
        <f>M12*0.7</f>
        <v>1323000</v>
      </c>
      <c r="R12" t="s">
        <v>20</v>
      </c>
    </row>
    <row r="13" spans="2:27" ht="12.75" customHeight="1">
      <c r="B13" s="147" t="s">
        <v>22</v>
      </c>
      <c r="C13" s="155" t="s">
        <v>23</v>
      </c>
      <c r="D13" s="10"/>
      <c r="E13" s="3"/>
      <c r="F13" s="3"/>
      <c r="G13" s="11"/>
      <c r="J13" s="282" t="s">
        <v>24</v>
      </c>
      <c r="K13" s="278">
        <v>0</v>
      </c>
      <c r="L13" s="279">
        <f>37.058824*1000</f>
        <v>37058.824000000001</v>
      </c>
      <c r="M13" s="283">
        <f>1000*37.0588235</f>
        <v>37058.823500000006</v>
      </c>
      <c r="N13" s="281" t="s">
        <v>21</v>
      </c>
      <c r="O13" s="283">
        <f>1000*37.0588235</f>
        <v>37058.823500000006</v>
      </c>
      <c r="Q13">
        <f>M13*0.7</f>
        <v>25941.176450000003</v>
      </c>
      <c r="R13" t="s">
        <v>24</v>
      </c>
    </row>
    <row r="14" spans="2:27" ht="12.75" customHeight="1">
      <c r="B14" s="12" t="s">
        <v>25</v>
      </c>
      <c r="C14" s="3"/>
      <c r="D14" s="3"/>
      <c r="E14" s="3"/>
      <c r="F14" s="3"/>
      <c r="G14" s="11"/>
      <c r="J14" s="282" t="s">
        <v>26</v>
      </c>
      <c r="K14" s="278">
        <v>0</v>
      </c>
      <c r="L14" s="579">
        <f>1617*1000</f>
        <v>1617000</v>
      </c>
      <c r="M14" s="284">
        <f>1000*1890</f>
        <v>1890000</v>
      </c>
      <c r="N14" s="281" t="s">
        <v>21</v>
      </c>
      <c r="O14" s="950">
        <f>M14*0.7</f>
        <v>1323000</v>
      </c>
      <c r="P14" t="s">
        <v>27</v>
      </c>
      <c r="Q14">
        <f>M14*0.7</f>
        <v>1323000</v>
      </c>
      <c r="R14" s="3" t="s">
        <v>26</v>
      </c>
      <c r="S14" s="3"/>
      <c r="T14" s="3"/>
      <c r="U14" s="3"/>
      <c r="V14" s="3"/>
    </row>
    <row r="15" spans="2:27" ht="12.75" customHeight="1">
      <c r="B15" s="259" t="s">
        <v>28</v>
      </c>
      <c r="C15" s="13">
        <v>141</v>
      </c>
      <c r="D15" s="3" t="s">
        <v>29</v>
      </c>
      <c r="E15" s="3"/>
      <c r="F15" s="3"/>
      <c r="G15" s="11"/>
      <c r="J15" s="285" t="s">
        <v>30</v>
      </c>
      <c r="K15" s="278">
        <v>0</v>
      </c>
      <c r="L15" s="279">
        <v>0</v>
      </c>
      <c r="M15" s="283">
        <v>0</v>
      </c>
      <c r="N15" s="281" t="s">
        <v>21</v>
      </c>
      <c r="O15">
        <v>0</v>
      </c>
      <c r="Q15">
        <f>M15*0.7</f>
        <v>0</v>
      </c>
      <c r="R15" s="3" t="s">
        <v>30</v>
      </c>
      <c r="S15" s="3"/>
      <c r="T15" s="3"/>
      <c r="U15" s="3"/>
      <c r="V15" s="3"/>
    </row>
    <row r="16" spans="2:27" ht="12.75" customHeight="1">
      <c r="B16" s="256" t="s">
        <v>31</v>
      </c>
      <c r="C16" s="274">
        <v>149</v>
      </c>
      <c r="D16" s="3" t="s">
        <v>29</v>
      </c>
      <c r="E16" s="3"/>
      <c r="F16" s="3"/>
      <c r="G16" s="11"/>
      <c r="J16" s="285" t="s">
        <v>32</v>
      </c>
      <c r="K16" s="278">
        <v>0</v>
      </c>
      <c r="L16" s="279">
        <f>1000*42</f>
        <v>42000</v>
      </c>
      <c r="M16" s="283">
        <f>1000*42</f>
        <v>42000</v>
      </c>
      <c r="N16" s="281" t="s">
        <v>21</v>
      </c>
      <c r="O16" s="283">
        <f>1000*42</f>
        <v>42000</v>
      </c>
      <c r="Q16">
        <f>M16*0.7</f>
        <v>29399.999999999996</v>
      </c>
      <c r="R16" s="3" t="s">
        <v>32</v>
      </c>
      <c r="S16" s="3"/>
      <c r="T16" s="3"/>
      <c r="U16" s="3"/>
      <c r="V16" s="3"/>
    </row>
    <row r="17" spans="2:27" ht="12.75" customHeight="1">
      <c r="B17" s="260" t="s">
        <v>33</v>
      </c>
      <c r="C17" s="275">
        <f>AVERAGE(C15:C16)</f>
        <v>145</v>
      </c>
      <c r="D17" s="8" t="s">
        <v>29</v>
      </c>
      <c r="E17" s="8"/>
      <c r="F17" s="8"/>
      <c r="G17" s="9"/>
      <c r="J17" s="285" t="s">
        <v>34</v>
      </c>
      <c r="K17" s="278">
        <v>0</v>
      </c>
      <c r="L17" s="278">
        <f>1000*1659</f>
        <v>1659000</v>
      </c>
      <c r="M17" s="278">
        <f>1000*1890</f>
        <v>1890000</v>
      </c>
      <c r="N17" s="281" t="s">
        <v>21</v>
      </c>
      <c r="O17">
        <f>O14*1000</f>
        <v>1323000000</v>
      </c>
      <c r="Q17">
        <f>M17*0.7</f>
        <v>1323000</v>
      </c>
      <c r="R17" s="3" t="s">
        <v>34</v>
      </c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5" t="s">
        <v>35</v>
      </c>
      <c r="K18" s="278">
        <v>0</v>
      </c>
      <c r="L18" s="278">
        <f>1000*165</f>
        <v>165000</v>
      </c>
      <c r="M18" s="278">
        <f>1000*165</f>
        <v>165000</v>
      </c>
      <c r="N18" s="281" t="s">
        <v>21</v>
      </c>
      <c r="Q18">
        <f>M18*0.7</f>
        <v>115499.99999999999</v>
      </c>
      <c r="R18" s="3" t="s">
        <v>35</v>
      </c>
      <c r="S18" s="3"/>
      <c r="T18" s="3"/>
      <c r="U18" s="3"/>
      <c r="V18" s="3"/>
    </row>
    <row r="19" spans="2:27" ht="12.75" customHeight="1">
      <c r="B19" s="261" t="s">
        <v>36</v>
      </c>
      <c r="C19" s="262"/>
      <c r="D19" s="276"/>
      <c r="E19" s="262"/>
      <c r="F19" s="262"/>
      <c r="G19" s="263"/>
      <c r="J19" s="285" t="s">
        <v>37</v>
      </c>
      <c r="K19" s="564">
        <v>1616.5531900000001</v>
      </c>
      <c r="L19" s="278">
        <f>1000*208</f>
        <v>208000</v>
      </c>
      <c r="M19" s="278">
        <f>1000*1682</f>
        <v>1682000</v>
      </c>
      <c r="N19" s="281" t="s">
        <v>21</v>
      </c>
      <c r="Q19">
        <f>M19*0.7</f>
        <v>1177400</v>
      </c>
      <c r="R19" s="3" t="s">
        <v>37</v>
      </c>
      <c r="S19" s="3"/>
      <c r="T19" s="3"/>
      <c r="U19" s="3"/>
      <c r="V19" s="3"/>
    </row>
    <row r="20" spans="2:27" ht="12.75" customHeight="1">
      <c r="B20" s="147" t="s">
        <v>22</v>
      </c>
      <c r="C20" s="148" t="s">
        <v>38</v>
      </c>
      <c r="D20" s="3"/>
      <c r="E20" s="3"/>
      <c r="F20" s="3"/>
      <c r="G20" s="3"/>
      <c r="H20" s="3"/>
      <c r="I20" s="3"/>
      <c r="J20" s="285" t="s">
        <v>39</v>
      </c>
      <c r="K20" s="278">
        <f>ROUNDUP(K19/C6,0)</f>
        <v>647</v>
      </c>
      <c r="L20" s="278"/>
      <c r="M20" s="278"/>
      <c r="N20" s="281" t="s">
        <v>40</v>
      </c>
      <c r="Q20">
        <f>M20*0.7</f>
        <v>0</v>
      </c>
      <c r="R20" s="3" t="s">
        <v>39</v>
      </c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79"/>
      <c r="J21" s="159"/>
      <c r="K21" s="977" t="s">
        <v>41</v>
      </c>
      <c r="L21" s="978"/>
      <c r="M21" s="978"/>
      <c r="N21" s="979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59" t="s">
        <v>42</v>
      </c>
      <c r="C22" s="17">
        <v>0.75</v>
      </c>
      <c r="D22" s="3" t="s">
        <v>43</v>
      </c>
      <c r="E22" s="3"/>
      <c r="F22" s="14" t="s">
        <v>44</v>
      </c>
      <c r="G22" s="15">
        <f>L16/L17</f>
        <v>2.5316455696202531E-2</v>
      </c>
      <c r="H22" s="3"/>
      <c r="I22" s="179"/>
      <c r="K22" s="268"/>
      <c r="L22" s="268" t="s">
        <v>2</v>
      </c>
      <c r="M22" s="269" t="s">
        <v>16</v>
      </c>
      <c r="N22" s="269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59" t="s">
        <v>45</v>
      </c>
      <c r="C23" s="13">
        <v>80</v>
      </c>
      <c r="D23" s="3" t="s">
        <v>43</v>
      </c>
      <c r="E23" s="3"/>
      <c r="F23" s="16" t="s">
        <v>44</v>
      </c>
      <c r="G23" s="15">
        <f>M16/M17</f>
        <v>2.2222222222222223E-2</v>
      </c>
      <c r="H23" s="3"/>
      <c r="I23" s="179"/>
      <c r="K23" s="277" t="s">
        <v>20</v>
      </c>
      <c r="L23" s="183">
        <f>L12/4</f>
        <v>399500</v>
      </c>
      <c r="M23" s="184">
        <f>M12/4</f>
        <v>472500</v>
      </c>
      <c r="N23" s="185" t="s">
        <v>46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4" t="s">
        <v>47</v>
      </c>
      <c r="C24" s="149">
        <v>0.02</v>
      </c>
      <c r="D24" s="3"/>
      <c r="E24" s="3"/>
      <c r="F24" s="3"/>
      <c r="G24" s="3"/>
      <c r="I24" s="159"/>
      <c r="K24" s="282" t="s">
        <v>24</v>
      </c>
      <c r="L24" s="183">
        <f t="shared" ref="L24:M30" si="0">L13/4</f>
        <v>9264.7060000000001</v>
      </c>
      <c r="M24" s="184">
        <f t="shared" si="0"/>
        <v>9264.7058750000015</v>
      </c>
      <c r="N24" s="185" t="s">
        <v>46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2" t="s">
        <v>26</v>
      </c>
      <c r="L25" s="183">
        <f t="shared" si="0"/>
        <v>404250</v>
      </c>
      <c r="M25" s="184">
        <f t="shared" si="0"/>
        <v>472500</v>
      </c>
      <c r="N25" s="185" t="s">
        <v>46</v>
      </c>
      <c r="O25">
        <f>O14/2.5</f>
        <v>529200</v>
      </c>
      <c r="P25" t="s">
        <v>27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79"/>
      <c r="D26" s="179"/>
      <c r="I26" s="159"/>
      <c r="K26" s="285" t="s">
        <v>30</v>
      </c>
      <c r="L26" s="183">
        <f t="shared" si="0"/>
        <v>0</v>
      </c>
      <c r="M26" s="184">
        <f t="shared" si="0"/>
        <v>0</v>
      </c>
      <c r="N26" s="185" t="s">
        <v>46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4" t="s">
        <v>48</v>
      </c>
      <c r="C27">
        <f>47.8*2+35.81*2</f>
        <v>167.22</v>
      </c>
      <c r="D27" s="159" t="s">
        <v>49</v>
      </c>
      <c r="I27" s="159"/>
      <c r="K27" s="285" t="s">
        <v>32</v>
      </c>
      <c r="L27" s="183">
        <f t="shared" si="0"/>
        <v>10500</v>
      </c>
      <c r="M27" s="184">
        <f t="shared" si="0"/>
        <v>10500</v>
      </c>
      <c r="N27" s="185" t="s">
        <v>46</v>
      </c>
      <c r="O27" s="17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50</v>
      </c>
      <c r="C28" s="159"/>
      <c r="D28" s="159"/>
      <c r="K28" s="285" t="s">
        <v>34</v>
      </c>
      <c r="L28" s="183">
        <f>L17/4</f>
        <v>414750</v>
      </c>
      <c r="M28" s="184">
        <f t="shared" si="0"/>
        <v>472500</v>
      </c>
      <c r="N28" s="185" t="s">
        <v>46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5" t="s">
        <v>35</v>
      </c>
      <c r="L29" s="183">
        <f t="shared" si="0"/>
        <v>41250</v>
      </c>
      <c r="M29" s="184">
        <f t="shared" si="0"/>
        <v>41250</v>
      </c>
      <c r="N29" s="185" t="s">
        <v>46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51</v>
      </c>
      <c r="E30" t="s">
        <v>52</v>
      </c>
      <c r="F30" t="s">
        <v>53</v>
      </c>
      <c r="G30" t="s">
        <v>54</v>
      </c>
      <c r="K30" s="285" t="s">
        <v>37</v>
      </c>
      <c r="L30" s="183">
        <f t="shared" si="0"/>
        <v>52000</v>
      </c>
      <c r="M30" s="184">
        <f t="shared" si="0"/>
        <v>420500</v>
      </c>
      <c r="N30" s="185" t="s">
        <v>46</v>
      </c>
      <c r="P30" s="179"/>
    </row>
    <row r="31" spans="2:27" ht="12.75" customHeight="1">
      <c r="B31" s="971" t="s">
        <v>55</v>
      </c>
      <c r="C31" s="972"/>
      <c r="D31">
        <v>3</v>
      </c>
      <c r="E31">
        <v>8</v>
      </c>
      <c r="F31">
        <v>20</v>
      </c>
      <c r="G31">
        <f>D31*F31*E31</f>
        <v>480</v>
      </c>
      <c r="P31" s="179"/>
    </row>
    <row r="32" spans="2:27" ht="12.75" customHeight="1">
      <c r="P32" s="179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56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topLeftCell="C1" workbookViewId="0">
      <selection activeCell="F35" sqref="F35"/>
    </sheetView>
  </sheetViews>
  <sheetFormatPr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57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633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29"/>
      <c r="B3" s="530" t="s">
        <v>634</v>
      </c>
      <c r="C3" s="530"/>
      <c r="D3" s="530"/>
      <c r="E3" s="530"/>
      <c r="F3" s="530"/>
      <c r="G3" s="53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448</v>
      </c>
      <c r="B4" s="104" t="s">
        <v>14</v>
      </c>
      <c r="C4" s="430" t="s">
        <v>2</v>
      </c>
      <c r="D4" s="430" t="s">
        <v>3</v>
      </c>
      <c r="E4" s="430" t="s">
        <v>4</v>
      </c>
      <c r="F4" s="430" t="s">
        <v>5</v>
      </c>
      <c r="G4" s="431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2" t="s">
        <v>635</v>
      </c>
      <c r="B5" s="533"/>
      <c r="C5" s="433"/>
      <c r="D5" s="433"/>
      <c r="E5" s="433"/>
      <c r="F5" s="433"/>
      <c r="G5" s="43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34" t="s">
        <v>636</v>
      </c>
      <c r="B6" s="535"/>
      <c r="C6" s="436">
        <f>'E-Costos'!C7*InfoInicial!$B$3</f>
        <v>253068480</v>
      </c>
      <c r="D6" s="436">
        <f>'E-Costos'!D7*InfoInicial!$B$3</f>
        <v>235488708</v>
      </c>
      <c r="E6" s="436">
        <f>'E-Costos'!E7*InfoInicial!$B$3</f>
        <v>164842095.59999999</v>
      </c>
      <c r="F6" s="436">
        <f>'E-Costos'!F7*InfoInicial!$B$3</f>
        <v>235488708</v>
      </c>
      <c r="G6" s="436">
        <f>'E-Costos'!G7*InfoInicial!$B$3</f>
        <v>235488708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34" t="s">
        <v>519</v>
      </c>
      <c r="B7" s="535"/>
      <c r="C7" s="436">
        <f>'E-Costos'!C12*InfoInicial!$B$3</f>
        <v>4333560.3979061628</v>
      </c>
      <c r="D7" s="436">
        <f>'E-Costos'!D12*InfoInicial!$B$3</f>
        <v>4096233.4759061625</v>
      </c>
      <c r="E7" s="436">
        <f>'E-Costos'!E12*InfoInicial!$B$3</f>
        <v>3142504.2085061623</v>
      </c>
      <c r="F7" s="436">
        <f>'E-Costos'!F12*InfoInicial!$B$3</f>
        <v>4096233.4759061625</v>
      </c>
      <c r="G7" s="436">
        <f>'E-Costos'!G12*InfoInicial!$B$3</f>
        <v>4096233.4759061625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34" t="s">
        <v>325</v>
      </c>
      <c r="B8" s="535"/>
      <c r="C8" s="436">
        <f>'E-Costos'!C13*InfoInicial!$B$3</f>
        <v>1659637.2683726104</v>
      </c>
      <c r="D8" s="436">
        <f>'E-Costos'!D13*InfoInicial!$B$3</f>
        <v>1659637.2683726104</v>
      </c>
      <c r="E8" s="436">
        <f>'E-Costos'!E13*InfoInicial!$B$3</f>
        <v>1659637.2683726104</v>
      </c>
      <c r="F8" s="436">
        <f>'E-Costos'!F13*InfoInicial!$B$3</f>
        <v>1659637.2683726104</v>
      </c>
      <c r="G8" s="436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34" t="s">
        <v>520</v>
      </c>
      <c r="B9" s="535"/>
      <c r="C9" s="436">
        <f>'E-Costos'!C14*0.21</f>
        <v>0</v>
      </c>
      <c r="D9" s="436">
        <f>'E-Costos'!D14*0.21</f>
        <v>0</v>
      </c>
      <c r="E9" s="436">
        <f>'E-Costos'!E14*0.21</f>
        <v>0</v>
      </c>
      <c r="F9" s="436">
        <f>'E-Costos'!F14*0.21</f>
        <v>0</v>
      </c>
      <c r="G9" s="436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34" t="s">
        <v>637</v>
      </c>
      <c r="B10" s="535"/>
      <c r="C10" s="436"/>
      <c r="D10" s="436"/>
      <c r="E10" s="436"/>
      <c r="F10" s="436"/>
      <c r="G10" s="43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34" t="s">
        <v>638</v>
      </c>
      <c r="B11" s="535"/>
      <c r="C11" s="436"/>
      <c r="D11" s="436"/>
      <c r="E11" s="436"/>
      <c r="F11" s="436"/>
      <c r="G11" s="43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36" t="s">
        <v>512</v>
      </c>
      <c r="B12" s="535"/>
      <c r="C12" s="436">
        <f>SUM(C6:C11)</f>
        <v>259061677.66627878</v>
      </c>
      <c r="D12" s="436">
        <f t="shared" ref="D12:G12" si="0">SUM(D6:D11)</f>
        <v>241244578.74427879</v>
      </c>
      <c r="E12" s="436">
        <f t="shared" si="0"/>
        <v>169644237.07687879</v>
      </c>
      <c r="F12" s="436">
        <f t="shared" si="0"/>
        <v>241244578.74427879</v>
      </c>
      <c r="G12" s="436">
        <f t="shared" si="0"/>
        <v>241244578.74427879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34" t="s">
        <v>639</v>
      </c>
      <c r="B13" s="535"/>
      <c r="C13" s="436">
        <f>('E-Costos'!H45-'E-Costos'!H34)*InfoInicial!B3</f>
        <v>11266787.534370404</v>
      </c>
      <c r="D13" s="436"/>
      <c r="E13" s="436"/>
      <c r="F13" s="436"/>
      <c r="G13" s="43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34" t="s">
        <v>640</v>
      </c>
      <c r="B14" s="535"/>
      <c r="C14" s="436"/>
      <c r="D14" s="436"/>
      <c r="E14" s="436"/>
      <c r="F14" s="436"/>
      <c r="G14" s="43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34" t="s">
        <v>641</v>
      </c>
      <c r="B15" s="535"/>
      <c r="C15" s="436">
        <f>'E-InvAT'!C32</f>
        <v>2234377.0113047799</v>
      </c>
      <c r="D15" s="436">
        <f>'E-InvAT'!D32</f>
        <v>-233536.2580289825</v>
      </c>
      <c r="E15" s="436">
        <f>'E-InvAT'!E32</f>
        <v>-9338.9437913917936</v>
      </c>
      <c r="F15" s="436">
        <f>'E-InvAT'!F32</f>
        <v>9338.9437913917936</v>
      </c>
      <c r="G15" s="436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34" t="s">
        <v>642</v>
      </c>
      <c r="B16" s="535"/>
      <c r="C16" s="436">
        <f>'E-InvAT'!C33</f>
        <v>5634765.2606702941</v>
      </c>
      <c r="D16" s="436">
        <f>'E-InvAT'!D33</f>
        <v>-947868.51276782807</v>
      </c>
      <c r="E16" s="436">
        <f>'E-InvAT'!E33</f>
        <v>-1385227.693018259</v>
      </c>
      <c r="F16" s="436">
        <f>'E-InvAT'!F33</f>
        <v>1385227.693018259</v>
      </c>
      <c r="G16" s="436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36" t="s">
        <v>643</v>
      </c>
      <c r="B17" s="535"/>
      <c r="C17" s="436">
        <f>C12-SUM(C13:C16)</f>
        <v>239925747.85993332</v>
      </c>
      <c r="D17" s="436">
        <f t="shared" ref="D17:G17" si="1">D12-SUM(D13:D16)</f>
        <v>242425983.51507559</v>
      </c>
      <c r="E17" s="436">
        <f t="shared" si="1"/>
        <v>171038803.71368843</v>
      </c>
      <c r="F17" s="436">
        <f t="shared" si="1"/>
        <v>239850012.10746914</v>
      </c>
      <c r="G17" s="436">
        <f t="shared" si="1"/>
        <v>241244578.74427879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36" t="s">
        <v>644</v>
      </c>
      <c r="B18" s="535"/>
      <c r="C18" s="436">
        <f>SUM('E-Costos'!C66:C69)*InfoInicial!$B$3</f>
        <v>327772.02039640525</v>
      </c>
      <c r="D18" s="436">
        <f>SUM('E-Costos'!D66:D69)*InfoInicial!$B$3</f>
        <v>314587.19139640528</v>
      </c>
      <c r="E18" s="436">
        <f>SUM('E-Costos'!E66:E69)*InfoInicial!$B$3</f>
        <v>261602.23209640523</v>
      </c>
      <c r="F18" s="436">
        <f>SUM('E-Costos'!F66:F69)*InfoInicial!$B$3</f>
        <v>314587.19139640528</v>
      </c>
      <c r="G18" s="436">
        <f>SUM('E-Costos'!G66:G69)*InfoInicial!$B$3</f>
        <v>314587.19139640528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36" t="s">
        <v>645</v>
      </c>
      <c r="B19" s="535"/>
      <c r="C19" s="436">
        <f>SUM('E-Costos'!C87:C91)*InfoInicial!$B$3</f>
        <v>1094993.4554392311</v>
      </c>
      <c r="D19" s="436">
        <f>SUM('E-Costos'!D87:D91)*InfoInicial!$B$3</f>
        <v>1081808.6264392312</v>
      </c>
      <c r="E19" s="436">
        <f>SUM('E-Costos'!E87:E91)*InfoInicial!$B$3</f>
        <v>1028823.6671392312</v>
      </c>
      <c r="F19" s="436">
        <f>SUM('E-Costos'!F87:F91)*InfoInicial!$B$3</f>
        <v>1081808.6264392312</v>
      </c>
      <c r="G19" s="436">
        <f>SUM('E-Costos'!G87:G91)*InfoInicial!$B$3</f>
        <v>1081808.6264392312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36"/>
      <c r="B20" s="535"/>
      <c r="C20" s="436"/>
      <c r="D20" s="436"/>
      <c r="E20" s="436"/>
      <c r="F20" s="436"/>
      <c r="G20" s="43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34" t="s">
        <v>646</v>
      </c>
      <c r="B21" s="535"/>
      <c r="C21" s="436">
        <f>SUM(C17:C19)</f>
        <v>241348513.33576897</v>
      </c>
      <c r="D21" s="436">
        <f t="shared" ref="D21:G21" si="2">SUM(D17:D19)</f>
        <v>243822379.33291125</v>
      </c>
      <c r="E21" s="436">
        <f t="shared" si="2"/>
        <v>172329229.61292407</v>
      </c>
      <c r="F21" s="436">
        <f t="shared" si="2"/>
        <v>241246407.9253048</v>
      </c>
      <c r="G21" s="436">
        <f t="shared" si="2"/>
        <v>242640974.56211445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34" t="s">
        <v>647</v>
      </c>
      <c r="B22" s="535"/>
      <c r="C22" s="436">
        <f>'E-Costos'!C114*InfoInicial!$B$3</f>
        <v>297675000</v>
      </c>
      <c r="D22" s="436">
        <f>'E-Costos'!D114*InfoInicial!$B$3</f>
        <v>416745000</v>
      </c>
      <c r="E22" s="436">
        <f>'E-Costos'!E114*InfoInicial!$B$3</f>
        <v>291721500</v>
      </c>
      <c r="F22" s="436">
        <f>'E-Costos'!F114*InfoInicial!$B$3</f>
        <v>416745000</v>
      </c>
      <c r="G22" s="436">
        <f>'E-Costos'!G114*InfoInicial!$B$3</f>
        <v>416745000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36" t="s">
        <v>648</v>
      </c>
      <c r="B23" s="535"/>
      <c r="C23" s="436">
        <f>IF(C21&lt;0,C22+C21,C22-C21)</f>
        <v>56326486.664231032</v>
      </c>
      <c r="D23" s="436">
        <f t="shared" ref="D23:G23" si="3">IF(D21&lt;0,D22+D21,D22-D21)</f>
        <v>172922620.66708875</v>
      </c>
      <c r="E23" s="436">
        <f t="shared" si="3"/>
        <v>119392270.38707593</v>
      </c>
      <c r="F23" s="436">
        <f t="shared" si="3"/>
        <v>175498592.0746952</v>
      </c>
      <c r="G23" s="436">
        <f t="shared" si="3"/>
        <v>174104025.43788555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34"/>
      <c r="B24" s="535"/>
      <c r="C24" s="436"/>
      <c r="D24" s="436"/>
      <c r="E24" s="436"/>
      <c r="F24" s="436"/>
      <c r="G24" s="43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37" t="s">
        <v>649</v>
      </c>
      <c r="B25" s="535"/>
      <c r="C25" s="436">
        <f t="shared" ref="C25:D25" si="4">B27</f>
        <v>62044420.268819094</v>
      </c>
      <c r="D25" s="436">
        <f t="shared" si="4"/>
        <v>83230632.811911017</v>
      </c>
      <c r="E25" s="436">
        <f>D27</f>
        <v>0</v>
      </c>
      <c r="F25" s="436">
        <f>E27</f>
        <v>0</v>
      </c>
      <c r="G25" s="436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37" t="s">
        <v>650</v>
      </c>
      <c r="B26" s="535">
        <f>'E-Cal Inv.'!B23+'E-Cal Inv.'!C23</f>
        <v>62044420.268819094</v>
      </c>
      <c r="C26" s="436">
        <f>'E-Cal Inv.'!D23</f>
        <v>77512699.207322955</v>
      </c>
      <c r="D26" s="436">
        <f>'E-Cal Inv.'!E23</f>
        <v>12128791.583038716</v>
      </c>
      <c r="E26" s="436">
        <f>'E-Cal Inv.'!F23</f>
        <v>11198155.697179005</v>
      </c>
      <c r="F26" s="436">
        <f>'E-Cal Inv.'!G23</f>
        <v>0</v>
      </c>
      <c r="G26" s="436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36" t="s">
        <v>651</v>
      </c>
      <c r="B27" s="535">
        <f>B26-B23</f>
        <v>62044420.268819094</v>
      </c>
      <c r="C27" s="436">
        <f>IF(C26+C25-C23&lt;0,0,C26+C25-C23)</f>
        <v>83230632.811911017</v>
      </c>
      <c r="D27" s="436">
        <f>IF(D26+D25-D23&lt;0,0,D26+D25-D23)</f>
        <v>0</v>
      </c>
      <c r="E27" s="436">
        <f t="shared" ref="E27" si="5">IF(E26+E25-E23&lt;0,0,E26+E25-E23)</f>
        <v>0</v>
      </c>
      <c r="F27" s="436">
        <f>IF(F26+F25-F23&lt;0,0,F26+F25-F23)</f>
        <v>0</v>
      </c>
      <c r="G27" s="436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36" t="s">
        <v>652</v>
      </c>
      <c r="B28" s="535"/>
      <c r="C28" s="436">
        <f>B27-C27+C26</f>
        <v>56326486.664231032</v>
      </c>
      <c r="D28" s="436">
        <f t="shared" ref="D28:E28" si="7">C27-D27+D26</f>
        <v>95359424.394949734</v>
      </c>
      <c r="E28" s="436">
        <f t="shared" si="7"/>
        <v>11198155.697179005</v>
      </c>
      <c r="F28" s="436">
        <f>E27-F27+F26</f>
        <v>0</v>
      </c>
      <c r="G28" s="436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34"/>
      <c r="B29" s="535"/>
      <c r="C29" s="436"/>
      <c r="D29" s="436"/>
      <c r="E29" s="436"/>
      <c r="F29" s="436"/>
      <c r="G29" s="43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57" t="s">
        <v>653</v>
      </c>
      <c r="B30" s="538"/>
      <c r="C30" s="443">
        <f>C23-C28</f>
        <v>0</v>
      </c>
      <c r="D30" s="443">
        <f t="shared" ref="D30:G30" si="9">D23-D28</f>
        <v>77563196.272139013</v>
      </c>
      <c r="E30" s="443">
        <f t="shared" si="9"/>
        <v>108194114.68989693</v>
      </c>
      <c r="F30" s="443">
        <f t="shared" si="9"/>
        <v>175498592.0746952</v>
      </c>
      <c r="G30" s="443">
        <f t="shared" si="9"/>
        <v>174104025.43788555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topLeftCell="A5" workbookViewId="0">
      <selection activeCell="G24" sqref="G24"/>
    </sheetView>
  </sheetViews>
  <sheetFormatPr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57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2" t="s">
        <v>654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448</v>
      </c>
      <c r="B4" s="104" t="s">
        <v>655</v>
      </c>
      <c r="C4" s="104" t="s">
        <v>656</v>
      </c>
      <c r="D4" s="430" t="s">
        <v>2</v>
      </c>
      <c r="E4" s="430" t="s">
        <v>3</v>
      </c>
      <c r="F4" s="430" t="s">
        <v>4</v>
      </c>
      <c r="G4" s="430" t="s">
        <v>5</v>
      </c>
      <c r="H4" s="539" t="s">
        <v>6</v>
      </c>
      <c r="I4" s="431" t="s">
        <v>599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2" t="s">
        <v>657</v>
      </c>
      <c r="B5" s="433"/>
      <c r="C5" s="433"/>
      <c r="D5" s="433"/>
      <c r="E5" s="433"/>
      <c r="F5" s="433"/>
      <c r="G5" s="433"/>
      <c r="H5" s="540"/>
      <c r="I5" s="43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35" t="s">
        <v>658</v>
      </c>
      <c r="B6" s="436">
        <f>'E-Inv AF y Am'!B21</f>
        <v>178373548.63124999</v>
      </c>
      <c r="C6" s="436">
        <v>0</v>
      </c>
      <c r="D6" s="436">
        <v>0</v>
      </c>
      <c r="E6" s="436">
        <v>0</v>
      </c>
      <c r="F6" s="436">
        <v>0</v>
      </c>
      <c r="G6" s="436">
        <v>0</v>
      </c>
      <c r="H6" s="541">
        <v>0</v>
      </c>
      <c r="I6" s="437">
        <f t="shared" ref="I6:I7" si="0">SUM(B6:H6)</f>
        <v>178373548.63124999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35" t="s">
        <v>659</v>
      </c>
      <c r="B7" s="436">
        <f>0</f>
        <v>0</v>
      </c>
      <c r="C7" s="436">
        <f>'E-Inv AF y Am'!B33</f>
        <v>113848598.15000001</v>
      </c>
      <c r="D7" s="436">
        <f>'E-Inv AF y Am'!C33</f>
        <v>169077445.80204773</v>
      </c>
      <c r="E7" s="436">
        <v>0</v>
      </c>
      <c r="F7" s="436">
        <v>0</v>
      </c>
      <c r="G7" s="436">
        <v>0</v>
      </c>
      <c r="H7" s="541">
        <v>0</v>
      </c>
      <c r="I7" s="437">
        <f t="shared" si="0"/>
        <v>282926043.95204771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2" t="s">
        <v>660</v>
      </c>
      <c r="B8" s="436">
        <f>SUM(B6:B7)</f>
        <v>178373548.63124999</v>
      </c>
      <c r="C8" s="436">
        <f>SUM(C6:C7)</f>
        <v>113848598.15000001</v>
      </c>
      <c r="D8" s="436">
        <f>SUM(D6:D7)</f>
        <v>169077445.80204773</v>
      </c>
      <c r="E8" s="436">
        <f t="shared" ref="E8:H8" si="1">SUM(E6:E7)</f>
        <v>0</v>
      </c>
      <c r="F8" s="436">
        <f t="shared" si="1"/>
        <v>0</v>
      </c>
      <c r="G8" s="436">
        <f t="shared" si="1"/>
        <v>0</v>
      </c>
      <c r="H8" s="436">
        <f t="shared" si="1"/>
        <v>0</v>
      </c>
      <c r="I8" s="437">
        <f>SUM(B8:H8)</f>
        <v>461299592.58329773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5"/>
      <c r="B9" s="436"/>
      <c r="C9" s="436"/>
      <c r="D9" s="436"/>
      <c r="E9" s="436"/>
      <c r="F9" s="436"/>
      <c r="G9" s="436"/>
      <c r="H9" s="541"/>
      <c r="I9" s="4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2" t="s">
        <v>661</v>
      </c>
      <c r="B10" s="436"/>
      <c r="C10" s="436"/>
      <c r="D10" s="436"/>
      <c r="E10" s="436"/>
      <c r="F10" s="436"/>
      <c r="G10" s="436"/>
      <c r="H10" s="541"/>
      <c r="I10" s="4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35" t="s">
        <v>662</v>
      </c>
      <c r="B11" s="436"/>
      <c r="C11" s="436">
        <f>'E-InvAT'!B6</f>
        <v>2268000</v>
      </c>
      <c r="D11" s="436">
        <f>'E-InvAT'!C6-'E-InvAT'!B6</f>
        <v>26082000</v>
      </c>
      <c r="E11" s="436">
        <f>'E-InvAT'!D6-'E-InvAT'!C6</f>
        <v>11340000</v>
      </c>
      <c r="F11" s="436">
        <f>'E-InvAT'!E6-'E-InvAT'!D6</f>
        <v>-11907000</v>
      </c>
      <c r="G11" s="436">
        <f>'E-InvAT'!F6-'E-InvAT'!E6</f>
        <v>11907000</v>
      </c>
      <c r="H11" s="541">
        <f>'E-InvAT'!G6-'E-InvAT'!F6</f>
        <v>0</v>
      </c>
      <c r="I11" s="437">
        <f>SUM(C11:H11)</f>
        <v>39690000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35" t="s">
        <v>663</v>
      </c>
      <c r="B12" s="436"/>
      <c r="C12" s="436"/>
      <c r="D12" s="908">
        <f>'E-InvAT'!C7</f>
        <v>116506849.3150685</v>
      </c>
      <c r="E12" s="908">
        <f>'E-InvAT'!D7-'E-InvAT'!C7</f>
        <v>46602739.726027384</v>
      </c>
      <c r="F12" s="908">
        <f>'E-InvAT'!E7-'E-InvAT'!D7</f>
        <v>65243835.616438359</v>
      </c>
      <c r="G12" s="908">
        <f>'E-InvAT'!F7-'E-InvAT'!E7</f>
        <v>-65243835.616438359</v>
      </c>
      <c r="H12" s="908">
        <f>'E-InvAT'!G7-'E-InvAT'!F7</f>
        <v>0</v>
      </c>
      <c r="I12" s="909">
        <f>SUM(B12:H12)</f>
        <v>163109589.04109588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35" t="s">
        <v>664</v>
      </c>
      <c r="B13" s="436"/>
      <c r="C13" s="436"/>
      <c r="D13" s="436"/>
      <c r="E13" s="436"/>
      <c r="F13" s="436"/>
      <c r="G13" s="436"/>
      <c r="H13" s="541"/>
      <c r="I13" s="43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35" t="s">
        <v>665</v>
      </c>
      <c r="B14" s="436"/>
      <c r="C14" s="436">
        <f>'E-InvAT'!B10</f>
        <v>378273.44646000001</v>
      </c>
      <c r="D14" s="436">
        <f>'E-InvAT'!C10-'E-InvAT'!B10</f>
        <v>38231726.553539999</v>
      </c>
      <c r="E14" s="436">
        <f>'E-InvAT'!D10-'E-InvAT'!C10</f>
        <v>0</v>
      </c>
      <c r="F14" s="436">
        <f>'E-InvAT'!E10-'E-InvAT'!D10</f>
        <v>0</v>
      </c>
      <c r="G14" s="436">
        <f>'E-InvAT'!F10-'E-InvAT'!E10</f>
        <v>0</v>
      </c>
      <c r="H14" s="541">
        <f>'E-InvAT'!G10-'E-InvAT'!F10</f>
        <v>0</v>
      </c>
      <c r="I14" s="437">
        <f t="shared" ref="I14:I18" si="2">SUM(C14:H14)</f>
        <v>38610000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5" t="s">
        <v>666</v>
      </c>
      <c r="B15" s="436"/>
      <c r="C15" s="436">
        <f>'E-InvAT'!B11</f>
        <v>581200.1</v>
      </c>
      <c r="D15" s="436">
        <f>'E-InvAT'!C11-'E-InvAT'!B11</f>
        <v>1224899.316184375</v>
      </c>
      <c r="E15" s="436">
        <f>'E-InvAT'!D11-'E-InvAT'!C11</f>
        <v>0</v>
      </c>
      <c r="F15" s="436">
        <f>'E-InvAT'!E11-'E-InvAT'!D11</f>
        <v>0</v>
      </c>
      <c r="G15" s="436">
        <f>'E-InvAT'!F11-'E-InvAT'!E11</f>
        <v>0</v>
      </c>
      <c r="H15" s="541">
        <f>'E-InvAT'!G11-'E-InvAT'!F11</f>
        <v>0</v>
      </c>
      <c r="I15" s="437">
        <f t="shared" si="2"/>
        <v>1806099.4161843751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10" t="s">
        <v>667</v>
      </c>
      <c r="B16" s="436"/>
      <c r="C16" s="436"/>
      <c r="D16" s="908">
        <f>'E-Costos'!C46</f>
        <v>11605952.234847084</v>
      </c>
      <c r="E16" s="908">
        <f>'E-Costos'!D46-'E-Costos'!C46</f>
        <v>-157514.38214947283</v>
      </c>
      <c r="F16" s="908">
        <f>'E-Costos'!E46-'E-Costos'!D46</f>
        <v>-44471.160911388695</v>
      </c>
      <c r="G16" s="908">
        <f>'E-Costos'!F46-'E-Costos'!E46</f>
        <v>44471.160911388695</v>
      </c>
      <c r="H16" s="908">
        <f>'E-Costos'!G46-'E-Costos'!F46</f>
        <v>0</v>
      </c>
      <c r="I16" s="909">
        <f t="shared" si="2"/>
        <v>11448437.852697611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35" t="s">
        <v>668</v>
      </c>
      <c r="B17" s="436"/>
      <c r="C17" s="436"/>
      <c r="D17" s="436">
        <f>'E-InvAT'!C13-'E-InvAT'!C18</f>
        <v>6379218.2417549873</v>
      </c>
      <c r="E17" s="436">
        <f>('E-InvAT'!D13-'E-InvAT'!D18)-('E-InvAT'!C13-'E-InvAT'!C18)</f>
        <v>-29074.948455450125</v>
      </c>
      <c r="F17" s="436">
        <f>('E-InvAT'!E13-'E-InvAT'!E18)-('E-InvAT'!D13-'E-InvAT'!D18)</f>
        <v>32186.483420672826</v>
      </c>
      <c r="G17" s="436">
        <f>('E-InvAT'!F13-'E-InvAT'!F18)-('E-InvAT'!E13-'E-InvAT'!E18)</f>
        <v>-33241.586168172769</v>
      </c>
      <c r="H17" s="436">
        <f>('E-InvAT'!G13-'E-InvAT'!G18)-('E-InvAT'!F13-'E-InvAT'!F18)</f>
        <v>0</v>
      </c>
      <c r="I17" s="437">
        <f t="shared" si="2"/>
        <v>6349088.1905520372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2" t="s">
        <v>669</v>
      </c>
      <c r="B18" s="436"/>
      <c r="C18" s="436">
        <f>SUM(C11:C17)</f>
        <v>3227473.5464600003</v>
      </c>
      <c r="D18" s="436">
        <f>SUM(D11:D17)</f>
        <v>200030645.66139492</v>
      </c>
      <c r="E18" s="436">
        <f>SUM(E11:E17)</f>
        <v>57756150.395422459</v>
      </c>
      <c r="F18" s="436">
        <f t="shared" ref="F18:H18" si="3">SUM(F11:F17)</f>
        <v>53324550.93894764</v>
      </c>
      <c r="G18" s="436">
        <f t="shared" si="3"/>
        <v>-53325606.04169514</v>
      </c>
      <c r="H18" s="436">
        <f t="shared" si="3"/>
        <v>0</v>
      </c>
      <c r="I18" s="437">
        <f t="shared" si="2"/>
        <v>261013214.50052986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35"/>
      <c r="B19" s="436"/>
      <c r="C19" s="436"/>
      <c r="D19" s="436"/>
      <c r="E19" s="436"/>
      <c r="F19" s="436"/>
      <c r="G19" s="436"/>
      <c r="H19" s="541"/>
      <c r="I19" s="43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2" t="s">
        <v>670</v>
      </c>
      <c r="B20" s="436"/>
      <c r="C20" s="436"/>
      <c r="D20" s="436"/>
      <c r="E20" s="436"/>
      <c r="F20" s="436"/>
      <c r="G20" s="436"/>
      <c r="H20" s="541"/>
      <c r="I20" s="43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35" t="s">
        <v>671</v>
      </c>
      <c r="B21" s="436">
        <f>B8*InfoInicial!B3</f>
        <v>37458445.212562494</v>
      </c>
      <c r="C21" s="436">
        <f>C8*InfoInicial!B3</f>
        <v>23908205.611499999</v>
      </c>
      <c r="D21" s="436">
        <f>D8*InfoInicial!B3</f>
        <v>35506263.618430018</v>
      </c>
      <c r="E21" s="436">
        <f>E8*InfoInicial!B3</f>
        <v>0</v>
      </c>
      <c r="F21" s="436">
        <f>F8*InfoInicial!B3</f>
        <v>0</v>
      </c>
      <c r="G21" s="436">
        <f t="shared" ref="G21:H21" si="4">0.21*G8</f>
        <v>0</v>
      </c>
      <c r="H21" s="436">
        <f t="shared" si="4"/>
        <v>0</v>
      </c>
      <c r="I21" s="437">
        <f>SUM(B21:H21)</f>
        <v>96872914.442492515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5" t="s">
        <v>672</v>
      </c>
      <c r="C22" s="436">
        <f>C18*InfoInicial!B3</f>
        <v>677769.44475660007</v>
      </c>
      <c r="D22" s="436">
        <f>D18*InfoInicial!B3</f>
        <v>42006435.588892929</v>
      </c>
      <c r="E22" s="436">
        <f>E18*InfoInicial!B3</f>
        <v>12128791.583038716</v>
      </c>
      <c r="F22" s="436">
        <f>F18*InfoInicial!B3</f>
        <v>11198155.697179005</v>
      </c>
      <c r="G22" s="436">
        <f>G18*InfoInicial!B3</f>
        <v>-11198377.26875598</v>
      </c>
      <c r="H22" s="436">
        <f>H18*InfoInicial!B3</f>
        <v>0</v>
      </c>
      <c r="I22" s="437">
        <f>SUM(C22:H22)</f>
        <v>54812775.045111269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2" t="s">
        <v>673</v>
      </c>
      <c r="B23" s="436">
        <f>SUM(B21:B22)</f>
        <v>37458445.212562494</v>
      </c>
      <c r="C23" s="436">
        <f>SUM(C21:C22)</f>
        <v>24585975.0562566</v>
      </c>
      <c r="D23" s="436">
        <f>SUM(D21:D22)</f>
        <v>77512699.207322955</v>
      </c>
      <c r="E23" s="436">
        <f t="shared" ref="E23:H23" si="5">SUM(E21:E22)</f>
        <v>12128791.583038716</v>
      </c>
      <c r="F23" s="436">
        <f t="shared" si="5"/>
        <v>11198155.697179005</v>
      </c>
      <c r="G23" s="436"/>
      <c r="H23" s="436">
        <f t="shared" si="5"/>
        <v>0</v>
      </c>
      <c r="I23" s="437">
        <f>SUM(B23:H23)</f>
        <v>162884066.75635976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2"/>
      <c r="B24" s="436"/>
      <c r="C24" s="436"/>
      <c r="D24" s="436"/>
      <c r="E24" s="436"/>
      <c r="F24" s="436"/>
      <c r="G24" s="436"/>
      <c r="H24" s="541"/>
      <c r="I24" s="43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2" t="s">
        <v>674</v>
      </c>
      <c r="B25" s="443">
        <f>B8+B18+B23</f>
        <v>215831993.8438125</v>
      </c>
      <c r="C25" s="443">
        <f>C8+C18+C23</f>
        <v>141662046.7527166</v>
      </c>
      <c r="D25" s="443">
        <f>D8+D18+D23</f>
        <v>446620790.67076564</v>
      </c>
      <c r="E25" s="443">
        <f t="shared" ref="E25:H25" si="6">E8+E18+E23</f>
        <v>69884941.978461176</v>
      </c>
      <c r="F25" s="443">
        <f t="shared" si="6"/>
        <v>64522706.636126645</v>
      </c>
      <c r="G25" s="443">
        <f t="shared" si="6"/>
        <v>-53325606.04169514</v>
      </c>
      <c r="H25" s="443">
        <f t="shared" si="6"/>
        <v>0</v>
      </c>
      <c r="I25" s="542">
        <f>SUM(B25:H25)</f>
        <v>885196873.84018743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topLeftCell="D13" workbookViewId="0">
      <selection activeCell="H11" sqref="H11"/>
    </sheetView>
  </sheetViews>
  <sheetFormatPr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57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676</v>
      </c>
      <c r="B3" s="104" t="s">
        <v>677</v>
      </c>
      <c r="C3" s="104" t="s">
        <v>678</v>
      </c>
      <c r="D3" s="104" t="s">
        <v>679</v>
      </c>
      <c r="E3" s="104" t="s">
        <v>62</v>
      </c>
      <c r="F3" s="104" t="s">
        <v>680</v>
      </c>
      <c r="G3" s="104" t="s">
        <v>681</v>
      </c>
      <c r="H3" s="104" t="s">
        <v>682</v>
      </c>
      <c r="I3" s="104" t="s">
        <v>298</v>
      </c>
      <c r="J3" s="104" t="s">
        <v>683</v>
      </c>
      <c r="K3" s="104" t="s">
        <v>684</v>
      </c>
      <c r="L3" s="105" t="s">
        <v>685</v>
      </c>
      <c r="M3" s="106" t="s">
        <v>686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3">
        <f>'E-Inv AF y Am'!B35</f>
        <v>292222146.78125</v>
      </c>
      <c r="C4" s="433">
        <f>'E-Cal Inv.'!C18</f>
        <v>3227473.5464600003</v>
      </c>
      <c r="D4" s="433">
        <f>'E-Cal Inv.'!B23+'E-Cal Inv.'!C23</f>
        <v>62044420.268819094</v>
      </c>
      <c r="E4" s="433">
        <v>0</v>
      </c>
      <c r="F4" s="433">
        <v>0</v>
      </c>
      <c r="G4" s="433">
        <f>SUM(B4:F4)</f>
        <v>357494040.59652907</v>
      </c>
      <c r="H4" s="433">
        <v>0</v>
      </c>
      <c r="I4" s="433">
        <v>0</v>
      </c>
      <c r="J4" s="433">
        <v>0</v>
      </c>
      <c r="K4" s="433">
        <f t="shared" ref="K4:K8" si="0">SUM(H4:J4)</f>
        <v>0</v>
      </c>
      <c r="L4" s="540">
        <f t="shared" ref="L4:L9" si="1">K4-G4</f>
        <v>-357494040.59652907</v>
      </c>
      <c r="M4" s="434">
        <f>L4</f>
        <v>-357494040.59652907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35">
        <f>'E-Cal Inv.'!D8</f>
        <v>169077445.80204773</v>
      </c>
      <c r="C5" s="433">
        <f>'E-Cal Inv.'!D18</f>
        <v>200030645.66139492</v>
      </c>
      <c r="D5" s="436">
        <f>'E-Cal Inv.'!D23</f>
        <v>77512699.207322955</v>
      </c>
      <c r="E5" s="436">
        <f>'E-Costos'!C143</f>
        <v>3959521.3686462813</v>
      </c>
      <c r="F5" s="436">
        <f>'E-Costos'!C144</f>
        <v>18411774.364205204</v>
      </c>
      <c r="G5" s="433">
        <f>SUM(B5:F5)</f>
        <v>468992086.40361708</v>
      </c>
      <c r="H5" s="436">
        <f>'E-Costos'!C142</f>
        <v>56564590.980661154</v>
      </c>
      <c r="I5" s="436">
        <f>'E-Inv AF y Am'!D57</f>
        <v>68495811.070826203</v>
      </c>
      <c r="J5" s="436">
        <f>'E-IVA '!C28</f>
        <v>56326486.664231032</v>
      </c>
      <c r="K5" s="433">
        <f>SUM(H5:J5)</f>
        <v>181386888.71571839</v>
      </c>
      <c r="L5" s="540">
        <f t="shared" si="1"/>
        <v>-287605197.6878987</v>
      </c>
      <c r="M5" s="437">
        <f>M4+L5</f>
        <v>-645099238.28442776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35">
        <v>0</v>
      </c>
      <c r="C6" s="433">
        <f>'E-Cal Inv.'!E18</f>
        <v>57756150.395422459</v>
      </c>
      <c r="D6" s="436">
        <f>'E-Cal Inv.'!E23</f>
        <v>12128791.583038716</v>
      </c>
      <c r="E6" s="436">
        <f>'E-Costos'!D143</f>
        <v>43422443.354910873</v>
      </c>
      <c r="F6" s="436">
        <f>'E-Costos'!D144</f>
        <v>201914361.60033554</v>
      </c>
      <c r="G6" s="433">
        <f>SUM(B6:F6)</f>
        <v>315221746.93370759</v>
      </c>
      <c r="H6" s="436">
        <f>'E-Costos'!D142</f>
        <v>620320619.35586953</v>
      </c>
      <c r="I6" s="436">
        <f>'E-Inv AF y Am'!D57</f>
        <v>68495811.070826203</v>
      </c>
      <c r="J6" s="436">
        <f>'E-IVA '!D28</f>
        <v>95359424.394949734</v>
      </c>
      <c r="K6" s="433">
        <f t="shared" si="0"/>
        <v>784175854.8216455</v>
      </c>
      <c r="L6" s="540">
        <f t="shared" si="1"/>
        <v>468954107.8879379</v>
      </c>
      <c r="M6" s="437">
        <f t="shared" ref="M6:M8" si="2">M5+L6</f>
        <v>-176145130.39648986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35">
        <v>0</v>
      </c>
      <c r="C7" s="433">
        <f>'E-Cal Inv.'!F18</f>
        <v>53324550.93894764</v>
      </c>
      <c r="D7" s="436">
        <f>'E-Cal Inv.'!F23</f>
        <v>11198155.697179005</v>
      </c>
      <c r="E7" s="436">
        <f>'E-Costos'!E143</f>
        <v>28464862.094712086</v>
      </c>
      <c r="F7" s="436">
        <f>'E-Costos'!E144</f>
        <v>132361608.74041118</v>
      </c>
      <c r="G7" s="433">
        <f>SUM(B7:F7)</f>
        <v>225349177.47124991</v>
      </c>
      <c r="H7" s="436">
        <f>'E-Costos'!E142</f>
        <v>406640887.06731546</v>
      </c>
      <c r="I7" s="436">
        <f>'E-Inv AF y Am'!D57</f>
        <v>68495811.070826203</v>
      </c>
      <c r="J7" s="436">
        <f>'E-IVA '!E28</f>
        <v>11198155.697179005</v>
      </c>
      <c r="K7" s="433">
        <f>SUM(H7:J7)</f>
        <v>486334853.83532065</v>
      </c>
      <c r="L7" s="540">
        <f t="shared" si="1"/>
        <v>260985676.36407074</v>
      </c>
      <c r="M7" s="437">
        <f t="shared" si="2"/>
        <v>84840545.967580885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35">
        <v>0</v>
      </c>
      <c r="C8" s="433">
        <f>'E-Cal Inv.'!G18</f>
        <v>-53325606.04169514</v>
      </c>
      <c r="D8" s="436">
        <f>'E-Cal Inv.'!G23</f>
        <v>0</v>
      </c>
      <c r="E8" s="436">
        <f>'E-Costos'!F143</f>
        <v>43516140.993170939</v>
      </c>
      <c r="F8" s="436">
        <f>'E-Costos'!F144</f>
        <v>202350055.61824483</v>
      </c>
      <c r="G8" s="433">
        <f t="shared" ref="G8" si="3">SUM(B8:F8)</f>
        <v>192540590.56972063</v>
      </c>
      <c r="H8" s="436">
        <f>'E-Costos'!F142</f>
        <v>621659157.04529905</v>
      </c>
      <c r="I8" s="436">
        <f>'E-Inv AF y Am'!E57</f>
        <v>68495811.070826203</v>
      </c>
      <c r="J8" s="436">
        <f>'E-IVA '!F28</f>
        <v>0</v>
      </c>
      <c r="K8" s="433">
        <f t="shared" si="0"/>
        <v>690154968.11612523</v>
      </c>
      <c r="L8" s="540">
        <f t="shared" si="1"/>
        <v>497614377.5464046</v>
      </c>
      <c r="M8" s="437">
        <f t="shared" si="2"/>
        <v>582454923.51398551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35">
        <f>-'E-Inv AF y Am'!G57</f>
        <v>-118820537.22916667</v>
      </c>
      <c r="C9" s="436">
        <f>'E-Cal Inv.'!H18-'E-Cal Inv.'!I18</f>
        <v>-261013214.50052986</v>
      </c>
      <c r="D9" s="436">
        <f>'E-Cal Inv.'!H23</f>
        <v>0</v>
      </c>
      <c r="E9" s="436">
        <f>'E-Costos'!G143</f>
        <v>43515354.922938928</v>
      </c>
      <c r="F9" s="436">
        <f>'E-Costos'!G144</f>
        <v>202346400.39166597</v>
      </c>
      <c r="G9" s="433">
        <f>SUM(B9:F9)</f>
        <v>-133971996.4150916</v>
      </c>
      <c r="H9" s="436">
        <f>'E-Costos'!G142</f>
        <v>621647927.47055602</v>
      </c>
      <c r="I9" s="436">
        <f>'E-Inv AF y Am'!E57</f>
        <v>68495811.070826203</v>
      </c>
      <c r="J9" s="436">
        <f>'E-IVA '!G28</f>
        <v>0</v>
      </c>
      <c r="K9" s="433">
        <f>SUM(H9:J9)</f>
        <v>690143738.54138219</v>
      </c>
      <c r="L9" s="540">
        <f t="shared" si="1"/>
        <v>824115734.95647383</v>
      </c>
      <c r="M9" s="437">
        <f>M8+L9</f>
        <v>1406570658.4704595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35"/>
      <c r="C10" s="436"/>
      <c r="D10" s="436"/>
      <c r="E10" s="436"/>
      <c r="F10" s="436"/>
      <c r="G10" s="436"/>
      <c r="H10" s="436"/>
      <c r="I10" s="436"/>
      <c r="J10" s="436"/>
      <c r="K10" s="436"/>
      <c r="L10" s="541"/>
      <c r="M10" s="43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687</v>
      </c>
      <c r="B11" s="538">
        <f>B4+B5+B9</f>
        <v>342479055.35413104</v>
      </c>
      <c r="C11" s="443">
        <f>SUM(C4:C10)</f>
        <v>0</v>
      </c>
      <c r="D11" s="443">
        <f t="shared" ref="D11:L11" si="4">SUM(D4:D9)</f>
        <v>162884066.75635976</v>
      </c>
      <c r="E11" s="443">
        <f>SUM(E4:E9)</f>
        <v>162878322.73437911</v>
      </c>
      <c r="F11" s="443">
        <f>SUM(F4:F9)</f>
        <v>757384200.7148627</v>
      </c>
      <c r="G11" s="443">
        <f>SUM(G4:G9)</f>
        <v>1425625645.5597324</v>
      </c>
      <c r="H11" s="443">
        <f>SUM(H4:H9)</f>
        <v>2326833181.9197016</v>
      </c>
      <c r="I11" s="443">
        <f>SUM(I4:I9)</f>
        <v>342479055.35413098</v>
      </c>
      <c r="J11" s="443">
        <f t="shared" si="4"/>
        <v>162884066.75635976</v>
      </c>
      <c r="K11" s="443">
        <f>SUM(K4:K9)</f>
        <v>2832196304.0301919</v>
      </c>
      <c r="L11" s="443">
        <f t="shared" si="4"/>
        <v>1406570658.4704595</v>
      </c>
      <c r="M11" s="44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688</v>
      </c>
      <c r="D13" s="244">
        <f>L11</f>
        <v>1406570658.4704595</v>
      </c>
      <c r="E13" s="3"/>
      <c r="F13" s="3"/>
      <c r="G13" s="3"/>
      <c r="H13" s="232">
        <f>H11-E11-F11</f>
        <v>1406570658.4704595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689</v>
      </c>
      <c r="D14" s="245">
        <f>2+(-M5/L6)</f>
        <v>3.3756127250698524</v>
      </c>
      <c r="E14" s="3" t="s">
        <v>68</v>
      </c>
      <c r="F14" s="23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690</v>
      </c>
      <c r="D15" s="246">
        <f>IRR(L4:L9)</f>
        <v>0.4445641727172045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22" t="s">
        <v>691</v>
      </c>
      <c r="M16" s="107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22" t="s">
        <v>692</v>
      </c>
      <c r="M17" s="107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298</v>
      </c>
      <c r="M18" s="186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693</v>
      </c>
      <c r="M19" s="186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694</v>
      </c>
      <c r="M20" s="186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695</v>
      </c>
      <c r="M21" s="186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defaultColWidth="8.85546875" defaultRowHeight="13.1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6">
      <c r="A2" s="682" t="s">
        <v>696</v>
      </c>
      <c r="B2" s="683"/>
      <c r="C2" s="683"/>
      <c r="D2" s="683"/>
      <c r="E2" s="683"/>
      <c r="F2" s="683"/>
      <c r="G2" s="683"/>
      <c r="H2" s="683"/>
      <c r="I2" s="683"/>
    </row>
    <row r="3" spans="1:10">
      <c r="E3" s="159"/>
      <c r="G3" s="159"/>
    </row>
    <row r="4" spans="1:10">
      <c r="A4" s="621" t="s">
        <v>697</v>
      </c>
      <c r="B4" s="621"/>
      <c r="C4" s="641"/>
      <c r="D4" s="641"/>
      <c r="E4" s="640">
        <f>InfoInicial!B38</f>
        <v>60</v>
      </c>
      <c r="F4" s="641" t="s">
        <v>698</v>
      </c>
      <c r="G4" s="642">
        <f>InfoInicial!B39</f>
        <v>0.5</v>
      </c>
      <c r="H4" s="641" t="s">
        <v>699</v>
      </c>
    </row>
    <row r="5" spans="1:10">
      <c r="A5" s="621" t="s">
        <v>700</v>
      </c>
      <c r="B5" s="641"/>
      <c r="C5" s="642">
        <f>InfoInicial!B40</f>
        <v>0.6</v>
      </c>
      <c r="D5" s="641" t="s">
        <v>100</v>
      </c>
      <c r="E5" s="641"/>
      <c r="F5" s="621"/>
      <c r="G5" s="641"/>
      <c r="H5" s="621"/>
    </row>
    <row r="6" spans="1:10">
      <c r="A6" s="621"/>
      <c r="B6" s="621"/>
      <c r="C6" s="641"/>
      <c r="D6" s="621"/>
      <c r="E6" s="641"/>
      <c r="F6" s="621"/>
      <c r="G6" s="621"/>
      <c r="H6" s="621"/>
    </row>
    <row r="7" spans="1:10">
      <c r="A7" s="621" t="s">
        <v>701</v>
      </c>
      <c r="B7" s="641"/>
      <c r="C7" s="621"/>
      <c r="D7" s="641"/>
      <c r="E7" s="698">
        <v>0.4</v>
      </c>
      <c r="F7" s="643"/>
      <c r="G7" s="621" t="s">
        <v>702</v>
      </c>
      <c r="H7" s="641" t="s">
        <v>703</v>
      </c>
      <c r="I7" s="644">
        <v>0.3</v>
      </c>
    </row>
    <row r="8" spans="1:10">
      <c r="A8" t="s">
        <v>704</v>
      </c>
      <c r="C8" s="641"/>
      <c r="D8" s="621"/>
      <c r="E8" s="698">
        <v>0.6</v>
      </c>
      <c r="G8" s="621" t="s">
        <v>702</v>
      </c>
      <c r="H8" s="621" t="s">
        <v>703</v>
      </c>
      <c r="I8" s="644">
        <v>0.25</v>
      </c>
    </row>
    <row r="9" spans="1:10">
      <c r="A9" s="622"/>
      <c r="B9" s="622"/>
      <c r="C9" s="622"/>
      <c r="D9" s="622"/>
      <c r="E9" s="622"/>
      <c r="F9" s="622"/>
      <c r="G9" s="621"/>
      <c r="H9" s="621"/>
    </row>
    <row r="11" spans="1:10" ht="13.9">
      <c r="A11" s="723"/>
      <c r="B11" s="828"/>
      <c r="C11" s="723"/>
      <c r="D11" s="847"/>
      <c r="E11" s="623"/>
      <c r="F11" s="623"/>
      <c r="G11" s="623"/>
      <c r="H11" s="623"/>
      <c r="I11" s="623"/>
      <c r="J11" s="623"/>
    </row>
    <row r="12" spans="1:10" ht="13.9">
      <c r="A12" s="848" t="s">
        <v>705</v>
      </c>
      <c r="B12" s="849" t="s">
        <v>2</v>
      </c>
      <c r="C12" s="850"/>
      <c r="D12" s="850"/>
      <c r="E12" s="850"/>
      <c r="F12" s="623"/>
      <c r="G12" s="623"/>
      <c r="H12" s="623"/>
      <c r="I12" s="623"/>
      <c r="J12" s="623"/>
    </row>
    <row r="13" spans="1:10" ht="13.9">
      <c r="A13" s="851" t="s">
        <v>706</v>
      </c>
      <c r="B13" s="780">
        <f>'E-InvAT'!B10</f>
        <v>378273.44646000001</v>
      </c>
      <c r="C13" s="850"/>
      <c r="D13" s="850"/>
      <c r="E13" s="850"/>
      <c r="F13" s="623"/>
      <c r="G13" s="623"/>
      <c r="H13" s="623"/>
      <c r="I13" s="623"/>
      <c r="J13" s="623"/>
    </row>
    <row r="14" spans="1:10" ht="13.9">
      <c r="A14" s="851" t="s">
        <v>707</v>
      </c>
      <c r="B14" s="780">
        <f>'E-InvAT'!B11</f>
        <v>581200.1</v>
      </c>
      <c r="C14" s="850"/>
      <c r="D14" s="850"/>
      <c r="E14" s="850"/>
      <c r="F14" s="623"/>
      <c r="G14" s="623"/>
      <c r="H14" s="623"/>
      <c r="I14" s="623"/>
      <c r="J14" s="623"/>
    </row>
    <row r="15" spans="1:10" ht="13.9">
      <c r="A15" s="851" t="s">
        <v>189</v>
      </c>
      <c r="B15" s="780">
        <f>SUM(B13:B14)</f>
        <v>959473.54645999998</v>
      </c>
      <c r="C15" s="850"/>
      <c r="D15" s="850"/>
      <c r="E15" s="850"/>
      <c r="F15" s="623"/>
      <c r="G15" s="623"/>
      <c r="H15" s="623"/>
      <c r="I15" s="623"/>
      <c r="J15" s="623"/>
    </row>
    <row r="16" spans="1:10" ht="13.9">
      <c r="A16" s="851" t="s">
        <v>708</v>
      </c>
      <c r="B16" s="780">
        <f>B15*InfoInicial!B39</f>
        <v>479736.77322999999</v>
      </c>
      <c r="C16" s="850"/>
      <c r="D16" s="850"/>
      <c r="E16" s="850"/>
      <c r="F16" s="623"/>
      <c r="G16" s="623"/>
      <c r="H16" s="623"/>
      <c r="I16" s="623"/>
      <c r="J16" s="623"/>
    </row>
    <row r="17" spans="1:10" ht="13.9">
      <c r="A17" s="851" t="s">
        <v>709</v>
      </c>
      <c r="B17" s="780">
        <f>B16*InfoInicial!B40</f>
        <v>287842.06393800001</v>
      </c>
      <c r="C17" s="850"/>
      <c r="D17" s="850"/>
      <c r="E17" s="850"/>
      <c r="F17" s="623"/>
      <c r="G17" s="623"/>
      <c r="H17" s="623"/>
      <c r="I17" s="623"/>
      <c r="J17" s="623"/>
    </row>
    <row r="18" spans="1:10" ht="13.9">
      <c r="A18" s="850"/>
      <c r="B18" s="850"/>
      <c r="C18" s="850"/>
      <c r="D18" s="850"/>
      <c r="E18" s="850"/>
      <c r="F18" s="623"/>
      <c r="G18" s="623"/>
      <c r="H18" s="623"/>
      <c r="I18" s="623"/>
      <c r="J18" s="623"/>
    </row>
    <row r="19" spans="1:10" ht="13.9">
      <c r="A19" s="848" t="s">
        <v>710</v>
      </c>
      <c r="B19" s="849" t="s">
        <v>711</v>
      </c>
      <c r="C19" s="849" t="s">
        <v>712</v>
      </c>
      <c r="D19" s="849" t="s">
        <v>713</v>
      </c>
      <c r="E19" s="849" t="s">
        <v>714</v>
      </c>
      <c r="F19" s="623"/>
      <c r="G19" s="623"/>
      <c r="H19" s="623"/>
      <c r="I19" s="623"/>
      <c r="J19" s="623"/>
    </row>
    <row r="20" spans="1:10" ht="13.9">
      <c r="A20" s="853" t="s">
        <v>715</v>
      </c>
      <c r="B20" s="856">
        <f>$B$15</f>
        <v>959473.54645999998</v>
      </c>
      <c r="C20" s="856">
        <f>$B$16</f>
        <v>479736.77322999999</v>
      </c>
      <c r="D20" s="852" t="s">
        <v>716</v>
      </c>
      <c r="E20" s="856">
        <f>$B$17/12*2</f>
        <v>47973.677323000004</v>
      </c>
      <c r="F20" s="623"/>
      <c r="G20" s="623"/>
      <c r="H20" s="623"/>
      <c r="I20" s="623"/>
      <c r="J20" s="623"/>
    </row>
    <row r="21" spans="1:10" ht="13.9">
      <c r="A21" s="853" t="s">
        <v>717</v>
      </c>
      <c r="B21" s="856">
        <f t="shared" ref="B21:B31" si="0">$B$15</f>
        <v>959473.54645999998</v>
      </c>
      <c r="C21" s="856">
        <f t="shared" ref="C21:C31" si="1">$B$16</f>
        <v>479736.77322999999</v>
      </c>
      <c r="D21" s="852" t="s">
        <v>718</v>
      </c>
      <c r="E21" s="856">
        <f t="shared" ref="E21:E31" si="2">$B$17/12*2</f>
        <v>47973.677323000004</v>
      </c>
      <c r="F21" s="623"/>
      <c r="G21" s="623"/>
      <c r="H21" s="623"/>
      <c r="I21" s="623"/>
      <c r="J21" s="623"/>
    </row>
    <row r="22" spans="1:10" ht="13.9">
      <c r="A22" s="853" t="s">
        <v>719</v>
      </c>
      <c r="B22" s="856">
        <f t="shared" si="0"/>
        <v>959473.54645999998</v>
      </c>
      <c r="C22" s="856">
        <f t="shared" si="1"/>
        <v>479736.77322999999</v>
      </c>
      <c r="D22" s="852" t="s">
        <v>720</v>
      </c>
      <c r="E22" s="856">
        <f>$B$17/12*2</f>
        <v>47973.677323000004</v>
      </c>
      <c r="F22" s="623"/>
      <c r="G22" s="623"/>
      <c r="H22" s="623"/>
      <c r="I22" s="623"/>
      <c r="J22" s="623"/>
    </row>
    <row r="23" spans="1:10" ht="13.9">
      <c r="A23" s="853" t="s">
        <v>718</v>
      </c>
      <c r="B23" s="856">
        <f t="shared" si="0"/>
        <v>959473.54645999998</v>
      </c>
      <c r="C23" s="856">
        <f t="shared" si="1"/>
        <v>479736.77322999999</v>
      </c>
      <c r="D23" s="852" t="s">
        <v>721</v>
      </c>
      <c r="E23" s="856">
        <f t="shared" si="2"/>
        <v>47973.677323000004</v>
      </c>
      <c r="F23" s="623"/>
      <c r="G23" s="623"/>
      <c r="H23" s="623"/>
      <c r="I23" s="623"/>
      <c r="J23" s="623"/>
    </row>
    <row r="24" spans="1:10" ht="13.9">
      <c r="A24" s="853" t="s">
        <v>720</v>
      </c>
      <c r="B24" s="856">
        <f t="shared" si="0"/>
        <v>959473.54645999998</v>
      </c>
      <c r="C24" s="856">
        <f t="shared" si="1"/>
        <v>479736.77322999999</v>
      </c>
      <c r="D24" s="852" t="s">
        <v>722</v>
      </c>
      <c r="E24" s="856">
        <f t="shared" si="2"/>
        <v>47973.677323000004</v>
      </c>
      <c r="F24" s="623"/>
      <c r="G24" s="623"/>
      <c r="H24" s="623"/>
      <c r="I24" s="623"/>
      <c r="J24" s="623"/>
    </row>
    <row r="25" spans="1:10" ht="13.9">
      <c r="A25" s="853" t="s">
        <v>721</v>
      </c>
      <c r="B25" s="856">
        <f t="shared" si="0"/>
        <v>959473.54645999998</v>
      </c>
      <c r="C25" s="856">
        <f t="shared" si="1"/>
        <v>479736.77322999999</v>
      </c>
      <c r="D25" s="852" t="s">
        <v>723</v>
      </c>
      <c r="E25" s="856">
        <f t="shared" si="2"/>
        <v>47973.677323000004</v>
      </c>
      <c r="F25" s="623"/>
      <c r="G25" s="623"/>
      <c r="H25" s="623"/>
      <c r="I25" s="623"/>
      <c r="J25" s="623"/>
    </row>
    <row r="26" spans="1:10" ht="13.9">
      <c r="A26" s="853" t="s">
        <v>722</v>
      </c>
      <c r="B26" s="856">
        <f t="shared" si="0"/>
        <v>959473.54645999998</v>
      </c>
      <c r="C26" s="856">
        <f t="shared" si="1"/>
        <v>479736.77322999999</v>
      </c>
      <c r="D26" s="852" t="s">
        <v>724</v>
      </c>
      <c r="E26" s="856">
        <f t="shared" si="2"/>
        <v>47973.677323000004</v>
      </c>
      <c r="F26" s="623"/>
      <c r="G26" s="623"/>
      <c r="H26" s="623"/>
      <c r="I26" s="623"/>
      <c r="J26" s="623"/>
    </row>
    <row r="27" spans="1:10" ht="13.9">
      <c r="A27" s="853" t="s">
        <v>723</v>
      </c>
      <c r="B27" s="856">
        <f t="shared" si="0"/>
        <v>959473.54645999998</v>
      </c>
      <c r="C27" s="856">
        <f t="shared" si="1"/>
        <v>479736.77322999999</v>
      </c>
      <c r="D27" s="852" t="s">
        <v>725</v>
      </c>
      <c r="E27" s="856">
        <f t="shared" si="2"/>
        <v>47973.677323000004</v>
      </c>
      <c r="F27" s="623"/>
      <c r="G27" s="623"/>
      <c r="H27" s="623"/>
      <c r="I27" s="623"/>
      <c r="J27" s="623"/>
    </row>
    <row r="28" spans="1:10" ht="13.9">
      <c r="A28" s="853" t="s">
        <v>724</v>
      </c>
      <c r="B28" s="856">
        <f t="shared" si="0"/>
        <v>959473.54645999998</v>
      </c>
      <c r="C28" s="856">
        <f t="shared" si="1"/>
        <v>479736.77322999999</v>
      </c>
      <c r="D28" s="852" t="s">
        <v>726</v>
      </c>
      <c r="E28" s="856">
        <f t="shared" si="2"/>
        <v>47973.677323000004</v>
      </c>
      <c r="F28" s="623"/>
      <c r="G28" s="623"/>
      <c r="H28" s="623"/>
      <c r="I28" s="623"/>
      <c r="J28" s="623"/>
    </row>
    <row r="29" spans="1:10" ht="13.9">
      <c r="A29" s="853" t="s">
        <v>725</v>
      </c>
      <c r="B29" s="856">
        <f t="shared" si="0"/>
        <v>959473.54645999998</v>
      </c>
      <c r="C29" s="856">
        <f t="shared" si="1"/>
        <v>479736.77322999999</v>
      </c>
      <c r="D29" s="852" t="s">
        <v>727</v>
      </c>
      <c r="E29" s="856">
        <f t="shared" si="2"/>
        <v>47973.677323000004</v>
      </c>
      <c r="F29" s="623"/>
      <c r="G29" s="623"/>
      <c r="H29" s="623"/>
      <c r="I29" s="623"/>
      <c r="J29" s="623"/>
    </row>
    <row r="30" spans="1:10" ht="13.9">
      <c r="A30" s="853" t="s">
        <v>726</v>
      </c>
      <c r="B30" s="856">
        <f t="shared" si="0"/>
        <v>959473.54645999998</v>
      </c>
      <c r="C30" s="856">
        <f t="shared" si="1"/>
        <v>479736.77322999999</v>
      </c>
      <c r="D30" s="852" t="s">
        <v>728</v>
      </c>
      <c r="E30" s="856">
        <f t="shared" si="2"/>
        <v>47973.677323000004</v>
      </c>
      <c r="F30" s="623"/>
      <c r="G30" s="623"/>
      <c r="H30" s="623"/>
      <c r="I30" s="623"/>
      <c r="J30" s="623"/>
    </row>
    <row r="31" spans="1:10" ht="13.9">
      <c r="A31" s="853" t="s">
        <v>727</v>
      </c>
      <c r="B31" s="856">
        <f t="shared" si="0"/>
        <v>959473.54645999998</v>
      </c>
      <c r="C31" s="856">
        <f t="shared" si="1"/>
        <v>479736.77322999999</v>
      </c>
      <c r="D31" s="852" t="s">
        <v>729</v>
      </c>
      <c r="E31" s="856">
        <f t="shared" si="2"/>
        <v>47973.677323000004</v>
      </c>
      <c r="F31" s="623"/>
      <c r="G31" s="623"/>
      <c r="H31" s="623"/>
      <c r="I31" s="623"/>
      <c r="J31" s="623"/>
    </row>
    <row r="32" spans="1:10" ht="13.9">
      <c r="A32" s="850"/>
      <c r="B32" s="850"/>
      <c r="C32" s="850"/>
      <c r="D32" s="850"/>
      <c r="E32" s="850"/>
      <c r="F32" s="623"/>
      <c r="G32" s="623"/>
      <c r="H32" s="623"/>
      <c r="I32" s="623"/>
      <c r="J32" s="623"/>
    </row>
    <row r="33" spans="1:11" ht="13.9">
      <c r="A33" s="850"/>
      <c r="B33" s="850"/>
      <c r="C33" s="617"/>
      <c r="D33" s="693" t="s">
        <v>340</v>
      </c>
      <c r="E33" s="857">
        <f>SUM(E20:E29)</f>
        <v>479736.77322999993</v>
      </c>
      <c r="F33" s="623"/>
      <c r="G33" s="623"/>
      <c r="H33" s="623"/>
      <c r="I33" s="623"/>
      <c r="J33" s="623"/>
    </row>
    <row r="34" spans="1:11" ht="13.9">
      <c r="A34" s="850"/>
      <c r="B34" s="850"/>
      <c r="C34" s="617"/>
      <c r="D34" s="617"/>
      <c r="E34" s="617"/>
      <c r="F34" s="623"/>
      <c r="G34" s="623"/>
      <c r="H34" s="623"/>
      <c r="I34" s="623"/>
      <c r="J34" s="623"/>
    </row>
    <row r="35" spans="1:11" ht="13.9">
      <c r="A35" s="850"/>
      <c r="B35" s="850"/>
      <c r="C35" s="693" t="s">
        <v>730</v>
      </c>
      <c r="D35" s="854"/>
      <c r="E35" s="857">
        <f>E33/InfoInicial!B40</f>
        <v>799561.28871666663</v>
      </c>
      <c r="F35" s="623"/>
      <c r="G35" s="623"/>
      <c r="H35" s="623"/>
      <c r="I35" s="623"/>
      <c r="J35" s="623"/>
    </row>
    <row r="36" spans="1:11" ht="13.9">
      <c r="A36" s="723"/>
      <c r="B36" s="828"/>
      <c r="C36" s="723"/>
      <c r="D36" s="847"/>
      <c r="E36" s="623"/>
      <c r="F36" s="623"/>
      <c r="G36" s="623"/>
      <c r="H36" s="623"/>
      <c r="I36" s="623"/>
      <c r="J36" s="623"/>
    </row>
    <row r="40" spans="1:11" ht="15.6">
      <c r="A40" s="682" t="s">
        <v>731</v>
      </c>
      <c r="B40" s="683"/>
      <c r="C40" s="683"/>
      <c r="D40" s="683"/>
      <c r="E40" s="683"/>
      <c r="F40" s="683"/>
      <c r="G40" s="683"/>
      <c r="H40" s="683"/>
      <c r="I40" s="683"/>
    </row>
    <row r="41" spans="1:11" ht="15.6">
      <c r="A41" s="682"/>
      <c r="B41" s="683"/>
      <c r="C41" s="683"/>
      <c r="D41" s="683"/>
      <c r="E41" s="683"/>
      <c r="F41" s="683"/>
      <c r="G41" s="683"/>
      <c r="H41" s="683"/>
      <c r="I41" s="683"/>
    </row>
    <row r="42" spans="1:11" ht="17.45">
      <c r="A42" s="865" t="s">
        <v>732</v>
      </c>
      <c r="B42" s="866"/>
      <c r="C42" s="866"/>
    </row>
    <row r="44" spans="1:11">
      <c r="A44" s="1024" t="s">
        <v>733</v>
      </c>
      <c r="B44" s="1025"/>
      <c r="C44" s="1025"/>
      <c r="D44" s="1025"/>
      <c r="E44" s="1025"/>
      <c r="F44" s="1025"/>
      <c r="G44" s="1026"/>
    </row>
    <row r="45" spans="1:11" ht="13.9">
      <c r="A45" s="653" t="s">
        <v>734</v>
      </c>
      <c r="B45" s="623"/>
      <c r="C45" s="623"/>
      <c r="D45" s="623"/>
      <c r="E45" s="623"/>
      <c r="F45" s="623"/>
      <c r="G45" s="654"/>
      <c r="I45" s="1023" t="s">
        <v>735</v>
      </c>
      <c r="J45" s="1023"/>
      <c r="K45" s="558" t="s">
        <v>736</v>
      </c>
    </row>
    <row r="46" spans="1:11" ht="13.9">
      <c r="A46" s="653" t="s">
        <v>737</v>
      </c>
      <c r="B46" s="623" t="s">
        <v>738</v>
      </c>
      <c r="C46" s="655">
        <v>0.4</v>
      </c>
      <c r="D46" s="623" t="s">
        <v>739</v>
      </c>
      <c r="E46" s="623"/>
      <c r="F46" s="626"/>
      <c r="G46" s="654"/>
    </row>
    <row r="47" spans="1:11" ht="13.9">
      <c r="A47" s="653" t="s">
        <v>740</v>
      </c>
      <c r="B47" s="656"/>
      <c r="C47" s="657">
        <f>'E-Inv AF y Am'!B8</f>
        <v>111650000</v>
      </c>
      <c r="D47" s="623"/>
      <c r="E47" s="630" t="s">
        <v>741</v>
      </c>
      <c r="F47" s="658">
        <f>C47*C46</f>
        <v>44660000</v>
      </c>
      <c r="G47" s="654"/>
    </row>
    <row r="48" spans="1:11" ht="14.45">
      <c r="A48" s="653" t="s">
        <v>742</v>
      </c>
      <c r="B48" s="623"/>
      <c r="C48" s="659">
        <v>8</v>
      </c>
      <c r="D48" s="660" t="s">
        <v>743</v>
      </c>
      <c r="E48" s="623"/>
      <c r="F48" s="623"/>
      <c r="G48" s="623"/>
    </row>
    <row r="49" spans="1:15" ht="13.9">
      <c r="A49" s="653" t="s">
        <v>744</v>
      </c>
      <c r="B49" s="623"/>
      <c r="C49" s="661">
        <v>0.3</v>
      </c>
      <c r="D49" s="623" t="s">
        <v>745</v>
      </c>
      <c r="E49" s="623"/>
      <c r="F49" s="623"/>
      <c r="G49" s="654"/>
    </row>
    <row r="50" spans="1:15" ht="13.9">
      <c r="A50" s="653" t="s">
        <v>746</v>
      </c>
      <c r="B50" s="623"/>
      <c r="C50" s="621" t="s">
        <v>747</v>
      </c>
      <c r="D50" s="623"/>
      <c r="E50" s="623"/>
      <c r="F50" s="623"/>
      <c r="G50" s="623"/>
    </row>
    <row r="51" spans="1:15" ht="13.9">
      <c r="A51" s="662" t="s">
        <v>748</v>
      </c>
      <c r="B51" s="626"/>
      <c r="C51" s="663">
        <v>0.03</v>
      </c>
      <c r="D51" s="626" t="s">
        <v>749</v>
      </c>
      <c r="E51" s="626"/>
      <c r="F51" s="626"/>
      <c r="G51" s="664"/>
    </row>
    <row r="53" spans="1:15">
      <c r="A53" s="1027" t="s">
        <v>750</v>
      </c>
      <c r="B53" s="1028"/>
      <c r="C53" s="1029"/>
      <c r="D53" s="1030" t="s">
        <v>751</v>
      </c>
      <c r="E53" s="1032" t="s">
        <v>752</v>
      </c>
      <c r="F53" s="1034" t="s">
        <v>753</v>
      </c>
      <c r="G53" s="1034" t="s">
        <v>754</v>
      </c>
      <c r="H53" s="1034" t="s">
        <v>755</v>
      </c>
      <c r="I53" s="1034" t="s">
        <v>756</v>
      </c>
      <c r="J53" s="1036" t="s">
        <v>757</v>
      </c>
    </row>
    <row r="54" spans="1:15">
      <c r="A54" s="665" t="s">
        <v>758</v>
      </c>
      <c r="B54" s="666" t="s">
        <v>759</v>
      </c>
      <c r="C54" s="667" t="s">
        <v>760</v>
      </c>
      <c r="D54" s="1031"/>
      <c r="E54" s="1033"/>
      <c r="F54" s="1035"/>
      <c r="G54" s="1035"/>
      <c r="H54" s="1035"/>
      <c r="I54" s="1035"/>
      <c r="J54" s="1037"/>
    </row>
    <row r="55" spans="1:15" ht="13.9">
      <c r="A55" s="624">
        <v>1</v>
      </c>
      <c r="B55" s="657">
        <v>5</v>
      </c>
      <c r="C55" s="668">
        <v>-1</v>
      </c>
      <c r="D55" s="783">
        <f>F47/3</f>
        <v>14886666.666666666</v>
      </c>
      <c r="E55" s="783"/>
      <c r="F55" s="783"/>
      <c r="G55" s="783"/>
      <c r="H55" s="783"/>
      <c r="I55" s="783">
        <f>$C$51*$D$55</f>
        <v>446599.99999999994</v>
      </c>
      <c r="J55" s="782"/>
      <c r="M55" s="1046" t="s">
        <v>761</v>
      </c>
      <c r="N55" s="1046"/>
      <c r="O55" s="1046"/>
    </row>
    <row r="56" spans="1:15" ht="13.9">
      <c r="A56" s="624">
        <v>1</v>
      </c>
      <c r="B56" s="657">
        <v>8</v>
      </c>
      <c r="C56" s="776">
        <v>-1</v>
      </c>
      <c r="D56" s="783">
        <f>D55*2</f>
        <v>29773333.333333332</v>
      </c>
      <c r="E56" s="783"/>
      <c r="F56" s="783">
        <f>C49/2*D55</f>
        <v>2233000</v>
      </c>
      <c r="G56" s="783"/>
      <c r="H56" s="783"/>
      <c r="I56" s="783">
        <f t="shared" ref="I56:I57" si="3">$C$51*$D$55</f>
        <v>446599.99999999994</v>
      </c>
      <c r="J56" s="784"/>
      <c r="M56" s="1023"/>
      <c r="N56" s="1023"/>
      <c r="O56" s="1023"/>
    </row>
    <row r="57" spans="1:15" ht="13.9">
      <c r="A57" s="624">
        <v>1</v>
      </c>
      <c r="B57" s="657">
        <v>11</v>
      </c>
      <c r="C57" s="776">
        <v>-1</v>
      </c>
      <c r="D57" s="783">
        <f>F47</f>
        <v>44660000</v>
      </c>
      <c r="E57" s="783"/>
      <c r="F57" s="783">
        <f>C49/2*D56</f>
        <v>4466000</v>
      </c>
      <c r="G57" s="783"/>
      <c r="H57" s="783"/>
      <c r="I57" s="783">
        <f t="shared" si="3"/>
        <v>446599.99999999994</v>
      </c>
      <c r="J57" s="784"/>
      <c r="M57" s="1023"/>
      <c r="N57" s="1023"/>
      <c r="O57" s="1023"/>
    </row>
    <row r="58" spans="1:15" ht="13.9">
      <c r="A58" s="624">
        <v>31</v>
      </c>
      <c r="B58" s="657">
        <v>12</v>
      </c>
      <c r="C58" s="671">
        <v>-1</v>
      </c>
      <c r="D58" s="783">
        <f>F47</f>
        <v>44660000</v>
      </c>
      <c r="E58" s="783"/>
      <c r="F58" s="783">
        <f>F57</f>
        <v>4466000</v>
      </c>
      <c r="G58" s="783"/>
      <c r="H58" s="783"/>
      <c r="I58" s="783"/>
      <c r="J58" s="787"/>
      <c r="M58" s="1046" t="s">
        <v>762</v>
      </c>
      <c r="N58" s="1046"/>
      <c r="O58" s="1046"/>
    </row>
    <row r="59" spans="1:15" ht="13.9">
      <c r="A59" s="673"/>
      <c r="B59" s="674"/>
      <c r="C59" s="777" t="s">
        <v>763</v>
      </c>
      <c r="D59" s="778"/>
      <c r="E59" s="779"/>
      <c r="F59" s="788">
        <f>SUM(F56:F58)</f>
        <v>11165000</v>
      </c>
      <c r="G59" s="788"/>
      <c r="H59" s="788">
        <f>F59</f>
        <v>11165000</v>
      </c>
      <c r="I59" s="788">
        <f>SUM(I55:I57)</f>
        <v>1339799.9999999998</v>
      </c>
      <c r="J59" s="789">
        <f>I59+H59</f>
        <v>12504800</v>
      </c>
      <c r="M59" s="1048">
        <f>F47/C48</f>
        <v>5582500</v>
      </c>
      <c r="N59" s="1048"/>
      <c r="O59" s="1048"/>
    </row>
    <row r="60" spans="1:15" ht="13.9">
      <c r="A60" s="624">
        <v>1</v>
      </c>
      <c r="B60" s="657">
        <v>1</v>
      </c>
      <c r="C60" s="668">
        <v>1</v>
      </c>
      <c r="D60" s="780">
        <f>D58</f>
        <v>44660000</v>
      </c>
      <c r="E60" s="790"/>
      <c r="F60" s="791"/>
      <c r="G60" s="669"/>
      <c r="H60" s="669"/>
      <c r="I60" s="669"/>
      <c r="J60" s="670"/>
      <c r="M60" s="1048"/>
      <c r="N60" s="1048"/>
      <c r="O60" s="1048"/>
    </row>
    <row r="61" spans="1:15" ht="13.9">
      <c r="A61" s="624">
        <v>30</v>
      </c>
      <c r="B61" s="657">
        <v>6</v>
      </c>
      <c r="C61" s="668">
        <v>1</v>
      </c>
      <c r="D61" s="780">
        <f>D58-E61</f>
        <v>44660000</v>
      </c>
      <c r="E61" s="791"/>
      <c r="F61" s="781">
        <f>$C$49*D60</f>
        <v>13398000</v>
      </c>
      <c r="G61" s="632"/>
      <c r="H61" s="632"/>
      <c r="I61" s="669"/>
      <c r="J61" s="796">
        <f>F61+E61</f>
        <v>13398000</v>
      </c>
    </row>
    <row r="62" spans="1:15" ht="13.9">
      <c r="A62" s="624">
        <v>31</v>
      </c>
      <c r="B62" s="657">
        <v>12</v>
      </c>
      <c r="C62" s="668">
        <v>1</v>
      </c>
      <c r="D62" s="780">
        <f>D61-E61</f>
        <v>44660000</v>
      </c>
      <c r="E62" s="791">
        <f t="shared" ref="E62:E69" si="4">$M$59</f>
        <v>5582500</v>
      </c>
      <c r="F62" s="781">
        <f>$C$49*D61</f>
        <v>13398000</v>
      </c>
      <c r="G62" s="794">
        <f>E60+E61</f>
        <v>0</v>
      </c>
      <c r="H62" s="795">
        <f>F61+F62</f>
        <v>26796000</v>
      </c>
      <c r="I62" s="669"/>
      <c r="J62" s="796">
        <f>F62+E62</f>
        <v>18980500</v>
      </c>
    </row>
    <row r="63" spans="1:15" ht="13.9">
      <c r="A63" s="624">
        <v>30</v>
      </c>
      <c r="B63" s="657">
        <v>6</v>
      </c>
      <c r="C63" s="668">
        <v>2</v>
      </c>
      <c r="D63" s="780">
        <f>D62-E62</f>
        <v>39077500</v>
      </c>
      <c r="E63" s="791">
        <f t="shared" si="4"/>
        <v>5582500</v>
      </c>
      <c r="F63" s="781">
        <f>$C$49*D62</f>
        <v>13398000</v>
      </c>
      <c r="G63" s="632"/>
      <c r="H63" s="632"/>
      <c r="I63" s="669"/>
      <c r="J63" s="796">
        <f>F63+E63</f>
        <v>18980500</v>
      </c>
    </row>
    <row r="64" spans="1:15" ht="13.9">
      <c r="A64" s="624">
        <v>31</v>
      </c>
      <c r="B64" s="657">
        <v>12</v>
      </c>
      <c r="C64" s="668">
        <v>2</v>
      </c>
      <c r="D64" s="780">
        <f t="shared" ref="D64:D69" si="5">D63-E63</f>
        <v>33495000</v>
      </c>
      <c r="E64" s="791">
        <f t="shared" si="4"/>
        <v>5582500</v>
      </c>
      <c r="F64" s="781">
        <f>$C$49*D63</f>
        <v>11723250</v>
      </c>
      <c r="G64" s="794">
        <f>E63+E62</f>
        <v>11165000</v>
      </c>
      <c r="H64" s="795">
        <f>F63+F64</f>
        <v>25121250</v>
      </c>
      <c r="I64" s="669"/>
      <c r="J64" s="796">
        <f>F64+E64</f>
        <v>17305750</v>
      </c>
    </row>
    <row r="65" spans="1:11" ht="13.9">
      <c r="A65" s="624">
        <v>30</v>
      </c>
      <c r="B65" s="657">
        <v>6</v>
      </c>
      <c r="C65" s="668">
        <v>3</v>
      </c>
      <c r="D65" s="780">
        <f t="shared" si="5"/>
        <v>27912500</v>
      </c>
      <c r="E65" s="791">
        <f t="shared" si="4"/>
        <v>5582500</v>
      </c>
      <c r="F65" s="781">
        <f t="shared" ref="F65:F70" si="6">$C$49*D64</f>
        <v>10048500</v>
      </c>
      <c r="G65" s="632"/>
      <c r="H65" s="632"/>
      <c r="I65" s="669"/>
      <c r="J65" s="796">
        <f>F65+E65</f>
        <v>15631000</v>
      </c>
    </row>
    <row r="66" spans="1:11" ht="13.9">
      <c r="A66" s="624">
        <v>31</v>
      </c>
      <c r="B66" s="657">
        <v>12</v>
      </c>
      <c r="C66" s="668">
        <v>3</v>
      </c>
      <c r="D66" s="780">
        <f t="shared" si="5"/>
        <v>22330000</v>
      </c>
      <c r="E66" s="791">
        <f t="shared" si="4"/>
        <v>5582500</v>
      </c>
      <c r="F66" s="781">
        <f t="shared" si="6"/>
        <v>8373750</v>
      </c>
      <c r="G66" s="794">
        <f>E65+E64</f>
        <v>11165000</v>
      </c>
      <c r="H66" s="795">
        <f>F65+F66</f>
        <v>18422250</v>
      </c>
      <c r="I66" s="669"/>
      <c r="J66" s="796">
        <f t="shared" ref="J66:J70" si="7">F66+E66</f>
        <v>13956250</v>
      </c>
    </row>
    <row r="67" spans="1:11" ht="13.9">
      <c r="A67" s="624">
        <v>30</v>
      </c>
      <c r="B67" s="657">
        <v>6</v>
      </c>
      <c r="C67" s="668">
        <v>4</v>
      </c>
      <c r="D67" s="780">
        <f t="shared" si="5"/>
        <v>16747500</v>
      </c>
      <c r="E67" s="791">
        <f t="shared" si="4"/>
        <v>5582500</v>
      </c>
      <c r="F67" s="781">
        <f t="shared" si="6"/>
        <v>6699000</v>
      </c>
      <c r="G67" s="632"/>
      <c r="H67" s="632"/>
      <c r="I67" s="669"/>
      <c r="J67" s="796">
        <f t="shared" si="7"/>
        <v>12281500</v>
      </c>
    </row>
    <row r="68" spans="1:11" ht="13.9">
      <c r="A68" s="624">
        <v>31</v>
      </c>
      <c r="B68" s="657">
        <v>12</v>
      </c>
      <c r="C68" s="668">
        <v>4</v>
      </c>
      <c r="D68" s="780">
        <f t="shared" si="5"/>
        <v>11165000</v>
      </c>
      <c r="E68" s="791">
        <f t="shared" si="4"/>
        <v>5582500</v>
      </c>
      <c r="F68" s="781">
        <f t="shared" si="6"/>
        <v>5024250</v>
      </c>
      <c r="G68" s="794">
        <f>E67+E66</f>
        <v>11165000</v>
      </c>
      <c r="H68" s="795">
        <f>F67+F68</f>
        <v>11723250</v>
      </c>
      <c r="I68" s="669"/>
      <c r="J68" s="796">
        <f t="shared" si="7"/>
        <v>10606750</v>
      </c>
    </row>
    <row r="69" spans="1:11" ht="13.9">
      <c r="A69" s="624">
        <v>30</v>
      </c>
      <c r="B69" s="657">
        <v>6</v>
      </c>
      <c r="C69" s="668">
        <v>5</v>
      </c>
      <c r="D69" s="780">
        <f t="shared" si="5"/>
        <v>5582500</v>
      </c>
      <c r="E69" s="791">
        <f t="shared" si="4"/>
        <v>5582500</v>
      </c>
      <c r="F69" s="781">
        <f t="shared" si="6"/>
        <v>3349500</v>
      </c>
      <c r="G69" s="632"/>
      <c r="H69" s="632"/>
      <c r="I69" s="669"/>
      <c r="J69" s="796">
        <f t="shared" si="7"/>
        <v>8932000</v>
      </c>
    </row>
    <row r="70" spans="1:11" ht="13.9">
      <c r="A70" s="675">
        <v>31</v>
      </c>
      <c r="B70" s="631">
        <v>12</v>
      </c>
      <c r="C70" s="671">
        <v>5</v>
      </c>
      <c r="D70" s="780">
        <f>D69-E69</f>
        <v>0</v>
      </c>
      <c r="F70" s="781">
        <f t="shared" si="6"/>
        <v>1674750</v>
      </c>
      <c r="G70" s="794">
        <f>E68+E69</f>
        <v>11165000</v>
      </c>
      <c r="H70" s="795">
        <f>F69+F70</f>
        <v>5024250</v>
      </c>
      <c r="I70" s="632"/>
      <c r="J70" s="796">
        <f t="shared" si="7"/>
        <v>1674750</v>
      </c>
    </row>
    <row r="71" spans="1:11" ht="13.9">
      <c r="A71" s="1041" t="s">
        <v>225</v>
      </c>
      <c r="B71" s="1042"/>
      <c r="C71" s="1042"/>
      <c r="D71" s="1043"/>
      <c r="E71" s="792">
        <f>SUM(E61:E69)</f>
        <v>44660000</v>
      </c>
      <c r="F71" s="793">
        <f>SUM(F60:F70)</f>
        <v>87087000</v>
      </c>
      <c r="G71" s="792">
        <f>SUM(G62:G70)</f>
        <v>44660000</v>
      </c>
      <c r="H71" s="793">
        <f>SUM(H62:H70)</f>
        <v>87087000</v>
      </c>
      <c r="I71" s="633"/>
      <c r="J71" s="797">
        <f>SUM(J61:J70)</f>
        <v>131747000</v>
      </c>
    </row>
    <row r="73" spans="1:11" ht="17.45">
      <c r="A73" s="865" t="s">
        <v>764</v>
      </c>
      <c r="B73" s="865"/>
      <c r="C73" s="865"/>
      <c r="D73" s="866"/>
    </row>
    <row r="75" spans="1:11" ht="13.9">
      <c r="A75" s="1024" t="s">
        <v>733</v>
      </c>
      <c r="B75" s="1025"/>
      <c r="C75" s="1025"/>
      <c r="D75" s="1025"/>
      <c r="E75" s="1025"/>
      <c r="F75" s="1025"/>
      <c r="G75" s="1026"/>
      <c r="H75" s="623"/>
      <c r="I75" s="1049" t="s">
        <v>735</v>
      </c>
      <c r="J75" s="1049"/>
      <c r="K75" s="558" t="s">
        <v>765</v>
      </c>
    </row>
    <row r="76" spans="1:11" ht="13.9">
      <c r="A76" s="653" t="s">
        <v>734</v>
      </c>
      <c r="B76" s="623"/>
      <c r="C76" s="623"/>
      <c r="D76" s="623"/>
      <c r="E76" s="623"/>
      <c r="F76" s="623"/>
      <c r="G76" s="654"/>
      <c r="H76" s="623"/>
      <c r="I76" s="623"/>
      <c r="J76" s="623"/>
    </row>
    <row r="77" spans="1:11" ht="13.9">
      <c r="A77" s="653" t="s">
        <v>737</v>
      </c>
      <c r="B77" s="623" t="s">
        <v>738</v>
      </c>
      <c r="C77" s="655">
        <v>0.6</v>
      </c>
      <c r="D77" s="623" t="s">
        <v>766</v>
      </c>
      <c r="E77" s="623"/>
      <c r="F77" s="626"/>
      <c r="G77" s="654"/>
      <c r="H77" s="623"/>
      <c r="I77" s="623"/>
      <c r="J77" s="623"/>
    </row>
    <row r="78" spans="1:11" ht="13.9">
      <c r="A78" s="653" t="s">
        <v>740</v>
      </c>
      <c r="B78" s="656"/>
      <c r="C78" s="781">
        <f>'E-Inv AF y Am'!B11</f>
        <v>16385145</v>
      </c>
      <c r="D78" s="623"/>
      <c r="E78" s="630" t="s">
        <v>741</v>
      </c>
      <c r="F78" s="798">
        <f>C77*C78</f>
        <v>9831087</v>
      </c>
      <c r="G78" s="654"/>
      <c r="H78" s="623"/>
      <c r="I78" s="623"/>
      <c r="J78" s="623"/>
    </row>
    <row r="79" spans="1:11" ht="28.5" customHeight="1">
      <c r="A79" s="653" t="s">
        <v>742</v>
      </c>
      <c r="B79" s="623"/>
      <c r="C79" s="659">
        <v>10</v>
      </c>
      <c r="D79" s="660" t="s">
        <v>767</v>
      </c>
      <c r="E79" s="623"/>
      <c r="F79" s="623"/>
      <c r="G79" s="623"/>
      <c r="H79" s="623"/>
      <c r="I79" s="623"/>
      <c r="J79" s="623"/>
    </row>
    <row r="80" spans="1:11" ht="13.9">
      <c r="A80" s="653" t="s">
        <v>744</v>
      </c>
      <c r="B80" s="623"/>
      <c r="C80" s="661">
        <v>0.25</v>
      </c>
      <c r="D80" s="623" t="s">
        <v>768</v>
      </c>
      <c r="E80" s="623"/>
      <c r="F80" s="623"/>
      <c r="G80" s="654"/>
      <c r="H80" s="623"/>
      <c r="I80" s="623"/>
      <c r="J80" s="623"/>
    </row>
    <row r="81" spans="1:14" ht="13.9">
      <c r="A81" s="653" t="s">
        <v>746</v>
      </c>
      <c r="B81" s="623"/>
      <c r="C81" s="621" t="s">
        <v>747</v>
      </c>
      <c r="D81" s="623"/>
      <c r="E81" s="623"/>
      <c r="F81" s="623"/>
      <c r="G81" s="623"/>
      <c r="H81" s="623"/>
      <c r="I81" s="623"/>
      <c r="J81" s="623"/>
    </row>
    <row r="82" spans="1:14" ht="13.9">
      <c r="A82" s="662" t="s">
        <v>748</v>
      </c>
      <c r="B82" s="626"/>
      <c r="C82" s="663">
        <v>0.03</v>
      </c>
      <c r="D82" s="626" t="s">
        <v>749</v>
      </c>
      <c r="E82" s="626"/>
      <c r="F82" s="626"/>
      <c r="G82" s="664"/>
      <c r="H82" s="623"/>
      <c r="I82" s="623"/>
      <c r="J82" s="623"/>
    </row>
    <row r="83" spans="1:14" ht="13.9">
      <c r="A83" s="626"/>
      <c r="B83" s="626"/>
      <c r="C83" s="626"/>
      <c r="D83" s="626"/>
      <c r="E83" s="626"/>
      <c r="F83" s="626"/>
      <c r="G83" s="626"/>
      <c r="H83" s="626"/>
      <c r="I83" s="626"/>
      <c r="J83" s="626"/>
    </row>
    <row r="84" spans="1:14">
      <c r="A84" s="1027" t="s">
        <v>750</v>
      </c>
      <c r="B84" s="1028"/>
      <c r="C84" s="1029"/>
      <c r="D84" s="1030" t="s">
        <v>751</v>
      </c>
      <c r="E84" s="1032" t="s">
        <v>752</v>
      </c>
      <c r="F84" s="1034" t="s">
        <v>753</v>
      </c>
      <c r="G84" s="1034" t="s">
        <v>754</v>
      </c>
      <c r="H84" s="1034" t="s">
        <v>755</v>
      </c>
      <c r="I84" s="1034" t="s">
        <v>756</v>
      </c>
      <c r="J84" s="1036" t="s">
        <v>757</v>
      </c>
    </row>
    <row r="85" spans="1:14">
      <c r="A85" s="665" t="s">
        <v>758</v>
      </c>
      <c r="B85" s="666" t="s">
        <v>759</v>
      </c>
      <c r="C85" s="667" t="s">
        <v>760</v>
      </c>
      <c r="D85" s="1031"/>
      <c r="E85" s="1033"/>
      <c r="F85" s="1035"/>
      <c r="G85" s="1035"/>
      <c r="H85" s="1035"/>
      <c r="I85" s="1035"/>
      <c r="J85" s="1037"/>
      <c r="L85" s="1046" t="s">
        <v>762</v>
      </c>
      <c r="M85" s="1046"/>
      <c r="N85" s="1046"/>
    </row>
    <row r="86" spans="1:14" ht="13.9">
      <c r="A86" s="624">
        <v>1</v>
      </c>
      <c r="B86" s="657">
        <v>8</v>
      </c>
      <c r="C86" s="668">
        <v>-1</v>
      </c>
      <c r="D86" s="780">
        <f>F78</f>
        <v>9831087</v>
      </c>
      <c r="E86" s="669"/>
      <c r="F86" s="669"/>
      <c r="G86" s="669"/>
      <c r="H86" s="669"/>
      <c r="I86" s="781">
        <f>D86*C82</f>
        <v>294932.61</v>
      </c>
      <c r="J86" s="670"/>
      <c r="L86" s="1047">
        <f>F78/C79</f>
        <v>983108.7</v>
      </c>
      <c r="M86" s="1023"/>
      <c r="N86" s="1023"/>
    </row>
    <row r="87" spans="1:14" ht="13.9">
      <c r="A87" s="624">
        <v>31</v>
      </c>
      <c r="B87" s="657">
        <v>12</v>
      </c>
      <c r="C87" s="671">
        <v>-1</v>
      </c>
      <c r="D87" s="785">
        <f>D86</f>
        <v>9831087</v>
      </c>
      <c r="E87" s="632"/>
      <c r="F87" s="786">
        <f>D87*((C80/(6))*4)</f>
        <v>1638514.5</v>
      </c>
      <c r="G87" s="632"/>
      <c r="H87" s="632"/>
      <c r="I87" s="632"/>
      <c r="J87" s="672"/>
      <c r="L87" s="1023"/>
      <c r="M87" s="1023"/>
      <c r="N87" s="1023"/>
    </row>
    <row r="88" spans="1:14" ht="13.9">
      <c r="A88" s="673"/>
      <c r="B88" s="674"/>
      <c r="C88" s="1038" t="s">
        <v>763</v>
      </c>
      <c r="D88" s="1039"/>
      <c r="E88" s="1040"/>
      <c r="F88" s="799">
        <f>F87</f>
        <v>1638514.5</v>
      </c>
      <c r="G88" s="632"/>
      <c r="H88" s="799">
        <f>F88</f>
        <v>1638514.5</v>
      </c>
      <c r="I88" s="799">
        <f>C82*F78</f>
        <v>294932.61</v>
      </c>
      <c r="J88" s="789">
        <f>I88+H88</f>
        <v>1933447.1099999999</v>
      </c>
    </row>
    <row r="89" spans="1:14" ht="13.9">
      <c r="A89" s="624">
        <v>1</v>
      </c>
      <c r="B89" s="657">
        <v>1</v>
      </c>
      <c r="C89" s="668">
        <v>1</v>
      </c>
      <c r="D89" s="780">
        <f>D87</f>
        <v>9831087</v>
      </c>
      <c r="E89" s="669"/>
      <c r="F89" s="669"/>
      <c r="G89" s="669"/>
      <c r="H89" s="669"/>
      <c r="I89" s="669"/>
      <c r="J89" s="670"/>
    </row>
    <row r="90" spans="1:14" ht="13.9">
      <c r="A90" s="624">
        <v>30</v>
      </c>
      <c r="B90" s="657">
        <v>6</v>
      </c>
      <c r="C90" s="668">
        <v>1</v>
      </c>
      <c r="D90" s="780">
        <f>D89-E89</f>
        <v>9831087</v>
      </c>
      <c r="E90" s="781">
        <f>$L$86</f>
        <v>983108.7</v>
      </c>
      <c r="F90" s="781">
        <f>D89*C80</f>
        <v>2457771.75</v>
      </c>
      <c r="G90" s="632"/>
      <c r="H90" s="632"/>
      <c r="I90" s="669"/>
      <c r="J90" s="796">
        <f>F90+E90</f>
        <v>3440880.45</v>
      </c>
    </row>
    <row r="91" spans="1:14" ht="13.9">
      <c r="A91" s="624">
        <v>31</v>
      </c>
      <c r="B91" s="657">
        <v>12</v>
      </c>
      <c r="C91" s="668">
        <v>1</v>
      </c>
      <c r="D91" s="867">
        <f t="shared" ref="D91:D99" si="8">D90-E90</f>
        <v>8847978.3000000007</v>
      </c>
      <c r="E91" s="781">
        <f t="shared" ref="E91:E99" si="9">$L$86</f>
        <v>983108.7</v>
      </c>
      <c r="F91" s="780">
        <f>$C$80*D90</f>
        <v>2457771.75</v>
      </c>
      <c r="G91" s="799">
        <f>E90+E91</f>
        <v>1966217.4</v>
      </c>
      <c r="H91" s="795">
        <f>F91+F90</f>
        <v>4915543.5</v>
      </c>
      <c r="I91" s="669"/>
      <c r="J91" s="796">
        <f t="shared" ref="J91:J99" si="10">F91+E91</f>
        <v>3440880.45</v>
      </c>
    </row>
    <row r="92" spans="1:14" ht="13.9">
      <c r="A92" s="624">
        <v>30</v>
      </c>
      <c r="B92" s="657">
        <v>6</v>
      </c>
      <c r="C92" s="668">
        <v>2</v>
      </c>
      <c r="D92" s="780">
        <f t="shared" si="8"/>
        <v>7864869.6000000006</v>
      </c>
      <c r="E92" s="781">
        <f t="shared" si="9"/>
        <v>983108.7</v>
      </c>
      <c r="F92" s="780">
        <f t="shared" ref="F92:F99" si="11">$C$80*D91</f>
        <v>2211994.5750000002</v>
      </c>
      <c r="G92" s="632"/>
      <c r="H92" s="632"/>
      <c r="I92" s="669"/>
      <c r="J92" s="796">
        <f t="shared" si="10"/>
        <v>3195103.2750000004</v>
      </c>
    </row>
    <row r="93" spans="1:14" ht="13.9">
      <c r="A93" s="624">
        <v>31</v>
      </c>
      <c r="B93" s="657">
        <v>12</v>
      </c>
      <c r="C93" s="668">
        <v>2</v>
      </c>
      <c r="D93" s="867">
        <f t="shared" si="8"/>
        <v>6881760.9000000004</v>
      </c>
      <c r="E93" s="781">
        <f t="shared" si="9"/>
        <v>983108.7</v>
      </c>
      <c r="F93" s="780">
        <f t="shared" si="11"/>
        <v>1966217.4000000001</v>
      </c>
      <c r="G93" s="799">
        <f>E93+E92</f>
        <v>1966217.4</v>
      </c>
      <c r="H93" s="795">
        <f>F93+F92</f>
        <v>4178211.9750000006</v>
      </c>
      <c r="I93" s="669"/>
      <c r="J93" s="796">
        <f t="shared" si="10"/>
        <v>2949326.1</v>
      </c>
    </row>
    <row r="94" spans="1:14" ht="13.9">
      <c r="A94" s="624">
        <v>30</v>
      </c>
      <c r="B94" s="657">
        <v>6</v>
      </c>
      <c r="C94" s="668">
        <v>3</v>
      </c>
      <c r="D94" s="780">
        <f t="shared" si="8"/>
        <v>5898652.2000000002</v>
      </c>
      <c r="E94" s="781">
        <f t="shared" si="9"/>
        <v>983108.7</v>
      </c>
      <c r="F94" s="780">
        <f t="shared" si="11"/>
        <v>1720440.2250000001</v>
      </c>
      <c r="G94" s="632"/>
      <c r="H94" s="632"/>
      <c r="I94" s="669"/>
      <c r="J94" s="796">
        <f t="shared" si="10"/>
        <v>2703548.9249999998</v>
      </c>
    </row>
    <row r="95" spans="1:14" ht="13.9">
      <c r="A95" s="624">
        <v>31</v>
      </c>
      <c r="B95" s="657">
        <v>12</v>
      </c>
      <c r="C95" s="668">
        <v>3</v>
      </c>
      <c r="D95" s="867">
        <f t="shared" si="8"/>
        <v>4915543.5</v>
      </c>
      <c r="E95" s="781">
        <f t="shared" si="9"/>
        <v>983108.7</v>
      </c>
      <c r="F95" s="780">
        <f t="shared" si="11"/>
        <v>1474663.05</v>
      </c>
      <c r="G95" s="799">
        <f>E95+E94</f>
        <v>1966217.4</v>
      </c>
      <c r="H95" s="795">
        <f>F95+F94</f>
        <v>3195103.2750000004</v>
      </c>
      <c r="I95" s="669"/>
      <c r="J95" s="796">
        <f t="shared" si="10"/>
        <v>2457771.75</v>
      </c>
    </row>
    <row r="96" spans="1:14" ht="13.9">
      <c r="A96" s="624">
        <v>30</v>
      </c>
      <c r="B96" s="657">
        <v>6</v>
      </c>
      <c r="C96" s="668">
        <v>4</v>
      </c>
      <c r="D96" s="780">
        <f t="shared" si="8"/>
        <v>3932434.8</v>
      </c>
      <c r="E96" s="781">
        <f t="shared" si="9"/>
        <v>983108.7</v>
      </c>
      <c r="F96" s="780">
        <f t="shared" si="11"/>
        <v>1228885.875</v>
      </c>
      <c r="G96" s="632"/>
      <c r="H96" s="632"/>
      <c r="I96" s="669"/>
      <c r="J96" s="796">
        <f t="shared" si="10"/>
        <v>2211994.5750000002</v>
      </c>
    </row>
    <row r="97" spans="1:10" ht="13.9">
      <c r="A97" s="624">
        <v>31</v>
      </c>
      <c r="B97" s="657">
        <v>12</v>
      </c>
      <c r="C97" s="668">
        <v>4</v>
      </c>
      <c r="D97" s="780">
        <f t="shared" si="8"/>
        <v>2949326.0999999996</v>
      </c>
      <c r="E97" s="781">
        <f t="shared" si="9"/>
        <v>983108.7</v>
      </c>
      <c r="F97" s="780">
        <f t="shared" si="11"/>
        <v>983108.7</v>
      </c>
      <c r="G97" s="799">
        <f>E97+E96</f>
        <v>1966217.4</v>
      </c>
      <c r="H97" s="795">
        <f>F97+F96</f>
        <v>2211994.5750000002</v>
      </c>
      <c r="I97" s="669"/>
      <c r="J97" s="796">
        <f t="shared" si="10"/>
        <v>1966217.4</v>
      </c>
    </row>
    <row r="98" spans="1:10" ht="13.9">
      <c r="A98" s="624">
        <v>30</v>
      </c>
      <c r="B98" s="657">
        <v>6</v>
      </c>
      <c r="C98" s="668">
        <v>5</v>
      </c>
      <c r="D98" s="780">
        <f t="shared" si="8"/>
        <v>1966217.3999999997</v>
      </c>
      <c r="E98" s="781">
        <f t="shared" si="9"/>
        <v>983108.7</v>
      </c>
      <c r="F98" s="780">
        <f t="shared" si="11"/>
        <v>737331.52499999991</v>
      </c>
      <c r="G98" s="632"/>
      <c r="H98" s="632"/>
      <c r="I98" s="669"/>
      <c r="J98" s="796">
        <f t="shared" si="10"/>
        <v>1720440.2249999999</v>
      </c>
    </row>
    <row r="99" spans="1:10" ht="13.9">
      <c r="A99" s="624">
        <v>31</v>
      </c>
      <c r="B99" s="657">
        <v>12</v>
      </c>
      <c r="C99" s="668">
        <v>5</v>
      </c>
      <c r="D99" s="780">
        <f t="shared" si="8"/>
        <v>983108.69999999972</v>
      </c>
      <c r="E99" s="781">
        <f t="shared" si="9"/>
        <v>983108.7</v>
      </c>
      <c r="F99" s="780">
        <f t="shared" si="11"/>
        <v>491554.34999999992</v>
      </c>
      <c r="G99" s="799">
        <f>E99+E98</f>
        <v>1966217.4</v>
      </c>
      <c r="H99" s="795">
        <f>F99+F98</f>
        <v>1228885.8749999998</v>
      </c>
      <c r="I99" s="632"/>
      <c r="J99" s="796">
        <f t="shared" si="10"/>
        <v>1474663.0499999998</v>
      </c>
    </row>
    <row r="100" spans="1:10">
      <c r="A100" s="624">
        <v>1</v>
      </c>
      <c r="B100" s="657">
        <v>1</v>
      </c>
      <c r="C100" s="668">
        <v>6</v>
      </c>
      <c r="D100" s="861">
        <f>D99-E99</f>
        <v>0</v>
      </c>
      <c r="E100" s="624"/>
      <c r="F100" s="657"/>
      <c r="G100" s="624"/>
      <c r="H100" s="657"/>
      <c r="I100" s="624"/>
      <c r="J100" s="657"/>
    </row>
    <row r="101" spans="1:10" ht="13.9">
      <c r="A101" s="1041" t="s">
        <v>225</v>
      </c>
      <c r="B101" s="1042"/>
      <c r="C101" s="1042"/>
      <c r="D101" s="1043"/>
      <c r="E101" s="793">
        <f>SUM(E90:E99)</f>
        <v>9831087</v>
      </c>
      <c r="F101" s="793">
        <f>SUM(F90:F99)</f>
        <v>15729739.199999999</v>
      </c>
      <c r="G101" s="793">
        <f>SUM(G91:G99)</f>
        <v>9831087</v>
      </c>
      <c r="H101" s="793">
        <f>SUM(H91:H99)</f>
        <v>15729739.200000003</v>
      </c>
      <c r="I101" s="633"/>
      <c r="J101" s="797">
        <f>SUM(J90:J99)</f>
        <v>25560826.199999999</v>
      </c>
    </row>
    <row r="102" spans="1:10" ht="13.9">
      <c r="A102" s="623"/>
      <c r="B102" s="626"/>
      <c r="C102" s="626"/>
      <c r="D102" s="626"/>
      <c r="E102" s="623"/>
      <c r="F102" s="623"/>
      <c r="G102" s="623"/>
      <c r="H102" s="623"/>
      <c r="I102" s="623"/>
      <c r="J102" s="623"/>
    </row>
    <row r="103" spans="1:10" ht="13.9">
      <c r="A103" s="654"/>
      <c r="B103" s="627" t="s">
        <v>769</v>
      </c>
      <c r="C103" s="626"/>
      <c r="D103" s="800">
        <f>J59+J88</f>
        <v>14438247.109999999</v>
      </c>
      <c r="E103" s="623"/>
      <c r="F103" s="623"/>
      <c r="G103" s="623"/>
      <c r="H103" s="623"/>
      <c r="I103" s="623"/>
      <c r="J103" s="623"/>
    </row>
    <row r="106" spans="1:10" ht="15.6">
      <c r="A106" s="1044" t="s">
        <v>770</v>
      </c>
      <c r="B106" s="1044"/>
      <c r="C106" s="1044"/>
      <c r="D106" s="1044"/>
      <c r="E106" s="1044"/>
      <c r="F106" s="1044"/>
      <c r="G106" s="1044"/>
      <c r="H106" s="1044"/>
      <c r="I106" s="1044"/>
    </row>
    <row r="107" spans="1:10" ht="13.9">
      <c r="A107" s="623"/>
      <c r="B107" s="623"/>
      <c r="C107" s="623"/>
      <c r="D107" s="623"/>
      <c r="E107" s="623"/>
      <c r="F107" s="623"/>
      <c r="G107" s="623"/>
      <c r="H107" s="623"/>
      <c r="I107" s="623"/>
    </row>
    <row r="108" spans="1:10" ht="13.9">
      <c r="A108" s="623"/>
      <c r="B108" s="623"/>
      <c r="C108" s="623"/>
      <c r="D108" s="623"/>
      <c r="E108" s="623"/>
      <c r="F108" s="623"/>
      <c r="G108" s="623"/>
      <c r="H108" s="623"/>
      <c r="I108" s="623"/>
    </row>
    <row r="109" spans="1:10" ht="15.6">
      <c r="A109" s="1044" t="s">
        <v>771</v>
      </c>
      <c r="B109" s="1044"/>
      <c r="C109" s="1044"/>
      <c r="D109" s="1044"/>
      <c r="E109" s="1044"/>
      <c r="F109" s="1044"/>
      <c r="G109" s="1044"/>
      <c r="H109" s="1044"/>
      <c r="I109" s="1044"/>
    </row>
    <row r="110" spans="1:10" ht="14.45">
      <c r="A110" s="623"/>
      <c r="B110" s="623"/>
      <c r="C110" s="623"/>
      <c r="D110" s="623"/>
      <c r="E110" s="623"/>
      <c r="F110" s="623" t="s">
        <v>772</v>
      </c>
      <c r="G110" s="623"/>
      <c r="H110" s="623">
        <v>3</v>
      </c>
      <c r="I110" s="650" t="s">
        <v>773</v>
      </c>
    </row>
    <row r="111" spans="1:10" ht="13.9">
      <c r="A111" s="626" t="s">
        <v>774</v>
      </c>
      <c r="B111" s="622">
        <v>5</v>
      </c>
      <c r="C111" s="626"/>
      <c r="D111" s="626"/>
      <c r="E111" s="626"/>
      <c r="F111" s="623"/>
      <c r="G111" s="623"/>
      <c r="H111" s="623"/>
      <c r="I111" s="623"/>
    </row>
    <row r="112" spans="1:10" ht="27">
      <c r="A112" s="678" t="s">
        <v>775</v>
      </c>
      <c r="B112" s="679" t="s">
        <v>776</v>
      </c>
      <c r="C112" s="679" t="s">
        <v>777</v>
      </c>
      <c r="D112" s="679" t="s">
        <v>778</v>
      </c>
      <c r="E112" s="680" t="s">
        <v>779</v>
      </c>
      <c r="F112" s="623"/>
      <c r="G112" s="623"/>
      <c r="H112" s="623"/>
      <c r="I112" s="623"/>
    </row>
    <row r="113" spans="1:14" ht="13.9">
      <c r="A113" s="624">
        <v>1</v>
      </c>
      <c r="B113" s="781">
        <f>($J$88+$J$59)/$H$110</f>
        <v>4812749.0366666662</v>
      </c>
      <c r="C113" s="781">
        <f>$B$17</f>
        <v>287842.06393800001</v>
      </c>
      <c r="D113" s="781">
        <f>H91+H62</f>
        <v>31711543.5</v>
      </c>
      <c r="E113" s="796">
        <f>SUM(B113:D113)</f>
        <v>36812134.600604668</v>
      </c>
      <c r="F113" s="623"/>
      <c r="G113" s="623"/>
      <c r="H113" s="623"/>
      <c r="I113" s="623"/>
    </row>
    <row r="114" spans="1:14" ht="13.9">
      <c r="A114" s="624">
        <v>2</v>
      </c>
      <c r="B114" s="781">
        <f>($J$88+$J$59)/$H$110</f>
        <v>4812749.0366666662</v>
      </c>
      <c r="C114" s="781">
        <f t="shared" ref="C114:C117" si="12">$B$17</f>
        <v>287842.06393800001</v>
      </c>
      <c r="D114" s="781">
        <f>H93+H64</f>
        <v>29299461.975000001</v>
      </c>
      <c r="E114" s="796">
        <f t="shared" ref="E114:E117" si="13">SUM(B114:D114)</f>
        <v>34400053.07560467</v>
      </c>
      <c r="F114" s="623"/>
      <c r="G114" s="623"/>
      <c r="H114" s="623"/>
      <c r="I114" s="623"/>
    </row>
    <row r="115" spans="1:14" ht="13.9">
      <c r="A115" s="624">
        <v>3</v>
      </c>
      <c r="B115" s="781">
        <f>($J$88+$J$59)/$H$110</f>
        <v>4812749.0366666662</v>
      </c>
      <c r="C115" s="781">
        <f t="shared" si="12"/>
        <v>287842.06393800001</v>
      </c>
      <c r="D115" s="781">
        <f>H95+H66</f>
        <v>21617353.274999999</v>
      </c>
      <c r="E115" s="796">
        <f t="shared" si="13"/>
        <v>26717944.375604667</v>
      </c>
      <c r="F115" s="623"/>
      <c r="G115" s="623"/>
      <c r="H115" s="623"/>
      <c r="I115" s="623"/>
    </row>
    <row r="116" spans="1:14" ht="13.9">
      <c r="A116" s="624">
        <v>4</v>
      </c>
      <c r="B116" s="657"/>
      <c r="C116" s="781">
        <f t="shared" si="12"/>
        <v>287842.06393800001</v>
      </c>
      <c r="D116" s="781">
        <f>H97+H68</f>
        <v>13935244.574999999</v>
      </c>
      <c r="E116" s="796">
        <f t="shared" si="13"/>
        <v>14223086.638937999</v>
      </c>
      <c r="F116" s="623"/>
      <c r="G116" s="623"/>
      <c r="H116" s="623"/>
      <c r="I116" s="623"/>
    </row>
    <row r="117" spans="1:14" ht="13.9">
      <c r="A117" s="624">
        <v>5</v>
      </c>
      <c r="B117" s="657"/>
      <c r="C117" s="781">
        <f t="shared" si="12"/>
        <v>287842.06393800001</v>
      </c>
      <c r="D117" s="781">
        <f>H99+H70</f>
        <v>6253135.875</v>
      </c>
      <c r="E117" s="796">
        <f t="shared" si="13"/>
        <v>6540977.9389380002</v>
      </c>
      <c r="F117" s="623"/>
      <c r="G117" s="623"/>
      <c r="H117" s="623"/>
      <c r="I117" s="623"/>
    </row>
    <row r="118" spans="1:14" ht="13.9">
      <c r="A118" s="681" t="s">
        <v>780</v>
      </c>
      <c r="B118" s="793">
        <f t="shared" ref="B118" si="14">SUM(B113:B117)</f>
        <v>14438247.109999999</v>
      </c>
      <c r="C118" s="793">
        <f t="shared" ref="C118" si="15">SUM(C113:C117)</f>
        <v>1439210.31969</v>
      </c>
      <c r="D118" s="793">
        <f t="shared" ref="D118:E118" si="16">SUM(D113:D117)</f>
        <v>102816739.2</v>
      </c>
      <c r="E118" s="793">
        <f t="shared" si="16"/>
        <v>118694196.62968999</v>
      </c>
      <c r="F118" s="623"/>
      <c r="G118" s="623"/>
      <c r="H118" s="623"/>
      <c r="I118" s="623"/>
    </row>
    <row r="119" spans="1:14" ht="13.9">
      <c r="A119" s="623"/>
      <c r="B119" s="623"/>
      <c r="C119" s="623"/>
      <c r="D119" s="623"/>
      <c r="E119" s="623"/>
      <c r="F119" s="623"/>
      <c r="G119" s="623"/>
      <c r="H119" s="623"/>
      <c r="I119" s="623"/>
    </row>
    <row r="120" spans="1:14" ht="15.6">
      <c r="A120" s="1044" t="s">
        <v>781</v>
      </c>
      <c r="B120" s="1044"/>
      <c r="C120" s="1044"/>
      <c r="D120" s="1044"/>
      <c r="E120" s="1044"/>
      <c r="F120" s="1044"/>
      <c r="G120" s="1044"/>
      <c r="H120" s="1044"/>
      <c r="I120" s="1044"/>
    </row>
    <row r="121" spans="1:14" ht="13.9">
      <c r="A121" s="623"/>
      <c r="B121" s="623"/>
      <c r="C121" s="623"/>
      <c r="D121" s="623"/>
      <c r="E121" s="623"/>
      <c r="F121" s="623"/>
      <c r="G121" s="623"/>
      <c r="H121" s="623"/>
      <c r="I121" s="623"/>
    </row>
    <row r="122" spans="1:14" ht="13.9">
      <c r="A122" s="623"/>
      <c r="B122" s="623"/>
      <c r="C122" s="623"/>
      <c r="D122" s="623"/>
      <c r="E122" s="623"/>
      <c r="F122" s="623"/>
      <c r="G122" s="623"/>
      <c r="H122" s="623"/>
      <c r="I122" s="623"/>
    </row>
    <row r="123" spans="1:14" ht="15.6">
      <c r="A123" s="1044" t="s">
        <v>782</v>
      </c>
      <c r="B123" s="1044"/>
      <c r="C123" s="1044"/>
      <c r="D123" s="1044"/>
      <c r="E123" s="1044"/>
      <c r="F123" s="1044"/>
      <c r="G123" s="1044"/>
      <c r="H123" s="1044"/>
      <c r="I123" s="1044"/>
    </row>
    <row r="124" spans="1:14" ht="13.9">
      <c r="A124" s="623"/>
      <c r="B124" s="623"/>
      <c r="C124" s="623"/>
      <c r="D124" s="623"/>
      <c r="E124" s="623"/>
      <c r="F124" s="623"/>
      <c r="G124" s="623"/>
      <c r="H124" s="623"/>
      <c r="I124" s="623"/>
    </row>
    <row r="125" spans="1:14" ht="13.9">
      <c r="A125" s="623"/>
      <c r="B125" s="623"/>
      <c r="C125" s="623"/>
      <c r="D125" s="623"/>
      <c r="E125" s="623"/>
      <c r="F125" s="623"/>
      <c r="G125" s="623"/>
      <c r="H125" s="623"/>
      <c r="I125" s="623"/>
    </row>
    <row r="126" spans="1:14" ht="13.9">
      <c r="A126" s="623"/>
      <c r="B126" s="623"/>
      <c r="C126" s="623"/>
      <c r="D126" s="623"/>
      <c r="E126" s="623"/>
      <c r="F126" s="623"/>
      <c r="G126" s="623"/>
      <c r="H126" s="684"/>
      <c r="I126" s="623"/>
      <c r="J126" s="623"/>
      <c r="K126" s="623"/>
      <c r="L126" s="623"/>
      <c r="M126" s="159"/>
    </row>
    <row r="127" spans="1:14" ht="14.45">
      <c r="A127" s="685" t="s">
        <v>783</v>
      </c>
      <c r="B127" s="623"/>
      <c r="C127" s="623"/>
      <c r="D127" s="623"/>
      <c r="E127" s="623"/>
      <c r="F127" s="623"/>
      <c r="G127" s="656"/>
      <c r="H127" s="781">
        <f>B118*(1+21%)</f>
        <v>17470279.0031</v>
      </c>
      <c r="I127" s="623"/>
      <c r="J127" s="623" t="s">
        <v>784</v>
      </c>
      <c r="K127" s="623"/>
      <c r="L127" s="687"/>
      <c r="M127" s="801">
        <f>H127/'E-Inv AF y Am'!G57</f>
        <v>0.14703080301181806</v>
      </c>
      <c r="N127" s="159"/>
    </row>
    <row r="128" spans="1:14" ht="13.9">
      <c r="A128" s="623"/>
      <c r="B128" s="623"/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159"/>
    </row>
    <row r="129" spans="1:12" ht="14.45">
      <c r="A129" s="623"/>
      <c r="B129" s="623"/>
      <c r="C129" s="686" t="s">
        <v>785</v>
      </c>
      <c r="D129" s="623"/>
      <c r="E129" s="623"/>
      <c r="F129" s="623"/>
      <c r="G129" s="623"/>
      <c r="H129" s="623"/>
      <c r="I129" s="623"/>
      <c r="J129" s="623"/>
      <c r="K129" s="623"/>
      <c r="L129" s="623"/>
    </row>
    <row r="130" spans="1:12" ht="14.45">
      <c r="A130" s="623"/>
      <c r="B130" s="623"/>
      <c r="C130" s="686" t="s">
        <v>786</v>
      </c>
      <c r="D130" s="623"/>
      <c r="E130" s="623"/>
      <c r="F130" s="623"/>
      <c r="G130" s="623"/>
      <c r="H130" s="623"/>
      <c r="I130" s="623"/>
      <c r="J130" s="623"/>
      <c r="K130" s="623"/>
      <c r="L130" s="623"/>
    </row>
    <row r="131" spans="1:12" ht="14.45">
      <c r="A131" s="623"/>
      <c r="B131" s="623"/>
      <c r="C131" s="686" t="s">
        <v>787</v>
      </c>
      <c r="D131" s="623"/>
      <c r="E131" s="623"/>
      <c r="F131" s="623"/>
      <c r="G131" s="623"/>
      <c r="H131" s="623"/>
      <c r="I131" s="623"/>
      <c r="J131" s="623"/>
      <c r="K131" s="623"/>
      <c r="L131" s="623"/>
    </row>
    <row r="132" spans="1:12" ht="14.45">
      <c r="A132" s="623"/>
      <c r="B132" s="623"/>
      <c r="C132" s="686" t="s">
        <v>788</v>
      </c>
      <c r="D132" s="623"/>
      <c r="E132" s="623"/>
      <c r="F132" s="623"/>
      <c r="G132" s="623"/>
      <c r="H132" s="623"/>
      <c r="I132" s="623"/>
      <c r="J132" s="623"/>
      <c r="K132" s="623"/>
      <c r="L132" s="623"/>
    </row>
    <row r="133" spans="1:12" ht="13.9">
      <c r="A133" s="623"/>
      <c r="B133" s="623"/>
      <c r="C133" s="623"/>
      <c r="D133" s="623"/>
      <c r="E133" s="623"/>
      <c r="F133" s="623"/>
      <c r="G133" s="623"/>
      <c r="H133" s="623"/>
      <c r="I133" s="623"/>
      <c r="J133" s="623"/>
      <c r="K133" s="623"/>
      <c r="L133" s="623"/>
    </row>
    <row r="135" spans="1:12" ht="15.6">
      <c r="A135" s="1044" t="s">
        <v>789</v>
      </c>
      <c r="B135" s="1044"/>
      <c r="C135" s="1044"/>
      <c r="D135" s="1044"/>
      <c r="E135" s="1044"/>
      <c r="F135" s="1044"/>
      <c r="G135" s="1044"/>
      <c r="H135" s="1044"/>
      <c r="I135" s="1044"/>
    </row>
    <row r="136" spans="1:12" ht="13.9">
      <c r="A136" s="623"/>
      <c r="B136" s="623"/>
      <c r="C136" s="623"/>
      <c r="D136" s="623"/>
      <c r="E136" s="623"/>
      <c r="F136" s="623"/>
      <c r="G136" s="623"/>
      <c r="H136" s="623"/>
      <c r="I136" s="623"/>
    </row>
    <row r="137" spans="1:12" ht="15.6">
      <c r="A137" s="1044" t="s">
        <v>790</v>
      </c>
      <c r="B137" s="1044"/>
      <c r="C137" s="1044"/>
      <c r="D137" s="1044"/>
      <c r="E137" s="1044"/>
      <c r="F137" s="1044"/>
      <c r="G137" s="1044"/>
      <c r="H137" s="1044"/>
      <c r="I137" s="1044"/>
    </row>
    <row r="138" spans="1:12" ht="13.9">
      <c r="A138" s="623"/>
      <c r="B138" s="684"/>
      <c r="C138" s="684"/>
      <c r="D138" s="684"/>
      <c r="E138" s="684"/>
      <c r="F138" s="684"/>
      <c r="G138" s="684"/>
      <c r="H138" s="623"/>
      <c r="I138" s="623"/>
    </row>
    <row r="139" spans="1:12" ht="13.9">
      <c r="A139" s="656"/>
      <c r="B139" s="722" t="s">
        <v>775</v>
      </c>
      <c r="C139" s="629" t="s">
        <v>791</v>
      </c>
      <c r="D139" s="629" t="s">
        <v>792</v>
      </c>
      <c r="E139" s="629" t="s">
        <v>793</v>
      </c>
      <c r="F139" s="629" t="s">
        <v>20</v>
      </c>
      <c r="G139" s="828" t="s">
        <v>794</v>
      </c>
      <c r="H139" s="623"/>
      <c r="I139" s="623"/>
    </row>
    <row r="140" spans="1:12" ht="13.9">
      <c r="A140" s="656"/>
      <c r="B140" s="625">
        <v>1</v>
      </c>
      <c r="C140" s="825">
        <f>'E-Costos'!F186</f>
        <v>1307865084.4429204</v>
      </c>
      <c r="D140" s="825">
        <f>'E-Costos'!E186</f>
        <v>126343830.98652369</v>
      </c>
      <c r="E140" s="826">
        <f>E113</f>
        <v>36812134.600604668</v>
      </c>
      <c r="F140" s="825">
        <f>'E-Costos'!D186</f>
        <v>1417500000</v>
      </c>
      <c r="G140" s="827">
        <f>(E140+D140)/(F140-C140)</f>
        <v>1.4881752291967969</v>
      </c>
      <c r="H140" s="723"/>
      <c r="I140" s="623"/>
    </row>
    <row r="141" spans="1:12" ht="13.9">
      <c r="A141" s="656"/>
      <c r="B141" s="625">
        <v>2</v>
      </c>
      <c r="C141" s="825">
        <f>'E-Costos'!$F$211</f>
        <v>3517907695.6225805</v>
      </c>
      <c r="D141" s="825">
        <f>'E-Costos'!$E$192</f>
        <v>143225121.9415237</v>
      </c>
      <c r="E141" s="826">
        <f>E114</f>
        <v>34400053.07560467</v>
      </c>
      <c r="F141" s="825">
        <f>'E-Costos'!$D$211</f>
        <v>1984500000</v>
      </c>
      <c r="G141" s="827">
        <f>(E141+D141)/(F141-C141)</f>
        <v>-0.11583688768759608</v>
      </c>
      <c r="H141" s="723"/>
      <c r="I141" s="623"/>
    </row>
    <row r="142" spans="1:12" ht="13.9">
      <c r="A142" s="656"/>
      <c r="B142" s="625">
        <v>3</v>
      </c>
      <c r="C142" s="825">
        <f>'E-Costos'!$F$211</f>
        <v>3517907695.6225805</v>
      </c>
      <c r="D142" s="825">
        <f>'E-Costos'!$E$192</f>
        <v>143225121.9415237</v>
      </c>
      <c r="E142" s="826">
        <f>E115</f>
        <v>26717944.375604667</v>
      </c>
      <c r="F142" s="825">
        <f>'E-Costos'!$D$211</f>
        <v>1984500000</v>
      </c>
      <c r="G142" s="827">
        <f>(E142+D142)/(F142-C142)</f>
        <v>-0.11082705975864403</v>
      </c>
      <c r="H142" s="723"/>
      <c r="I142" s="623"/>
    </row>
    <row r="143" spans="1:12" ht="13.9">
      <c r="A143" s="656"/>
      <c r="B143" s="625">
        <v>4</v>
      </c>
      <c r="C143" s="825">
        <f>'E-Costos'!$F$211</f>
        <v>3517907695.6225805</v>
      </c>
      <c r="D143" s="825">
        <f>'E-Costos'!$E$192</f>
        <v>143225121.9415237</v>
      </c>
      <c r="E143" s="826">
        <f>E116</f>
        <v>14223086.638937999</v>
      </c>
      <c r="F143" s="825">
        <f>'E-Costos'!$D$211</f>
        <v>1984500000</v>
      </c>
      <c r="G143" s="827">
        <f>(E143+D143)/(F143-C143)</f>
        <v>-0.10267863467095487</v>
      </c>
      <c r="H143" s="723"/>
      <c r="I143" s="623"/>
    </row>
    <row r="144" spans="1:12" ht="13.9">
      <c r="A144" s="656"/>
      <c r="B144" s="625">
        <v>5</v>
      </c>
      <c r="C144" s="825">
        <f>'E-Costos'!$F$211</f>
        <v>3517907695.6225805</v>
      </c>
      <c r="D144" s="825">
        <f>'E-Costos'!$E$192</f>
        <v>143225121.9415237</v>
      </c>
      <c r="E144" s="826">
        <f>E117</f>
        <v>6540977.9389380002</v>
      </c>
      <c r="F144" s="825">
        <f>'E-Costos'!$D$211</f>
        <v>1984500000</v>
      </c>
      <c r="G144" s="827">
        <f>(E144+D144)/(F144-C144)</f>
        <v>-9.7668806742002817E-2</v>
      </c>
      <c r="H144" s="723"/>
      <c r="I144" s="623"/>
    </row>
    <row r="145" spans="1:9" ht="13.9">
      <c r="A145" s="623"/>
      <c r="B145" s="623"/>
      <c r="C145" s="723"/>
      <c r="D145" s="723"/>
      <c r="E145" s="723"/>
      <c r="F145" s="723"/>
      <c r="G145" s="723"/>
      <c r="H145" s="623"/>
      <c r="I145" s="623"/>
    </row>
    <row r="147" spans="1:9">
      <c r="B147" s="159"/>
      <c r="C147" s="159"/>
      <c r="D147" s="159"/>
      <c r="E147" s="159"/>
      <c r="F147" s="159"/>
      <c r="G147" s="159"/>
    </row>
    <row r="148" spans="1:9" ht="13.9">
      <c r="A148" s="723"/>
      <c r="B148" s="723"/>
      <c r="C148" s="723"/>
      <c r="D148" s="723"/>
      <c r="E148" s="723"/>
      <c r="F148" s="723"/>
      <c r="G148" s="723"/>
      <c r="H148" s="723"/>
      <c r="I148" s="623"/>
    </row>
    <row r="149" spans="1:9" ht="15.6">
      <c r="A149" s="1044" t="s">
        <v>795</v>
      </c>
      <c r="B149" s="1045"/>
      <c r="C149" s="1045"/>
      <c r="D149" s="1045"/>
      <c r="E149" s="1045"/>
      <c r="F149" s="1045"/>
      <c r="G149" s="1045"/>
      <c r="H149" s="1044"/>
      <c r="I149" s="1044"/>
    </row>
    <row r="150" spans="1:9" ht="13.9">
      <c r="A150" s="623"/>
      <c r="B150" s="623"/>
      <c r="C150" s="623"/>
      <c r="D150" s="623"/>
      <c r="E150" s="623"/>
      <c r="F150" s="623"/>
      <c r="G150" s="623"/>
      <c r="H150" s="623"/>
      <c r="I150" s="623"/>
    </row>
    <row r="151" spans="1:9" ht="15.6">
      <c r="A151" s="1044" t="s">
        <v>796</v>
      </c>
      <c r="B151" s="1044"/>
      <c r="C151" s="1044"/>
      <c r="D151" s="1044"/>
      <c r="E151" s="1044"/>
      <c r="F151" s="1044"/>
      <c r="G151" s="1044"/>
      <c r="H151" s="1044"/>
      <c r="I151" s="1044"/>
    </row>
    <row r="152" spans="1:9" ht="13.9">
      <c r="A152" s="623"/>
      <c r="B152" s="623"/>
      <c r="C152" s="623"/>
      <c r="D152" s="623"/>
      <c r="E152" s="623"/>
      <c r="F152" s="623"/>
      <c r="G152" s="623"/>
      <c r="H152" s="623"/>
      <c r="I152" s="623"/>
    </row>
    <row r="153" spans="1:9" ht="15.6">
      <c r="A153" s="1044" t="s">
        <v>797</v>
      </c>
      <c r="B153" s="1044"/>
      <c r="C153" s="1044"/>
      <c r="D153" s="1044"/>
      <c r="E153" s="1044"/>
      <c r="F153" s="1044"/>
      <c r="G153" s="1044"/>
      <c r="H153" s="1044"/>
      <c r="I153" s="1044"/>
    </row>
  </sheetData>
  <mergeCells count="38"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  <mergeCell ref="A153:I153"/>
    <mergeCell ref="A106:I106"/>
    <mergeCell ref="A109:I109"/>
    <mergeCell ref="A120:I120"/>
    <mergeCell ref="A123:I123"/>
    <mergeCell ref="A135:I135"/>
    <mergeCell ref="C88:E88"/>
    <mergeCell ref="A101:D101"/>
    <mergeCell ref="A137:I137"/>
    <mergeCell ref="A149:I149"/>
    <mergeCell ref="A151:I151"/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topLeftCell="A47" workbookViewId="0">
      <selection activeCell="I32" sqref="I32"/>
    </sheetView>
  </sheetViews>
  <sheetFormatPr defaultColWidth="8.85546875" defaultRowHeight="13.15"/>
  <cols>
    <col min="2" max="2" width="22.42578125" customWidth="1"/>
    <col min="8" max="8" width="12.28515625" customWidth="1"/>
    <col min="10" max="10" width="11.5703125" customWidth="1"/>
  </cols>
  <sheetData>
    <row r="1" spans="1:15">
      <c r="A1" s="728"/>
      <c r="B1" s="728" t="s">
        <v>798</v>
      </c>
      <c r="C1" s="729"/>
      <c r="D1" s="729"/>
      <c r="E1" s="729"/>
      <c r="F1" s="729"/>
      <c r="G1" s="728"/>
      <c r="H1" s="728" t="s">
        <v>799</v>
      </c>
      <c r="I1" s="728"/>
      <c r="J1" s="728"/>
      <c r="K1" s="728"/>
      <c r="L1" s="728"/>
      <c r="M1" s="728"/>
      <c r="N1" s="728"/>
      <c r="O1" s="728"/>
    </row>
    <row r="2" spans="1:15">
      <c r="A2" s="1052"/>
      <c r="B2" s="1052"/>
      <c r="C2" s="1052"/>
      <c r="D2" s="1052"/>
      <c r="E2" s="1052"/>
      <c r="F2" s="1052"/>
      <c r="G2" s="728"/>
      <c r="H2" s="728"/>
      <c r="I2" s="728"/>
      <c r="J2" s="728"/>
      <c r="K2" s="728"/>
      <c r="L2" s="728"/>
      <c r="M2" s="728"/>
      <c r="N2" s="728"/>
      <c r="O2" s="728"/>
    </row>
    <row r="3" spans="1:15" ht="27" customHeight="1">
      <c r="A3" s="730" t="s">
        <v>800</v>
      </c>
      <c r="B3" s="731" t="s">
        <v>801</v>
      </c>
      <c r="C3" s="732">
        <v>2065.410711</v>
      </c>
      <c r="D3" s="733" t="s">
        <v>802</v>
      </c>
      <c r="E3" s="734"/>
      <c r="F3" s="729"/>
      <c r="G3" s="735" t="s">
        <v>803</v>
      </c>
      <c r="H3" s="735" t="s">
        <v>804</v>
      </c>
      <c r="I3" s="735" t="s">
        <v>805</v>
      </c>
      <c r="J3" s="735" t="s">
        <v>806</v>
      </c>
      <c r="K3" s="735" t="s">
        <v>807</v>
      </c>
      <c r="L3" s="735" t="s">
        <v>808</v>
      </c>
      <c r="M3" s="229" t="s">
        <v>809</v>
      </c>
      <c r="N3" s="728">
        <f>1890/11.5</f>
        <v>164.34782608695653</v>
      </c>
      <c r="O3" s="728"/>
    </row>
    <row r="4" spans="1:15" ht="25.5" customHeight="1">
      <c r="A4" s="736"/>
      <c r="B4" s="731" t="s">
        <v>810</v>
      </c>
      <c r="C4" s="737">
        <v>0.08</v>
      </c>
      <c r="D4" s="734"/>
      <c r="E4" s="734"/>
      <c r="F4" s="734"/>
      <c r="G4" s="735">
        <v>1</v>
      </c>
      <c r="H4" s="738">
        <v>0</v>
      </c>
      <c r="I4" s="739">
        <v>0.25</v>
      </c>
      <c r="J4" s="740">
        <f>AVERAGE(H4:I4)</f>
        <v>0.125</v>
      </c>
      <c r="K4" s="741">
        <f>$C$6/11.75</f>
        <v>160.85106382978722</v>
      </c>
      <c r="L4" s="741">
        <f>J4*K4</f>
        <v>20.106382978723403</v>
      </c>
      <c r="M4" s="728"/>
      <c r="N4" s="728"/>
      <c r="O4" s="728"/>
    </row>
    <row r="5" spans="1:15" ht="27" customHeight="1">
      <c r="A5" s="736"/>
      <c r="B5" s="731" t="s">
        <v>811</v>
      </c>
      <c r="C5" s="737">
        <v>0</v>
      </c>
      <c r="D5" s="734"/>
      <c r="E5" s="734"/>
      <c r="F5" s="734"/>
      <c r="G5" s="735">
        <v>2</v>
      </c>
      <c r="H5" s="739">
        <v>0.25</v>
      </c>
      <c r="I5" s="739">
        <v>0.55000000000000004</v>
      </c>
      <c r="J5" s="740">
        <f>AVERAGE(H5:I5)</f>
        <v>0.4</v>
      </c>
      <c r="K5" s="741">
        <f t="shared" ref="K5:K6" si="0">$C$6/11.75</f>
        <v>160.85106382978722</v>
      </c>
      <c r="L5" s="741">
        <f>J5*K5</f>
        <v>64.340425531914889</v>
      </c>
      <c r="M5" s="728"/>
      <c r="N5" s="728"/>
      <c r="O5" s="728"/>
    </row>
    <row r="6" spans="1:15" ht="19.5" customHeight="1">
      <c r="A6" s="736"/>
      <c r="B6" s="731" t="s">
        <v>812</v>
      </c>
      <c r="C6" s="742">
        <v>1890</v>
      </c>
      <c r="D6" s="733" t="s">
        <v>802</v>
      </c>
      <c r="E6" s="734"/>
      <c r="F6" s="734"/>
      <c r="G6" s="735">
        <v>3</v>
      </c>
      <c r="H6" s="739">
        <v>0.55000000000000004</v>
      </c>
      <c r="I6" s="739">
        <v>1</v>
      </c>
      <c r="J6" s="740">
        <f t="shared" ref="J6" si="1">AVERAGE(H6:I6)</f>
        <v>0.77500000000000002</v>
      </c>
      <c r="K6" s="741">
        <f t="shared" si="0"/>
        <v>160.85106382978722</v>
      </c>
      <c r="L6" s="741">
        <f>J6*K6</f>
        <v>124.6595744680851</v>
      </c>
      <c r="M6" s="728"/>
      <c r="N6" s="728"/>
      <c r="O6" s="728"/>
    </row>
    <row r="7" spans="1:15" ht="27" customHeight="1">
      <c r="A7" s="730" t="s">
        <v>813</v>
      </c>
      <c r="B7" s="731" t="s">
        <v>95</v>
      </c>
      <c r="C7" s="743">
        <v>3</v>
      </c>
      <c r="D7" s="733" t="s">
        <v>710</v>
      </c>
      <c r="E7" s="744">
        <f>11.5-C7</f>
        <v>8.5</v>
      </c>
      <c r="F7" s="734">
        <v>11.5</v>
      </c>
      <c r="G7" s="745"/>
      <c r="H7" s="746"/>
      <c r="I7" s="746"/>
      <c r="J7" s="746"/>
      <c r="K7" s="746"/>
      <c r="L7" s="747">
        <f>SUM(L4:L6)</f>
        <v>209.10638297872339</v>
      </c>
      <c r="M7" s="728"/>
      <c r="N7" s="728"/>
      <c r="O7" s="728"/>
    </row>
    <row r="8" spans="1:15" ht="13.9">
      <c r="A8" s="1053" t="s">
        <v>814</v>
      </c>
      <c r="B8" s="1053"/>
      <c r="C8" s="1053"/>
      <c r="D8" s="1053"/>
      <c r="E8" s="1053"/>
      <c r="F8" s="1053"/>
      <c r="G8" s="728"/>
      <c r="H8" s="728"/>
      <c r="I8" s="728"/>
      <c r="J8" s="229" t="s">
        <v>815</v>
      </c>
      <c r="K8" s="728"/>
      <c r="L8" s="728">
        <f>8.75*K4</f>
        <v>1407.4468085106382</v>
      </c>
      <c r="M8" s="728"/>
      <c r="N8" s="728"/>
      <c r="O8" s="728"/>
    </row>
    <row r="9" spans="1:15" ht="13.9">
      <c r="A9" s="736"/>
      <c r="B9" s="730" t="s">
        <v>816</v>
      </c>
      <c r="C9" s="737">
        <v>0.25</v>
      </c>
      <c r="D9" s="734"/>
      <c r="E9" s="734"/>
      <c r="F9" s="734"/>
      <c r="G9" s="1054" t="s">
        <v>817</v>
      </c>
      <c r="H9" s="229" t="s">
        <v>818</v>
      </c>
      <c r="I9" s="728"/>
      <c r="J9" s="748">
        <f>L7+L8</f>
        <v>1616.5531914893616</v>
      </c>
      <c r="K9" s="728"/>
      <c r="L9" s="728"/>
      <c r="M9" s="728"/>
      <c r="N9" s="728"/>
      <c r="O9" s="728"/>
    </row>
    <row r="10" spans="1:15" ht="13.9">
      <c r="A10" s="736"/>
      <c r="B10" s="730" t="s">
        <v>819</v>
      </c>
      <c r="C10" s="737">
        <v>0.55000000000000004</v>
      </c>
      <c r="D10" s="734"/>
      <c r="E10" s="734"/>
      <c r="F10" s="734"/>
      <c r="G10" s="1054"/>
      <c r="H10" s="229" t="s">
        <v>820</v>
      </c>
      <c r="I10" s="728"/>
      <c r="J10" s="749">
        <f>C6</f>
        <v>1890</v>
      </c>
      <c r="K10" s="728"/>
      <c r="L10" s="728"/>
      <c r="M10" s="728"/>
      <c r="N10" s="728"/>
      <c r="O10" s="728"/>
    </row>
    <row r="11" spans="1:15" ht="13.9">
      <c r="A11" s="736"/>
      <c r="B11" s="730" t="s">
        <v>821</v>
      </c>
      <c r="C11" s="737">
        <v>1</v>
      </c>
      <c r="D11" s="1055" t="s">
        <v>822</v>
      </c>
      <c r="E11" s="1055"/>
      <c r="F11" s="1055"/>
      <c r="G11" s="750" t="s">
        <v>823</v>
      </c>
      <c r="H11" s="229" t="s">
        <v>824</v>
      </c>
      <c r="I11" s="728"/>
      <c r="J11" s="728"/>
      <c r="K11" s="728"/>
      <c r="L11" s="728"/>
      <c r="M11" s="748">
        <f>L7-(1.2-1.1)</f>
        <v>209.00638297872339</v>
      </c>
      <c r="N11" s="728"/>
      <c r="O11" s="728"/>
    </row>
    <row r="12" spans="1:15" ht="13.9">
      <c r="A12" s="730" t="s">
        <v>813</v>
      </c>
      <c r="B12" s="1056" t="s">
        <v>825</v>
      </c>
      <c r="C12" s="1056"/>
      <c r="D12" s="1056"/>
      <c r="E12" s="734"/>
      <c r="F12" s="734"/>
      <c r="G12" s="728"/>
      <c r="H12" s="229" t="s">
        <v>826</v>
      </c>
      <c r="I12" s="728">
        <v>51</v>
      </c>
      <c r="J12" s="728"/>
      <c r="K12" s="728"/>
      <c r="L12" s="728"/>
      <c r="M12" s="728"/>
      <c r="N12" s="728"/>
      <c r="O12" s="728"/>
    </row>
    <row r="13" spans="1:15" ht="13.9">
      <c r="A13" s="730" t="s">
        <v>813</v>
      </c>
      <c r="B13" s="731" t="s">
        <v>827</v>
      </c>
      <c r="C13" s="729"/>
      <c r="D13" s="729"/>
      <c r="E13" s="728"/>
      <c r="F13" s="728"/>
      <c r="G13" s="728"/>
      <c r="H13" s="229" t="s">
        <v>828</v>
      </c>
      <c r="I13" s="728">
        <f>C6/I12</f>
        <v>37.058823529411768</v>
      </c>
      <c r="J13" s="728"/>
      <c r="K13" s="728"/>
      <c r="L13" s="728"/>
      <c r="M13" s="728"/>
      <c r="N13" s="728"/>
      <c r="O13" s="728"/>
    </row>
    <row r="14" spans="1:15">
      <c r="A14" s="736"/>
      <c r="B14" s="728"/>
      <c r="C14" s="729"/>
      <c r="D14" s="729"/>
      <c r="E14" s="728"/>
      <c r="F14" s="728"/>
      <c r="G14" s="728"/>
      <c r="H14" s="229" t="s">
        <v>829</v>
      </c>
      <c r="I14" s="728">
        <f>I13/2</f>
        <v>18.529411764705884</v>
      </c>
      <c r="J14" s="728" t="s">
        <v>386</v>
      </c>
      <c r="K14" s="728"/>
      <c r="L14" s="728"/>
      <c r="M14" s="728"/>
      <c r="N14" s="728"/>
      <c r="O14" s="728"/>
    </row>
    <row r="15" spans="1:15" ht="14.45">
      <c r="A15" s="736"/>
      <c r="B15" s="751"/>
      <c r="C15" s="752"/>
      <c r="D15" s="729"/>
      <c r="E15" s="728"/>
      <c r="F15" s="728"/>
      <c r="G15" s="750" t="s">
        <v>830</v>
      </c>
      <c r="H15" s="229" t="s">
        <v>831</v>
      </c>
      <c r="I15" s="728">
        <f>J9-I14</f>
        <v>1598.0237797246557</v>
      </c>
      <c r="J15" s="728"/>
      <c r="K15" s="728"/>
      <c r="L15" s="728"/>
      <c r="M15" s="728"/>
      <c r="N15" s="728"/>
      <c r="O15" s="728"/>
    </row>
    <row r="16" spans="1:15">
      <c r="A16" s="736"/>
      <c r="B16" s="728"/>
      <c r="C16" s="729"/>
      <c r="D16" s="729"/>
      <c r="E16" s="728"/>
      <c r="F16" s="728"/>
      <c r="G16" s="728"/>
      <c r="H16" s="229" t="s">
        <v>832</v>
      </c>
      <c r="I16" s="749">
        <f>C6</f>
        <v>1890</v>
      </c>
      <c r="J16" s="728"/>
      <c r="K16" s="728"/>
      <c r="L16" s="728"/>
      <c r="M16" s="728"/>
      <c r="N16" s="728"/>
      <c r="O16" s="728"/>
    </row>
    <row r="17" spans="1:15" ht="14.45">
      <c r="A17" s="736"/>
      <c r="B17" s="753" t="s">
        <v>833</v>
      </c>
      <c r="C17" s="754">
        <v>52</v>
      </c>
      <c r="D17" s="729"/>
      <c r="E17" s="728"/>
      <c r="F17" s="728"/>
      <c r="G17" s="750" t="s">
        <v>834</v>
      </c>
      <c r="H17" s="229" t="s">
        <v>835</v>
      </c>
      <c r="I17" s="728">
        <f>C21/5</f>
        <v>48.8</v>
      </c>
      <c r="J17" s="728"/>
      <c r="K17" s="728"/>
      <c r="L17" s="728"/>
      <c r="M17" s="728"/>
      <c r="N17" s="728"/>
      <c r="O17" s="728"/>
    </row>
    <row r="18" spans="1:15" ht="19.5" customHeight="1">
      <c r="A18" s="736"/>
      <c r="B18" s="755" t="s">
        <v>836</v>
      </c>
      <c r="C18" s="756">
        <v>5</v>
      </c>
      <c r="D18" s="729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</row>
    <row r="19" spans="1:15" ht="30.75" customHeight="1">
      <c r="A19" s="736"/>
      <c r="B19" s="755" t="s">
        <v>837</v>
      </c>
      <c r="C19" s="756">
        <v>5</v>
      </c>
      <c r="D19" s="729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</row>
    <row r="20" spans="1:15" ht="26.25" customHeight="1">
      <c r="A20" s="736"/>
      <c r="B20" s="755" t="s">
        <v>838</v>
      </c>
      <c r="C20" s="756">
        <v>11</v>
      </c>
      <c r="D20" s="729"/>
      <c r="E20" s="728"/>
      <c r="F20" s="728"/>
      <c r="G20" s="728"/>
      <c r="H20" s="229" t="s">
        <v>839</v>
      </c>
      <c r="I20" s="728"/>
      <c r="J20" s="728">
        <f>J9</f>
        <v>1616.5531914893616</v>
      </c>
      <c r="K20" s="229" t="s">
        <v>840</v>
      </c>
      <c r="L20" s="728"/>
      <c r="M20" s="728"/>
      <c r="N20" s="728"/>
      <c r="O20" s="728"/>
    </row>
    <row r="21" spans="1:15" ht="14.45">
      <c r="A21" s="736"/>
      <c r="B21" s="755" t="s">
        <v>189</v>
      </c>
      <c r="C21" s="756">
        <f>C17*C18-C19-C20</f>
        <v>244</v>
      </c>
      <c r="D21" s="729"/>
      <c r="E21" s="728"/>
      <c r="F21" s="728"/>
      <c r="G21" s="728"/>
      <c r="H21" s="229"/>
      <c r="I21" s="728"/>
      <c r="J21" s="728"/>
      <c r="K21" s="728"/>
      <c r="L21" s="728"/>
      <c r="M21" s="728"/>
      <c r="N21" s="728"/>
      <c r="O21" s="728"/>
    </row>
    <row r="22" spans="1:15">
      <c r="A22" s="736"/>
      <c r="B22" s="736"/>
      <c r="C22" s="728"/>
      <c r="D22" s="728"/>
      <c r="E22" s="728"/>
      <c r="F22" s="728"/>
      <c r="G22" s="728"/>
      <c r="H22" s="229" t="s">
        <v>841</v>
      </c>
      <c r="I22" s="728"/>
      <c r="J22" s="728">
        <f>C3/C21*5</f>
        <v>42.323989979508198</v>
      </c>
      <c r="K22" s="229" t="s">
        <v>842</v>
      </c>
      <c r="L22" s="728"/>
      <c r="M22" s="728"/>
      <c r="N22" s="728"/>
      <c r="O22" s="728"/>
    </row>
    <row r="23" spans="1:15" ht="13.9">
      <c r="A23" s="730"/>
      <c r="B23" s="731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</row>
    <row r="24" spans="1:15" ht="41.25" customHeight="1">
      <c r="A24" s="730" t="s">
        <v>813</v>
      </c>
      <c r="B24" s="731" t="s">
        <v>35</v>
      </c>
      <c r="C24" s="737">
        <v>0.4</v>
      </c>
      <c r="D24" s="1055" t="s">
        <v>843</v>
      </c>
      <c r="E24" s="1055"/>
      <c r="F24" s="1055"/>
      <c r="G24" s="728"/>
      <c r="H24" s="229" t="s">
        <v>844</v>
      </c>
      <c r="I24" s="728"/>
      <c r="J24" s="728">
        <f>J22+J20</f>
        <v>1658.8771814688698</v>
      </c>
      <c r="K24" s="728"/>
      <c r="L24" s="728"/>
      <c r="M24" s="728"/>
      <c r="N24" s="728"/>
      <c r="O24" s="728"/>
    </row>
    <row r="25" spans="1:15" ht="39.6">
      <c r="A25" s="730" t="s">
        <v>813</v>
      </c>
      <c r="B25" s="1056" t="s">
        <v>845</v>
      </c>
      <c r="C25" s="1056"/>
      <c r="D25" s="729"/>
      <c r="E25" s="729"/>
      <c r="F25" s="729"/>
      <c r="G25" s="728"/>
      <c r="H25" s="229" t="s">
        <v>846</v>
      </c>
      <c r="I25" s="728"/>
      <c r="J25" s="749">
        <f>J10*1</f>
        <v>1890</v>
      </c>
      <c r="K25" s="728" t="s">
        <v>847</v>
      </c>
      <c r="L25" s="728"/>
      <c r="M25" s="728"/>
      <c r="N25" s="728"/>
      <c r="O25" s="728"/>
    </row>
    <row r="26" spans="1:15" ht="13.9">
      <c r="A26" s="730" t="s">
        <v>813</v>
      </c>
      <c r="B26" s="1050" t="s">
        <v>848</v>
      </c>
      <c r="C26" s="1050"/>
      <c r="D26" s="1050"/>
      <c r="E26" s="1050"/>
      <c r="F26" s="1050"/>
      <c r="G26" s="750" t="s">
        <v>849</v>
      </c>
      <c r="H26" s="229" t="s">
        <v>850</v>
      </c>
      <c r="I26" s="728"/>
      <c r="J26" s="728"/>
      <c r="K26" s="728"/>
      <c r="L26" s="728"/>
      <c r="M26" s="728"/>
      <c r="N26" s="728"/>
      <c r="O26" s="728"/>
    </row>
    <row r="27" spans="1:15" ht="25.5" customHeight="1">
      <c r="A27" s="728"/>
      <c r="B27" s="728"/>
      <c r="C27" s="729"/>
      <c r="D27" s="729"/>
      <c r="E27" s="729"/>
      <c r="F27" s="729"/>
      <c r="G27" s="728"/>
      <c r="H27" s="229" t="s">
        <v>851</v>
      </c>
      <c r="I27" s="728"/>
      <c r="J27" s="728"/>
      <c r="K27" s="757">
        <f>J10/11.75</f>
        <v>160.85106382978722</v>
      </c>
      <c r="L27" s="728" t="s">
        <v>852</v>
      </c>
      <c r="M27" s="728"/>
      <c r="N27" s="728"/>
      <c r="O27" s="728"/>
    </row>
    <row r="28" spans="1:15" ht="13.9">
      <c r="A28" s="1051"/>
      <c r="B28" s="758"/>
      <c r="C28" s="759" t="s">
        <v>853</v>
      </c>
      <c r="D28" s="759" t="s">
        <v>14</v>
      </c>
      <c r="E28" s="759" t="s">
        <v>2</v>
      </c>
      <c r="F28" s="760" t="s">
        <v>854</v>
      </c>
      <c r="G28" s="728"/>
      <c r="H28" s="229" t="s">
        <v>855</v>
      </c>
      <c r="I28" s="728"/>
      <c r="J28" s="728"/>
      <c r="K28" s="728"/>
      <c r="L28" s="728"/>
      <c r="M28" s="728"/>
      <c r="N28" s="728"/>
      <c r="O28" s="728"/>
    </row>
    <row r="29" spans="1:15" ht="13.9">
      <c r="A29" s="1051"/>
      <c r="B29" s="761" t="s">
        <v>20</v>
      </c>
      <c r="C29" s="759" t="s">
        <v>856</v>
      </c>
      <c r="D29" s="762"/>
      <c r="E29" s="763">
        <f>I15</f>
        <v>1598.0237797246557</v>
      </c>
      <c r="F29" s="764">
        <f>I16</f>
        <v>1890</v>
      </c>
      <c r="G29" s="728"/>
      <c r="H29" s="229" t="s">
        <v>857</v>
      </c>
      <c r="I29" s="728"/>
      <c r="J29" s="728"/>
      <c r="K29" s="728"/>
      <c r="L29" s="728"/>
      <c r="M29" s="728"/>
      <c r="N29" s="728"/>
      <c r="O29" s="728"/>
    </row>
    <row r="30" spans="1:15" ht="35.25" customHeight="1">
      <c r="A30" s="1051"/>
      <c r="B30" s="761" t="s">
        <v>24</v>
      </c>
      <c r="C30" s="759" t="s">
        <v>856</v>
      </c>
      <c r="D30" s="762"/>
      <c r="E30" s="765">
        <f>I13</f>
        <v>37.058823529411768</v>
      </c>
      <c r="F30" s="735">
        <f>E30</f>
        <v>37.058823529411768</v>
      </c>
      <c r="G30" s="728"/>
      <c r="H30" s="766" t="s">
        <v>51</v>
      </c>
      <c r="I30" s="766" t="s">
        <v>858</v>
      </c>
      <c r="J30" s="767" t="s">
        <v>859</v>
      </c>
      <c r="K30" s="728"/>
      <c r="L30" s="728"/>
      <c r="M30" s="728"/>
      <c r="N30" s="728"/>
      <c r="O30" s="728"/>
    </row>
    <row r="31" spans="1:15" ht="13.9">
      <c r="A31" s="1051"/>
      <c r="B31" s="761" t="s">
        <v>26</v>
      </c>
      <c r="C31" s="759" t="s">
        <v>856</v>
      </c>
      <c r="D31" s="762"/>
      <c r="E31" s="763">
        <f>J9</f>
        <v>1616.5531914893616</v>
      </c>
      <c r="F31" s="768">
        <f>F29</f>
        <v>1890</v>
      </c>
      <c r="G31" s="728"/>
      <c r="H31" s="766" t="s">
        <v>860</v>
      </c>
      <c r="I31" s="769">
        <f>K27</f>
        <v>160.85106382978722</v>
      </c>
      <c r="J31" s="769">
        <f>I31</f>
        <v>160.85106382978722</v>
      </c>
      <c r="K31" s="728">
        <f>(I31*1000)/20</f>
        <v>8042.5531914893609</v>
      </c>
      <c r="L31" s="728" t="s">
        <v>861</v>
      </c>
      <c r="M31" s="728"/>
      <c r="N31" s="728"/>
      <c r="O31" s="728"/>
    </row>
    <row r="32" spans="1:15" ht="19.5" customHeight="1">
      <c r="A32" s="1051"/>
      <c r="B32" s="770" t="s">
        <v>30</v>
      </c>
      <c r="C32" s="759" t="s">
        <v>856</v>
      </c>
      <c r="D32" s="762"/>
      <c r="E32" s="763">
        <v>0</v>
      </c>
      <c r="F32" s="771">
        <v>0</v>
      </c>
      <c r="G32" s="728"/>
      <c r="H32" s="766" t="s">
        <v>862</v>
      </c>
      <c r="I32" s="769">
        <f>(I31+J31)-(161*2/3)</f>
        <v>214.36879432624113</v>
      </c>
      <c r="J32" s="767">
        <v>107</v>
      </c>
      <c r="K32" s="728"/>
      <c r="L32" s="728"/>
      <c r="M32" s="728"/>
      <c r="N32" s="728"/>
      <c r="O32" s="728"/>
    </row>
    <row r="33" spans="1:15" ht="23.25" customHeight="1">
      <c r="A33" s="1051"/>
      <c r="B33" s="770" t="s">
        <v>32</v>
      </c>
      <c r="C33" s="759" t="s">
        <v>856</v>
      </c>
      <c r="D33" s="762"/>
      <c r="E33" s="763">
        <f>J22</f>
        <v>42.323989979508198</v>
      </c>
      <c r="F33" s="772">
        <f>J22</f>
        <v>42.323989979508198</v>
      </c>
      <c r="G33" s="728"/>
      <c r="H33" s="766" t="s">
        <v>863</v>
      </c>
      <c r="I33" s="769">
        <f>I32+J32-I31</f>
        <v>160.51773049645391</v>
      </c>
      <c r="J33" s="767">
        <v>161</v>
      </c>
      <c r="K33" s="728"/>
      <c r="L33" s="728"/>
      <c r="M33" s="728"/>
      <c r="N33" s="728"/>
      <c r="O33" s="728"/>
    </row>
    <row r="34" spans="1:15" ht="30" customHeight="1">
      <c r="A34" s="1051"/>
      <c r="B34" s="770" t="s">
        <v>34</v>
      </c>
      <c r="C34" s="759" t="s">
        <v>856</v>
      </c>
      <c r="D34" s="762"/>
      <c r="E34" s="773">
        <f>SUM(E31:E33)</f>
        <v>1658.8771814688698</v>
      </c>
      <c r="F34" s="774">
        <f>F31+F32</f>
        <v>1890</v>
      </c>
      <c r="G34" s="728"/>
      <c r="H34" s="766" t="s">
        <v>864</v>
      </c>
      <c r="I34" s="769">
        <v>161</v>
      </c>
      <c r="J34" s="767">
        <v>161</v>
      </c>
      <c r="K34" s="728"/>
      <c r="L34" s="728"/>
      <c r="M34" s="728"/>
      <c r="N34" s="728"/>
      <c r="O34" s="728"/>
    </row>
    <row r="35" spans="1:15" ht="24.75" customHeight="1">
      <c r="A35" s="1051"/>
      <c r="B35" s="770" t="s">
        <v>35</v>
      </c>
      <c r="C35" s="759" t="s">
        <v>856</v>
      </c>
      <c r="D35" s="762"/>
      <c r="E35" s="773">
        <f>I44</f>
        <v>165.39479905437352</v>
      </c>
      <c r="F35" s="773">
        <f>I44</f>
        <v>165.39479905437352</v>
      </c>
      <c r="G35" s="728"/>
      <c r="H35" s="766" t="s">
        <v>865</v>
      </c>
      <c r="I35" s="769">
        <v>161</v>
      </c>
      <c r="J35" s="767">
        <v>161</v>
      </c>
      <c r="K35" s="728"/>
      <c r="L35" s="728"/>
      <c r="M35" s="728"/>
      <c r="N35" s="728"/>
      <c r="O35" s="728"/>
    </row>
    <row r="36" spans="1:15" ht="20.25" customHeight="1">
      <c r="A36" s="1051"/>
      <c r="B36" s="770" t="s">
        <v>37</v>
      </c>
      <c r="C36" s="759" t="s">
        <v>856</v>
      </c>
      <c r="D36" s="762">
        <f>J20</f>
        <v>1616.5531914893616</v>
      </c>
      <c r="E36" s="773">
        <f>E34+E35-D36</f>
        <v>207.71878903388188</v>
      </c>
      <c r="F36" s="773">
        <f>F34-E36</f>
        <v>1682.2812109661181</v>
      </c>
      <c r="G36" s="728"/>
      <c r="H36" s="766" t="s">
        <v>866</v>
      </c>
      <c r="I36" s="769">
        <v>161</v>
      </c>
      <c r="J36" s="767">
        <v>161</v>
      </c>
      <c r="K36" s="728"/>
      <c r="L36" s="728"/>
      <c r="M36" s="728"/>
      <c r="N36" s="728"/>
      <c r="O36" s="728"/>
    </row>
    <row r="37" spans="1:15">
      <c r="A37" s="728"/>
      <c r="B37" s="728"/>
      <c r="C37" s="728"/>
      <c r="D37" s="728"/>
      <c r="E37" s="728"/>
      <c r="F37" s="728"/>
      <c r="G37" s="728"/>
      <c r="H37" s="766" t="s">
        <v>867</v>
      </c>
      <c r="I37" s="769">
        <v>161</v>
      </c>
      <c r="J37" s="767">
        <v>161</v>
      </c>
      <c r="K37" s="728"/>
      <c r="L37" s="728"/>
      <c r="M37" s="728"/>
      <c r="N37" s="728"/>
      <c r="O37" s="728"/>
    </row>
    <row r="38" spans="1:15">
      <c r="A38" s="728"/>
      <c r="B38" s="728"/>
      <c r="C38" s="728"/>
      <c r="D38" s="728"/>
      <c r="E38" s="728"/>
      <c r="F38" s="728"/>
      <c r="G38" s="728"/>
      <c r="H38" s="766" t="s">
        <v>868</v>
      </c>
      <c r="I38" s="769">
        <v>161</v>
      </c>
      <c r="J38" s="767">
        <v>161</v>
      </c>
      <c r="K38" s="728"/>
      <c r="L38" s="728"/>
      <c r="M38" s="728"/>
      <c r="N38" s="728"/>
      <c r="O38" s="728"/>
    </row>
    <row r="39" spans="1:15">
      <c r="A39" s="728"/>
      <c r="B39" s="728"/>
      <c r="C39" s="728"/>
      <c r="D39" s="728"/>
      <c r="E39" s="728"/>
      <c r="F39" s="728"/>
      <c r="G39" s="728"/>
      <c r="H39" s="766" t="s">
        <v>869</v>
      </c>
      <c r="I39" s="769">
        <v>161</v>
      </c>
      <c r="J39" s="767">
        <v>161</v>
      </c>
      <c r="K39" s="728"/>
      <c r="L39" s="728"/>
      <c r="M39" s="728"/>
      <c r="N39" s="728"/>
      <c r="O39" s="728"/>
    </row>
    <row r="40" spans="1:15">
      <c r="A40" s="728"/>
      <c r="B40" s="728"/>
      <c r="C40" s="728"/>
      <c r="D40" s="728"/>
      <c r="E40" s="728"/>
      <c r="F40" s="728"/>
      <c r="G40" s="728"/>
      <c r="H40" s="766" t="s">
        <v>870</v>
      </c>
      <c r="I40" s="769">
        <v>161</v>
      </c>
      <c r="J40" s="767">
        <v>161</v>
      </c>
      <c r="K40" s="728"/>
      <c r="L40" s="728"/>
      <c r="M40" s="728"/>
      <c r="N40" s="728"/>
      <c r="O40" s="728"/>
    </row>
    <row r="41" spans="1:15">
      <c r="A41" s="728"/>
      <c r="B41" s="728"/>
      <c r="C41" s="729"/>
      <c r="D41" s="729"/>
      <c r="E41" s="729"/>
      <c r="F41" s="729"/>
      <c r="G41" s="728"/>
      <c r="H41" s="766" t="s">
        <v>871</v>
      </c>
      <c r="I41" s="769">
        <v>161</v>
      </c>
      <c r="J41" s="767">
        <v>161</v>
      </c>
      <c r="K41" s="728"/>
      <c r="L41" s="728"/>
      <c r="M41" s="728"/>
      <c r="N41" s="728"/>
      <c r="O41" s="728"/>
    </row>
    <row r="42" spans="1:15">
      <c r="A42" s="728"/>
      <c r="B42" s="728"/>
      <c r="C42" s="729"/>
      <c r="D42" s="729"/>
      <c r="E42" s="729"/>
      <c r="F42" s="729"/>
      <c r="G42" s="728"/>
      <c r="H42" s="766" t="s">
        <v>872</v>
      </c>
      <c r="I42" s="769">
        <v>161</v>
      </c>
      <c r="J42" s="767">
        <v>161</v>
      </c>
      <c r="K42" s="728"/>
      <c r="L42" s="728"/>
      <c r="M42" s="728"/>
      <c r="N42" s="728"/>
      <c r="O42" s="728"/>
    </row>
    <row r="43" spans="1:15">
      <c r="A43" s="728"/>
      <c r="B43" s="728"/>
      <c r="C43" s="729"/>
      <c r="D43" s="729"/>
      <c r="E43" s="729"/>
      <c r="F43" s="729"/>
      <c r="G43" s="728"/>
      <c r="H43" s="728"/>
      <c r="I43" s="728"/>
      <c r="J43" s="728"/>
      <c r="K43" s="728"/>
      <c r="L43" s="728"/>
      <c r="M43" s="728"/>
      <c r="N43" s="728"/>
      <c r="O43" s="728"/>
    </row>
    <row r="44" spans="1:15">
      <c r="A44" s="728"/>
      <c r="B44" s="728"/>
      <c r="C44" s="729"/>
      <c r="D44" s="729"/>
      <c r="E44" s="729"/>
      <c r="F44" s="729"/>
      <c r="G44" s="728" t="s">
        <v>873</v>
      </c>
      <c r="H44" s="229" t="s">
        <v>824</v>
      </c>
      <c r="I44" s="757">
        <f>SUM(I31:I42)/12</f>
        <v>165.39479905437352</v>
      </c>
      <c r="J44" s="728" t="s">
        <v>874</v>
      </c>
      <c r="K44" s="775">
        <f>I44/K27</f>
        <v>1.0282480893592005</v>
      </c>
      <c r="L44" s="229" t="s">
        <v>875</v>
      </c>
      <c r="M44" s="728"/>
      <c r="N44" s="728"/>
      <c r="O44" s="728"/>
    </row>
    <row r="45" spans="1:15">
      <c r="A45" s="728"/>
      <c r="B45" s="728"/>
      <c r="C45" s="729"/>
      <c r="D45" s="729"/>
      <c r="E45" s="729"/>
      <c r="F45" s="729"/>
      <c r="G45" s="728"/>
      <c r="H45" s="728"/>
      <c r="I45" s="728"/>
      <c r="J45" s="728"/>
      <c r="K45" s="728"/>
      <c r="L45" s="728"/>
      <c r="M45" s="728"/>
      <c r="N45" s="728"/>
      <c r="O45" s="728"/>
    </row>
    <row r="46" spans="1:15">
      <c r="A46" s="728"/>
      <c r="B46" s="728"/>
      <c r="C46" s="729"/>
      <c r="D46" s="729"/>
      <c r="E46" s="729"/>
      <c r="F46" s="729"/>
      <c r="G46" s="728"/>
      <c r="H46" s="728"/>
      <c r="I46" s="728"/>
      <c r="J46" s="728"/>
      <c r="K46" s="728"/>
      <c r="L46" s="728"/>
      <c r="M46" s="728"/>
      <c r="N46" s="728"/>
      <c r="O46" s="728"/>
    </row>
    <row r="47" spans="1:15">
      <c r="A47" s="728"/>
      <c r="B47" s="728"/>
      <c r="C47" s="729"/>
      <c r="D47" s="729"/>
      <c r="E47" s="729"/>
      <c r="F47" s="729"/>
      <c r="G47" s="728"/>
      <c r="H47" s="728"/>
      <c r="I47" s="728"/>
      <c r="J47" s="728"/>
      <c r="K47" s="728"/>
      <c r="L47" s="728"/>
      <c r="M47" s="728"/>
      <c r="N47" s="728"/>
      <c r="O47" s="728"/>
    </row>
    <row r="48" spans="1:15">
      <c r="A48" s="728"/>
      <c r="B48" s="728"/>
      <c r="C48" s="729"/>
      <c r="D48" s="729"/>
      <c r="E48" s="729"/>
      <c r="F48" s="729"/>
      <c r="G48" s="728"/>
      <c r="H48" s="728"/>
      <c r="I48" s="728"/>
      <c r="J48" s="728"/>
      <c r="K48" s="728"/>
      <c r="L48" s="728"/>
      <c r="M48" s="728"/>
      <c r="N48" s="728"/>
      <c r="O48" s="728"/>
    </row>
    <row r="49" spans="1:15">
      <c r="A49" s="728"/>
      <c r="B49" s="728"/>
      <c r="C49" s="729"/>
      <c r="D49" s="729"/>
      <c r="E49" s="729"/>
      <c r="F49" s="729"/>
      <c r="G49" s="728"/>
      <c r="H49" s="728"/>
      <c r="I49" s="728"/>
      <c r="J49" s="728"/>
      <c r="K49" s="728"/>
      <c r="L49" s="728"/>
      <c r="M49" s="728"/>
      <c r="N49" s="728"/>
      <c r="O49" s="728"/>
    </row>
    <row r="50" spans="1:15">
      <c r="A50" s="728"/>
      <c r="B50" s="728"/>
      <c r="C50" s="729"/>
      <c r="D50" s="729"/>
      <c r="E50" s="729"/>
      <c r="F50" s="729"/>
      <c r="G50" s="728"/>
      <c r="H50" s="728"/>
      <c r="I50" s="728"/>
      <c r="J50" s="728"/>
      <c r="K50" s="728"/>
      <c r="L50" s="728"/>
      <c r="M50" s="728"/>
      <c r="N50" s="728"/>
      <c r="O50" s="728"/>
    </row>
    <row r="51" spans="1:15">
      <c r="A51" s="728"/>
      <c r="B51" s="728"/>
      <c r="C51" s="729"/>
      <c r="D51" s="729"/>
      <c r="E51" s="729"/>
      <c r="F51" s="729"/>
      <c r="G51" s="728"/>
      <c r="H51" s="728"/>
      <c r="I51" s="728"/>
      <c r="J51" s="728"/>
      <c r="K51" s="728"/>
      <c r="L51" s="728"/>
      <c r="M51" s="728"/>
      <c r="N51" s="728"/>
      <c r="O51" s="728"/>
    </row>
    <row r="52" spans="1:15">
      <c r="A52" s="728"/>
      <c r="B52" s="728"/>
      <c r="C52" s="729"/>
      <c r="D52" s="729"/>
      <c r="E52" s="729"/>
      <c r="F52" s="729"/>
      <c r="G52" s="728"/>
      <c r="H52" s="728"/>
      <c r="I52" s="728"/>
      <c r="J52" s="728"/>
      <c r="K52" s="728"/>
      <c r="L52" s="728"/>
      <c r="M52" s="728"/>
      <c r="N52" s="728"/>
      <c r="O52" s="728"/>
    </row>
    <row r="53" spans="1:15">
      <c r="A53" s="728"/>
      <c r="B53" s="728"/>
      <c r="C53" s="729"/>
      <c r="D53" s="729"/>
      <c r="E53" s="729"/>
      <c r="F53" s="729"/>
      <c r="G53" s="728"/>
      <c r="H53" s="728"/>
      <c r="I53" s="728"/>
      <c r="J53" s="728"/>
      <c r="K53" s="728"/>
      <c r="L53" s="728"/>
      <c r="M53" s="728"/>
      <c r="N53" s="728"/>
      <c r="O53" s="728"/>
    </row>
    <row r="54" spans="1:15">
      <c r="A54" s="728"/>
      <c r="B54" s="728"/>
      <c r="C54" s="729"/>
      <c r="D54" s="729"/>
      <c r="E54" s="729"/>
      <c r="F54" s="729"/>
      <c r="G54" s="728"/>
      <c r="H54" s="728"/>
      <c r="I54" s="728"/>
      <c r="J54" s="728"/>
      <c r="K54" s="728"/>
      <c r="L54" s="728"/>
      <c r="M54" s="728"/>
      <c r="N54" s="728"/>
      <c r="O54" s="728"/>
    </row>
    <row r="55" spans="1:15">
      <c r="A55" s="728"/>
      <c r="B55" s="728"/>
      <c r="C55" s="729"/>
      <c r="D55" s="729"/>
      <c r="E55" s="729"/>
      <c r="F55" s="729"/>
      <c r="G55" s="728"/>
      <c r="H55" s="728"/>
      <c r="I55" s="728"/>
      <c r="J55" s="728"/>
      <c r="K55" s="728"/>
      <c r="L55" s="728"/>
      <c r="M55" s="728"/>
      <c r="N55" s="728"/>
      <c r="O55" s="728"/>
    </row>
    <row r="56" spans="1:15">
      <c r="A56" s="728"/>
      <c r="B56" s="728"/>
      <c r="C56" s="729"/>
      <c r="D56" s="729"/>
      <c r="E56" s="729"/>
      <c r="F56" s="729"/>
      <c r="G56" s="728"/>
      <c r="H56" s="728"/>
      <c r="I56" s="728"/>
      <c r="J56" s="728"/>
      <c r="K56" s="728"/>
      <c r="L56" s="728"/>
      <c r="M56" s="728"/>
      <c r="N56" s="728"/>
      <c r="O56" s="728"/>
    </row>
    <row r="57" spans="1:15">
      <c r="A57" s="728"/>
      <c r="B57" s="728"/>
      <c r="C57" s="729"/>
      <c r="D57" s="729"/>
      <c r="E57" s="729"/>
      <c r="F57" s="729"/>
      <c r="G57" s="728"/>
      <c r="H57" s="728"/>
      <c r="I57" s="728"/>
      <c r="J57" s="728"/>
      <c r="K57" s="728"/>
      <c r="L57" s="728"/>
      <c r="M57" s="728"/>
      <c r="N57" s="728"/>
      <c r="O57" s="728"/>
    </row>
    <row r="58" spans="1:15">
      <c r="A58" s="728"/>
      <c r="B58" s="728"/>
      <c r="C58" s="729"/>
      <c r="D58" s="729"/>
      <c r="E58" s="729"/>
      <c r="F58" s="729"/>
      <c r="G58" s="728"/>
      <c r="H58" s="728"/>
      <c r="I58" s="728"/>
      <c r="J58" s="728"/>
      <c r="K58" s="728"/>
      <c r="L58" s="728"/>
      <c r="M58" s="728"/>
      <c r="N58" s="728"/>
      <c r="O58" s="728"/>
    </row>
    <row r="59" spans="1:15">
      <c r="A59" s="728"/>
      <c r="B59" s="728"/>
      <c r="C59" s="729"/>
      <c r="D59" s="729"/>
      <c r="E59" s="729"/>
      <c r="F59" s="729"/>
      <c r="G59" s="728"/>
      <c r="H59" s="728"/>
      <c r="I59" s="728"/>
      <c r="J59" s="728"/>
      <c r="K59" s="728"/>
      <c r="L59" s="728"/>
      <c r="M59" s="728"/>
      <c r="N59" s="728"/>
      <c r="O59" s="728"/>
    </row>
    <row r="60" spans="1:15">
      <c r="A60" s="728"/>
      <c r="B60" s="728"/>
      <c r="C60" s="729"/>
      <c r="D60" s="729"/>
      <c r="E60" s="729"/>
      <c r="F60" s="729"/>
      <c r="G60" s="728"/>
      <c r="H60" s="728"/>
      <c r="I60" s="728"/>
      <c r="J60" s="728"/>
      <c r="K60" s="728"/>
      <c r="L60" s="728"/>
      <c r="M60" s="728"/>
      <c r="N60" s="728"/>
      <c r="O60" s="728"/>
    </row>
    <row r="61" spans="1:15">
      <c r="A61" s="728"/>
      <c r="B61" s="728"/>
      <c r="C61" s="729"/>
      <c r="D61" s="729"/>
      <c r="E61" s="729"/>
      <c r="F61" s="729"/>
      <c r="G61" s="728"/>
      <c r="H61" s="728"/>
      <c r="I61" s="728"/>
      <c r="J61" s="728"/>
      <c r="K61" s="728"/>
      <c r="L61" s="728"/>
      <c r="M61" s="728"/>
      <c r="N61" s="728"/>
      <c r="O61" s="728"/>
    </row>
    <row r="62" spans="1:15">
      <c r="A62" s="728"/>
      <c r="B62" s="728"/>
      <c r="C62" s="729"/>
      <c r="D62" s="729"/>
      <c r="E62" s="729"/>
      <c r="F62" s="729"/>
      <c r="G62" s="728"/>
      <c r="H62" s="728"/>
      <c r="I62" s="728"/>
      <c r="J62" s="728"/>
      <c r="K62" s="728"/>
      <c r="L62" s="728"/>
      <c r="M62" s="728"/>
      <c r="N62" s="728"/>
      <c r="O62" s="728"/>
    </row>
    <row r="63" spans="1:15">
      <c r="A63" s="728"/>
      <c r="B63" s="728"/>
      <c r="C63" s="729"/>
      <c r="D63" s="729"/>
      <c r="E63" s="729"/>
      <c r="F63" s="729"/>
      <c r="G63" s="728"/>
      <c r="H63" s="728"/>
      <c r="I63" s="728"/>
      <c r="J63" s="728"/>
      <c r="K63" s="728"/>
      <c r="L63" s="728"/>
      <c r="M63" s="728"/>
      <c r="N63" s="728"/>
      <c r="O63" s="728"/>
    </row>
    <row r="64" spans="1:15">
      <c r="A64" s="728"/>
      <c r="B64" s="728"/>
      <c r="C64" s="729"/>
      <c r="D64" s="729"/>
      <c r="E64" s="729"/>
      <c r="F64" s="729"/>
      <c r="G64" s="728"/>
      <c r="H64" s="728"/>
      <c r="I64" s="728"/>
      <c r="J64" s="728"/>
      <c r="K64" s="728"/>
      <c r="L64" s="728"/>
      <c r="M64" s="728"/>
      <c r="N64" s="728"/>
      <c r="O64" s="728"/>
    </row>
    <row r="65" spans="1:15">
      <c r="A65" s="728"/>
      <c r="B65" s="728"/>
      <c r="C65" s="729"/>
      <c r="D65" s="729"/>
      <c r="E65" s="729"/>
      <c r="F65" s="729"/>
      <c r="G65" s="728"/>
      <c r="H65" s="728"/>
      <c r="I65" s="728"/>
      <c r="J65" s="728"/>
      <c r="K65" s="728"/>
      <c r="L65" s="728"/>
      <c r="M65" s="728"/>
      <c r="N65" s="728"/>
      <c r="O65" s="728"/>
    </row>
    <row r="66" spans="1:15">
      <c r="A66" s="728"/>
      <c r="B66" s="728"/>
      <c r="C66" s="729"/>
      <c r="D66" s="729"/>
      <c r="E66" s="729"/>
      <c r="F66" s="729"/>
      <c r="G66" s="728"/>
      <c r="H66" s="728"/>
      <c r="I66" s="728"/>
      <c r="J66" s="728"/>
      <c r="K66" s="728"/>
      <c r="L66" s="728"/>
      <c r="M66" s="728"/>
      <c r="N66" s="728"/>
      <c r="O66" s="728"/>
    </row>
    <row r="67" spans="1:15">
      <c r="A67" s="728"/>
      <c r="B67" s="728"/>
      <c r="C67" s="729"/>
      <c r="D67" s="729"/>
      <c r="E67" s="729"/>
      <c r="F67" s="729"/>
      <c r="G67" s="728"/>
      <c r="H67" s="728"/>
      <c r="I67" s="728"/>
      <c r="J67" s="728"/>
      <c r="K67" s="728"/>
      <c r="L67" s="728"/>
      <c r="M67" s="728"/>
      <c r="N67" s="728"/>
      <c r="O67" s="728"/>
    </row>
    <row r="68" spans="1:15">
      <c r="A68" s="728"/>
      <c r="B68" s="728"/>
      <c r="C68" s="729"/>
      <c r="D68" s="729"/>
      <c r="E68" s="729"/>
      <c r="F68" s="729"/>
      <c r="G68" s="728"/>
      <c r="H68" s="728"/>
      <c r="I68" s="728"/>
      <c r="J68" s="728"/>
      <c r="K68" s="728"/>
      <c r="L68" s="728"/>
      <c r="M68" s="728"/>
      <c r="N68" s="728"/>
      <c r="O68" s="728"/>
    </row>
    <row r="69" spans="1:15">
      <c r="A69" s="728"/>
      <c r="B69" s="728"/>
      <c r="C69" s="729"/>
      <c r="D69" s="729"/>
      <c r="E69" s="729"/>
      <c r="F69" s="729"/>
      <c r="G69" s="728"/>
      <c r="H69" s="728"/>
      <c r="I69" s="728"/>
      <c r="J69" s="728"/>
      <c r="K69" s="728"/>
      <c r="L69" s="728"/>
      <c r="M69" s="728"/>
      <c r="N69" s="728"/>
      <c r="O69" s="728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topLeftCell="A15" workbookViewId="0">
      <selection activeCell="E20" sqref="E20"/>
    </sheetView>
  </sheetViews>
  <sheetFormatPr defaultColWidth="8.85546875" defaultRowHeight="13.1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60" t="s">
        <v>57</v>
      </c>
      <c r="B1" s="1060"/>
      <c r="C1" s="1060"/>
      <c r="D1" s="1060"/>
      <c r="E1" s="1061"/>
      <c r="F1" s="582">
        <v>9</v>
      </c>
      <c r="G1" s="583" t="s">
        <v>201</v>
      </c>
      <c r="H1" s="158"/>
      <c r="I1" s="158"/>
    </row>
    <row r="2" spans="1:17" ht="15.6">
      <c r="A2" s="584" t="s">
        <v>876</v>
      </c>
      <c r="B2" s="726" t="s">
        <v>201</v>
      </c>
      <c r="C2" s="726" t="s">
        <v>201</v>
      </c>
      <c r="D2" s="726" t="s">
        <v>201</v>
      </c>
      <c r="E2" s="726" t="s">
        <v>201</v>
      </c>
      <c r="F2" s="726" t="s">
        <v>201</v>
      </c>
      <c r="G2" s="727" t="s">
        <v>201</v>
      </c>
      <c r="H2" s="158"/>
      <c r="I2" s="158"/>
    </row>
    <row r="3" spans="1:17">
      <c r="A3" s="875" t="s">
        <v>448</v>
      </c>
      <c r="B3" s="1057" t="s">
        <v>877</v>
      </c>
      <c r="C3" s="1058"/>
      <c r="D3" s="1057" t="s">
        <v>878</v>
      </c>
      <c r="E3" s="1059"/>
      <c r="F3" s="1058" t="s">
        <v>879</v>
      </c>
      <c r="G3" s="1059"/>
      <c r="H3" s="158"/>
      <c r="I3" s="158"/>
      <c r="M3" s="832" t="s">
        <v>880</v>
      </c>
      <c r="N3" s="833"/>
      <c r="O3" s="834"/>
      <c r="P3" s="834"/>
      <c r="Q3" s="834"/>
    </row>
    <row r="4" spans="1:17">
      <c r="A4" s="875" t="s">
        <v>502</v>
      </c>
      <c r="B4" s="869" t="s">
        <v>881</v>
      </c>
      <c r="C4" s="677" t="s">
        <v>43</v>
      </c>
      <c r="D4" s="869" t="s">
        <v>881</v>
      </c>
      <c r="E4" s="870" t="s">
        <v>43</v>
      </c>
      <c r="F4" s="475" t="s">
        <v>881</v>
      </c>
      <c r="G4" s="870" t="s">
        <v>43</v>
      </c>
      <c r="H4" s="158"/>
      <c r="I4" s="158"/>
      <c r="M4" s="834"/>
      <c r="N4" s="834"/>
      <c r="O4" s="834"/>
      <c r="P4" s="834"/>
      <c r="Q4" s="834"/>
    </row>
    <row r="5" spans="1:17">
      <c r="A5" s="876" t="s">
        <v>882</v>
      </c>
      <c r="B5" s="871">
        <f>SUM('E-Cal Inv.'!B8:D8)</f>
        <v>461299592.58329773</v>
      </c>
      <c r="C5" s="878">
        <f>B5/$B$8</f>
        <v>0.57367377723438329</v>
      </c>
      <c r="D5" s="871">
        <f>'Ej 50-66'!F78+'Ej 50-66'!F47</f>
        <v>54491087</v>
      </c>
      <c r="E5" s="872">
        <f>+D5/SUM($B$5:$B$7)</f>
        <v>6.7765305253879457E-2</v>
      </c>
      <c r="F5" s="697">
        <f>B5-D5</f>
        <v>406808505.58329773</v>
      </c>
      <c r="G5" s="872">
        <f>F5/B8</f>
        <v>0.50590847198050382</v>
      </c>
      <c r="H5" s="158"/>
      <c r="I5" s="158"/>
      <c r="M5" s="835" t="s">
        <v>51</v>
      </c>
      <c r="N5" s="836" t="s">
        <v>883</v>
      </c>
      <c r="O5" s="836" t="s">
        <v>884</v>
      </c>
      <c r="P5" s="836" t="s">
        <v>885</v>
      </c>
      <c r="Q5" s="837" t="s">
        <v>886</v>
      </c>
    </row>
    <row r="6" spans="1:17">
      <c r="A6" s="876" t="s">
        <v>887</v>
      </c>
      <c r="B6" s="871">
        <f>SUM('E-Cal Inv.'!B18:D18)</f>
        <v>203258119.20785493</v>
      </c>
      <c r="C6" s="878">
        <f>B6/$B$8</f>
        <v>0.25277250375735222</v>
      </c>
      <c r="D6" s="884">
        <f>'Ej 50-66'!E35</f>
        <v>799561.28871666663</v>
      </c>
      <c r="E6" s="872">
        <f>+D6/SUM(B5:B7)</f>
        <v>9.9433719865177502E-4</v>
      </c>
      <c r="F6" s="697">
        <f>B6-D6</f>
        <v>202458557.91913825</v>
      </c>
      <c r="G6" s="872">
        <f>F6/B8</f>
        <v>0.25177816655870044</v>
      </c>
      <c r="H6" s="158"/>
      <c r="I6" s="158"/>
      <c r="M6" s="838">
        <v>1</v>
      </c>
      <c r="N6" s="840"/>
      <c r="O6" s="840"/>
      <c r="P6" s="839"/>
      <c r="Q6" s="841"/>
    </row>
    <row r="7" spans="1:17">
      <c r="A7" s="876" t="s">
        <v>888</v>
      </c>
      <c r="B7" s="871">
        <f>SUM('E-Cal Inv.'!B23:D23)</f>
        <v>139557119.47614205</v>
      </c>
      <c r="C7" s="878">
        <f>B7/$B$8</f>
        <v>0.17355371900826444</v>
      </c>
      <c r="D7" s="885" t="s">
        <v>201</v>
      </c>
      <c r="E7" s="872"/>
      <c r="F7" s="697"/>
      <c r="G7" s="872">
        <f>C7</f>
        <v>0.17355371900826444</v>
      </c>
      <c r="H7" s="158"/>
      <c r="I7" s="158"/>
      <c r="M7" s="838">
        <v>2</v>
      </c>
      <c r="N7" s="840"/>
      <c r="O7" s="840"/>
      <c r="P7" s="839"/>
      <c r="Q7" s="841"/>
    </row>
    <row r="8" spans="1:17">
      <c r="A8" s="877" t="s">
        <v>599</v>
      </c>
      <c r="B8" s="873">
        <f>SUM(B5:B7)</f>
        <v>804114831.26729476</v>
      </c>
      <c r="C8" s="886">
        <f>SUM(C5:C7)</f>
        <v>0.99999999999999989</v>
      </c>
      <c r="D8" s="873">
        <f>D6+D5</f>
        <v>55290648.288716666</v>
      </c>
      <c r="E8" s="874">
        <f>SUM(E5:E7)</f>
        <v>6.8759642452531231E-2</v>
      </c>
      <c r="F8" s="887">
        <f>SUM(F5:F7)</f>
        <v>609267063.50243592</v>
      </c>
      <c r="G8" s="874">
        <f>SUM(G5:G7)</f>
        <v>0.9312403575474687</v>
      </c>
      <c r="H8" s="158"/>
      <c r="I8" s="158"/>
      <c r="M8" s="838">
        <v>3</v>
      </c>
      <c r="N8" s="840"/>
      <c r="O8" s="840"/>
      <c r="P8" s="839"/>
      <c r="Q8" s="841"/>
    </row>
    <row r="9" spans="1:17">
      <c r="A9" s="589"/>
      <c r="B9" s="879"/>
      <c r="C9" s="880"/>
      <c r="D9" s="880"/>
      <c r="E9" s="880"/>
      <c r="F9" s="880"/>
      <c r="G9" s="881"/>
      <c r="H9" s="158"/>
      <c r="I9" s="158"/>
      <c r="M9" s="838">
        <v>4</v>
      </c>
      <c r="N9" s="840"/>
      <c r="O9" s="840"/>
      <c r="P9" s="839"/>
      <c r="Q9" s="841"/>
    </row>
    <row r="10" spans="1:17" ht="15.6">
      <c r="A10" s="590" t="s">
        <v>889</v>
      </c>
      <c r="B10" s="882">
        <f>E5</f>
        <v>6.7765305253879457E-2</v>
      </c>
      <c r="C10" s="883" t="s">
        <v>201</v>
      </c>
      <c r="D10" s="883" t="s">
        <v>201</v>
      </c>
      <c r="E10" s="883" t="s">
        <v>201</v>
      </c>
      <c r="F10" s="883" t="s">
        <v>201</v>
      </c>
      <c r="G10" s="883" t="s">
        <v>201</v>
      </c>
      <c r="H10" s="591" t="s">
        <v>201</v>
      </c>
      <c r="I10" s="592" t="s">
        <v>201</v>
      </c>
      <c r="M10" s="838">
        <v>5</v>
      </c>
      <c r="N10" s="840"/>
      <c r="O10" s="840"/>
      <c r="P10" s="839"/>
      <c r="Q10" s="841"/>
    </row>
    <row r="11" spans="1:17">
      <c r="A11" s="593" t="s">
        <v>890</v>
      </c>
      <c r="B11" s="594" t="s">
        <v>891</v>
      </c>
      <c r="C11" s="594" t="s">
        <v>892</v>
      </c>
      <c r="D11" s="594" t="s">
        <v>893</v>
      </c>
      <c r="E11" s="594" t="s">
        <v>892</v>
      </c>
      <c r="F11" s="594" t="s">
        <v>894</v>
      </c>
      <c r="G11" s="594" t="s">
        <v>893</v>
      </c>
      <c r="H11" s="594" t="s">
        <v>201</v>
      </c>
      <c r="I11" s="595" t="s">
        <v>895</v>
      </c>
      <c r="M11" s="838">
        <v>6</v>
      </c>
      <c r="N11" s="840"/>
      <c r="O11" s="840"/>
      <c r="P11" s="839"/>
      <c r="Q11" s="841"/>
    </row>
    <row r="12" spans="1:17">
      <c r="A12" s="476" t="s">
        <v>201</v>
      </c>
      <c r="B12" s="587" t="s">
        <v>201</v>
      </c>
      <c r="C12" s="587" t="s">
        <v>896</v>
      </c>
      <c r="D12" s="587" t="s">
        <v>896</v>
      </c>
      <c r="E12" s="587" t="s">
        <v>100</v>
      </c>
      <c r="F12" s="587" t="s">
        <v>897</v>
      </c>
      <c r="G12" s="587" t="s">
        <v>100</v>
      </c>
      <c r="H12" s="587" t="s">
        <v>898</v>
      </c>
      <c r="I12" s="588" t="s">
        <v>899</v>
      </c>
      <c r="M12" s="838">
        <v>7</v>
      </c>
      <c r="N12" s="840"/>
      <c r="O12" s="840"/>
      <c r="P12" s="839"/>
      <c r="Q12" s="841"/>
    </row>
    <row r="13" spans="1:17">
      <c r="A13" s="858" t="s">
        <v>900</v>
      </c>
      <c r="B13" s="612">
        <f>'Ej 50-66'!$F$47+'Ej 50-66'!$F$78</f>
        <v>54491087</v>
      </c>
      <c r="C13" s="612"/>
      <c r="D13" s="612" t="s">
        <v>201</v>
      </c>
      <c r="E13" s="612" t="s">
        <v>201</v>
      </c>
      <c r="F13" s="612" t="s">
        <v>201</v>
      </c>
      <c r="G13" s="612" t="s">
        <v>201</v>
      </c>
      <c r="H13" s="612" t="s">
        <v>201</v>
      </c>
      <c r="I13" s="649"/>
      <c r="M13" s="838">
        <v>8</v>
      </c>
      <c r="N13" s="840"/>
      <c r="O13" s="840"/>
      <c r="P13" s="839"/>
      <c r="Q13" s="841"/>
    </row>
    <row r="14" spans="1:17">
      <c r="A14" s="858" t="s">
        <v>901</v>
      </c>
      <c r="B14" s="612">
        <f>'Ej 50-66'!$F$47+'Ej 50-66'!$F$78</f>
        <v>54491087</v>
      </c>
      <c r="C14" s="612"/>
      <c r="D14" s="612"/>
      <c r="E14" s="612" t="s">
        <v>201</v>
      </c>
      <c r="F14" s="612" t="s">
        <v>201</v>
      </c>
      <c r="G14" s="612">
        <f>'Ej 50-66'!H59+'Ej 50-66'!H88</f>
        <v>12803514.5</v>
      </c>
      <c r="H14" s="601">
        <f>G14/B14*12/6</f>
        <v>0.46993059617254468</v>
      </c>
      <c r="I14" s="649">
        <f>'Ej 50-66'!I88+'Ej 50-66'!I59</f>
        <v>1634732.6099999999</v>
      </c>
      <c r="M14" s="838">
        <v>9</v>
      </c>
      <c r="N14" s="840"/>
      <c r="O14" s="840"/>
      <c r="P14" s="839"/>
      <c r="Q14" s="841"/>
    </row>
    <row r="15" spans="1:17">
      <c r="A15" s="451"/>
      <c r="B15" s="612"/>
      <c r="C15" s="612"/>
      <c r="D15" s="612"/>
      <c r="E15" s="612" t="s">
        <v>201</v>
      </c>
      <c r="F15" s="612" t="s">
        <v>201</v>
      </c>
      <c r="G15" s="612" t="s">
        <v>201</v>
      </c>
      <c r="H15" s="612" t="s">
        <v>201</v>
      </c>
      <c r="I15" s="649"/>
      <c r="M15" s="838">
        <v>10</v>
      </c>
      <c r="N15" s="840"/>
      <c r="O15" s="840"/>
      <c r="P15" s="839"/>
      <c r="Q15" s="841"/>
    </row>
    <row r="16" spans="1:17">
      <c r="A16" s="451"/>
      <c r="B16" s="612"/>
      <c r="C16" s="612"/>
      <c r="D16" s="612"/>
      <c r="E16" s="612" t="s">
        <v>201</v>
      </c>
      <c r="F16" s="612" t="s">
        <v>201</v>
      </c>
      <c r="G16" s="612" t="s">
        <v>201</v>
      </c>
      <c r="H16" s="612" t="s">
        <v>201</v>
      </c>
      <c r="I16" s="649" t="s">
        <v>201</v>
      </c>
      <c r="M16" s="838">
        <v>11</v>
      </c>
      <c r="N16" s="840"/>
      <c r="O16" s="840"/>
      <c r="P16" s="839"/>
      <c r="Q16" s="841"/>
    </row>
    <row r="17" spans="1:17">
      <c r="A17" s="596" t="s">
        <v>201</v>
      </c>
      <c r="B17" s="598" t="s">
        <v>201</v>
      </c>
      <c r="C17" s="597" t="s">
        <v>201</v>
      </c>
      <c r="D17" s="597" t="s">
        <v>201</v>
      </c>
      <c r="E17" s="597" t="s">
        <v>201</v>
      </c>
      <c r="F17" s="597" t="s">
        <v>201</v>
      </c>
      <c r="G17" s="598" t="s">
        <v>201</v>
      </c>
      <c r="H17" s="597" t="s">
        <v>201</v>
      </c>
      <c r="I17" s="599"/>
      <c r="M17" s="838">
        <v>12</v>
      </c>
      <c r="N17" s="840"/>
      <c r="O17" s="840"/>
      <c r="P17" s="839"/>
      <c r="Q17" s="841"/>
    </row>
    <row r="18" spans="1:17">
      <c r="A18" s="589" t="s">
        <v>902</v>
      </c>
      <c r="B18" s="805">
        <f>G18+I18</f>
        <v>14438247.109999999</v>
      </c>
      <c r="C18" s="806"/>
      <c r="D18" s="807">
        <f>SUM(D14:D17)</f>
        <v>0</v>
      </c>
      <c r="E18" s="806"/>
      <c r="F18" s="806"/>
      <c r="G18" s="808">
        <f>SUM(G14:G16)</f>
        <v>12803514.5</v>
      </c>
      <c r="H18" s="809"/>
      <c r="I18" s="805">
        <f>SUM(I13:I17)</f>
        <v>1634732.6099999999</v>
      </c>
      <c r="J18" s="159"/>
      <c r="K18" s="804">
        <f>B18+I18</f>
        <v>16072979.719999999</v>
      </c>
      <c r="M18" s="842" t="s">
        <v>225</v>
      </c>
      <c r="N18" s="843">
        <f>SUM(N6:N17)</f>
        <v>0</v>
      </c>
      <c r="O18" s="843">
        <f t="shared" ref="O18:Q18" si="0">SUM(O6:O17)</f>
        <v>0</v>
      </c>
      <c r="P18" s="843">
        <f t="shared" si="0"/>
        <v>0</v>
      </c>
      <c r="Q18" s="843">
        <f t="shared" si="0"/>
        <v>0</v>
      </c>
    </row>
    <row r="19" spans="1:17">
      <c r="A19" s="859">
        <v>36892</v>
      </c>
      <c r="B19" s="612">
        <f>B14+'Ej 50-66'!C20</f>
        <v>54970823.773230001</v>
      </c>
      <c r="C19" s="720">
        <f>'Ej 50-66'!E90</f>
        <v>983108.7</v>
      </c>
      <c r="D19" s="720">
        <f>'Ej 50-66'!$B$17/2+'Ej 50-66'!F61+'Ej 50-66'!F90</f>
        <v>15999692.781969</v>
      </c>
      <c r="E19" s="720" t="s">
        <v>201</v>
      </c>
      <c r="F19" s="720" t="s">
        <v>201</v>
      </c>
      <c r="G19" s="612" t="s">
        <v>201</v>
      </c>
      <c r="H19" s="720" t="s">
        <v>201</v>
      </c>
      <c r="I19" s="649" t="s">
        <v>201</v>
      </c>
    </row>
    <row r="20" spans="1:17">
      <c r="A20" s="802" t="s">
        <v>903</v>
      </c>
      <c r="B20" s="612">
        <f t="shared" ref="B20:B29" si="1">B19-C19</f>
        <v>53987715.073229998</v>
      </c>
      <c r="C20" s="612">
        <f>'Ej 50-66'!E61+'Ej 50-66'!E91</f>
        <v>983108.7</v>
      </c>
      <c r="D20" s="612">
        <f>'Ej 50-66'!$B$17/2+'Ej 50-66'!F62+'Ej 50-66'!F91</f>
        <v>15999692.781969</v>
      </c>
      <c r="E20" s="612">
        <f>$B$14/5</f>
        <v>10898217.4</v>
      </c>
      <c r="F20" s="612">
        <f>AVERAGE(B19:B20)</f>
        <v>54479269.42323</v>
      </c>
      <c r="G20" s="612">
        <f>D20+D19</f>
        <v>31999385.563937999</v>
      </c>
      <c r="H20" s="601">
        <f>G20/F20</f>
        <v>0.58736811089271768</v>
      </c>
      <c r="I20" s="649" t="s">
        <v>201</v>
      </c>
    </row>
    <row r="21" spans="1:17">
      <c r="A21" s="860">
        <v>37257</v>
      </c>
      <c r="B21" s="612">
        <f t="shared" si="1"/>
        <v>53004606.373229995</v>
      </c>
      <c r="C21" s="612">
        <f>'Ej 50-66'!E62+'Ej 50-66'!E92</f>
        <v>6565608.7000000002</v>
      </c>
      <c r="D21" s="612">
        <f>'Ej 50-66'!$B$17/2+'Ej 50-66'!F63+'Ej 50-66'!F92</f>
        <v>15753915.606968999</v>
      </c>
      <c r="E21" s="612"/>
      <c r="F21" s="612"/>
      <c r="G21" s="612" t="s">
        <v>201</v>
      </c>
      <c r="H21" s="601"/>
      <c r="I21" s="649" t="s">
        <v>201</v>
      </c>
    </row>
    <row r="22" spans="1:17">
      <c r="A22" s="802" t="s">
        <v>904</v>
      </c>
      <c r="B22" s="612">
        <f t="shared" si="1"/>
        <v>46438997.673229992</v>
      </c>
      <c r="C22" s="612">
        <f>'Ej 50-66'!E63+'Ej 50-66'!E93</f>
        <v>6565608.7000000002</v>
      </c>
      <c r="D22" s="612">
        <f>'Ej 50-66'!$B$17/2+'Ej 50-66'!F64+'Ej 50-66'!F93</f>
        <v>13833388.431969</v>
      </c>
      <c r="E22" s="612">
        <f t="shared" ref="E22:E28" si="2">$B$14/5</f>
        <v>10898217.4</v>
      </c>
      <c r="F22" s="612">
        <f>(B20+B22)/2</f>
        <v>50213356.373229995</v>
      </c>
      <c r="G22" s="612">
        <f>D22+D21</f>
        <v>29587304.038938001</v>
      </c>
      <c r="H22" s="601">
        <f>G22/F22</f>
        <v>0.58923175377919446</v>
      </c>
      <c r="I22" s="649" t="s">
        <v>201</v>
      </c>
      <c r="M22" s="834" t="s">
        <v>905</v>
      </c>
      <c r="N22" s="844">
        <v>114162.36</v>
      </c>
    </row>
    <row r="23" spans="1:17">
      <c r="A23" s="859">
        <v>37622</v>
      </c>
      <c r="B23" s="612">
        <f t="shared" si="1"/>
        <v>39873388.973229989</v>
      </c>
      <c r="C23" s="612">
        <f>'Ej 50-66'!E64+'Ej 50-66'!E94</f>
        <v>6565608.7000000002</v>
      </c>
      <c r="D23" s="612">
        <f>'Ej 50-66'!$B$17/2+'Ej 50-66'!F65+'Ej 50-66'!F94</f>
        <v>11912861.256968999</v>
      </c>
      <c r="E23" s="612"/>
      <c r="F23" s="612"/>
      <c r="G23" s="612" t="s">
        <v>201</v>
      </c>
      <c r="H23" s="601"/>
      <c r="I23" s="649" t="s">
        <v>201</v>
      </c>
      <c r="M23" s="834" t="s">
        <v>906</v>
      </c>
      <c r="N23" s="834" t="s">
        <v>907</v>
      </c>
    </row>
    <row r="24" spans="1:17">
      <c r="A24" s="802" t="s">
        <v>908</v>
      </c>
      <c r="B24" s="612">
        <f t="shared" si="1"/>
        <v>33307780.27322999</v>
      </c>
      <c r="C24" s="612">
        <f>'Ej 50-66'!E65+'Ej 50-66'!E95</f>
        <v>6565608.7000000002</v>
      </c>
      <c r="D24" s="612">
        <f>'Ej 50-66'!$B$17/2+'Ej 50-66'!F66+'Ej 50-66'!F95</f>
        <v>9992334.0819690004</v>
      </c>
      <c r="E24" s="612">
        <f t="shared" si="2"/>
        <v>10898217.4</v>
      </c>
      <c r="F24" s="612">
        <f>(B24+B22)/2</f>
        <v>39873388.973229989</v>
      </c>
      <c r="G24" s="612">
        <f>D24+D23</f>
        <v>21905195.338937998</v>
      </c>
      <c r="H24" s="601">
        <f>G24/F24</f>
        <v>0.54936878712879422</v>
      </c>
      <c r="I24" s="649" t="s">
        <v>201</v>
      </c>
    </row>
    <row r="25" spans="1:17">
      <c r="A25" s="860">
        <v>37987</v>
      </c>
      <c r="B25" s="612">
        <f t="shared" si="1"/>
        <v>26742171.573229991</v>
      </c>
      <c r="C25" s="612">
        <f>'Ej 50-66'!E66+'Ej 50-66'!E96</f>
        <v>6565608.7000000002</v>
      </c>
      <c r="D25" s="612">
        <f>'Ej 50-66'!$B$17/2+'Ej 50-66'!F67+'Ej 50-66'!F96</f>
        <v>8071806.9069689997</v>
      </c>
      <c r="E25" s="612"/>
      <c r="F25" s="612"/>
      <c r="G25" s="612"/>
      <c r="H25" s="601"/>
      <c r="I25" s="649" t="s">
        <v>201</v>
      </c>
    </row>
    <row r="26" spans="1:17">
      <c r="A26" s="802" t="s">
        <v>909</v>
      </c>
      <c r="B26" s="612">
        <f t="shared" si="1"/>
        <v>20176562.873229992</v>
      </c>
      <c r="C26" s="612">
        <f>'Ej 50-66'!E67+'Ej 50-66'!E97</f>
        <v>6565608.7000000002</v>
      </c>
      <c r="D26" s="612">
        <f>'Ej 50-66'!$B$17/2+'Ej 50-66'!F68+'Ej 50-66'!F97</f>
        <v>6151279.7319689998</v>
      </c>
      <c r="E26" s="612">
        <f t="shared" si="2"/>
        <v>10898217.4</v>
      </c>
      <c r="F26" s="612">
        <f>(B26+B24)/2</f>
        <v>26742171.573229991</v>
      </c>
      <c r="G26" s="612">
        <f>D26+D25</f>
        <v>14223086.638937999</v>
      </c>
      <c r="H26" s="601">
        <f>G26/F26</f>
        <v>0.53185982297622725</v>
      </c>
      <c r="I26" s="649" t="s">
        <v>201</v>
      </c>
    </row>
    <row r="27" spans="1:17">
      <c r="A27" s="859">
        <v>38353</v>
      </c>
      <c r="B27" s="612">
        <f t="shared" si="1"/>
        <v>13610954.173229992</v>
      </c>
      <c r="C27" s="612">
        <f>'Ej 50-66'!E68+'Ej 50-66'!E98</f>
        <v>6565608.7000000002</v>
      </c>
      <c r="D27" s="612">
        <f>'Ej 50-66'!$B$17/2+'Ej 50-66'!F69+'Ej 50-66'!F98</f>
        <v>4230752.556969</v>
      </c>
      <c r="E27" s="612"/>
      <c r="F27" s="612" t="s">
        <v>201</v>
      </c>
      <c r="G27" s="612" t="s">
        <v>201</v>
      </c>
      <c r="H27" s="601"/>
      <c r="I27" s="649" t="s">
        <v>201</v>
      </c>
    </row>
    <row r="28" spans="1:17">
      <c r="A28" s="802" t="s">
        <v>910</v>
      </c>
      <c r="B28" s="612">
        <f t="shared" si="1"/>
        <v>7045345.4732299922</v>
      </c>
      <c r="C28" s="612">
        <f>'Ej 50-66'!E69+'Ej 50-66'!E99</f>
        <v>6565608.7000000002</v>
      </c>
      <c r="D28" s="612">
        <f>'Ej 50-66'!$B$17/2+'Ej 50-66'!F70+'Ej 50-66'!F99</f>
        <v>2310225.3819690002</v>
      </c>
      <c r="E28" s="612">
        <f t="shared" si="2"/>
        <v>10898217.4</v>
      </c>
      <c r="F28" s="612">
        <f>(B28+B26)/2</f>
        <v>13610954.173229992</v>
      </c>
      <c r="G28" s="612">
        <f>D28+D27</f>
        <v>6540977.9389380002</v>
      </c>
      <c r="H28" s="601">
        <f>G28/F28</f>
        <v>0.4805671854955465</v>
      </c>
      <c r="I28" s="649" t="s">
        <v>201</v>
      </c>
    </row>
    <row r="29" spans="1:17">
      <c r="A29" s="802" t="s">
        <v>911</v>
      </c>
      <c r="B29" s="612">
        <f t="shared" si="1"/>
        <v>479736.77322999202</v>
      </c>
      <c r="C29" s="612"/>
      <c r="D29" s="612"/>
      <c r="E29" s="612"/>
      <c r="F29" s="612" t="s">
        <v>201</v>
      </c>
      <c r="G29" s="612" t="s">
        <v>201</v>
      </c>
      <c r="H29" s="612" t="s">
        <v>201</v>
      </c>
      <c r="I29" s="649" t="s">
        <v>201</v>
      </c>
    </row>
    <row r="30" spans="1:17">
      <c r="A30" s="476" t="s">
        <v>780</v>
      </c>
      <c r="B30" s="810">
        <f>E30+G30</f>
        <v>158747036.51969001</v>
      </c>
      <c r="C30" s="810">
        <f>SUM(C19:C29)</f>
        <v>54491087.000000007</v>
      </c>
      <c r="D30" s="810">
        <f>SUM(D19:D29)</f>
        <v>104255949.51969001</v>
      </c>
      <c r="E30" s="810">
        <f>SUM(E20:E28)</f>
        <v>54491087</v>
      </c>
      <c r="F30" s="810">
        <f>SUM(F20:F28)</f>
        <v>184919140.51614997</v>
      </c>
      <c r="G30" s="810">
        <f>SUM(G20:G28)</f>
        <v>104255949.51969001</v>
      </c>
      <c r="H30" s="810" t="s">
        <v>201</v>
      </c>
      <c r="I30" s="811">
        <f>I18</f>
        <v>1634732.6099999999</v>
      </c>
    </row>
    <row r="31" spans="1:17">
      <c r="F31" s="804">
        <f>B13-E20</f>
        <v>43592869.600000001</v>
      </c>
    </row>
    <row r="32" spans="1:17">
      <c r="A32" s="159"/>
      <c r="B32" s="159"/>
      <c r="F32" s="804">
        <f>F31/5</f>
        <v>8718573.9199999999</v>
      </c>
    </row>
    <row r="33" spans="1:5">
      <c r="A33" s="803" t="s">
        <v>912</v>
      </c>
      <c r="B33" s="830">
        <f>G18+I18</f>
        <v>14438247.109999999</v>
      </c>
      <c r="C33" s="159"/>
    </row>
    <row r="34" spans="1:5">
      <c r="A34" s="159"/>
      <c r="B34" s="159"/>
    </row>
    <row r="37" spans="1:5">
      <c r="A37" s="1062" t="s">
        <v>775</v>
      </c>
      <c r="B37" s="1063" t="s">
        <v>913</v>
      </c>
      <c r="C37" s="1063" t="s">
        <v>914</v>
      </c>
      <c r="D37" s="1063"/>
      <c r="E37" s="1063" t="s">
        <v>915</v>
      </c>
    </row>
    <row r="38" spans="1:5">
      <c r="A38" s="1098"/>
      <c r="B38" s="1099"/>
      <c r="C38" s="1099"/>
      <c r="D38" s="1099"/>
      <c r="E38" s="1099"/>
    </row>
    <row r="39" spans="1:5">
      <c r="A39" s="813">
        <v>1</v>
      </c>
      <c r="B39" s="814">
        <f>(G$18+I$18)/3</f>
        <v>4812749.0366666662</v>
      </c>
      <c r="C39" s="815">
        <f>G22</f>
        <v>29587304.038938001</v>
      </c>
      <c r="D39" s="814"/>
      <c r="E39" s="814">
        <f t="shared" ref="E39:E43" si="3">SUM(B39:D39)</f>
        <v>34400053.07560467</v>
      </c>
    </row>
    <row r="40" spans="1:5">
      <c r="A40" s="813">
        <v>2</v>
      </c>
      <c r="B40" s="814">
        <f>(G$18+I$18)/3</f>
        <v>4812749.0366666662</v>
      </c>
      <c r="C40" s="815">
        <f>G22</f>
        <v>29587304.038938001</v>
      </c>
      <c r="D40" s="814"/>
      <c r="E40" s="814">
        <f t="shared" si="3"/>
        <v>34400053.07560467</v>
      </c>
    </row>
    <row r="41" spans="1:5">
      <c r="A41" s="813">
        <v>3</v>
      </c>
      <c r="B41" s="814">
        <f>(G$18+I$18)/3</f>
        <v>4812749.0366666662</v>
      </c>
      <c r="C41" s="815">
        <f>G24</f>
        <v>21905195.338937998</v>
      </c>
      <c r="D41" s="814"/>
      <c r="E41" s="814">
        <f t="shared" si="3"/>
        <v>26717944.375604663</v>
      </c>
    </row>
    <row r="42" spans="1:5">
      <c r="A42" s="813">
        <v>4</v>
      </c>
      <c r="B42" s="814"/>
      <c r="C42" s="815">
        <f>G26</f>
        <v>14223086.638937999</v>
      </c>
      <c r="D42" s="814"/>
      <c r="E42" s="814">
        <f t="shared" si="3"/>
        <v>14223086.638937999</v>
      </c>
    </row>
    <row r="43" spans="1:5">
      <c r="A43" s="813">
        <v>5</v>
      </c>
      <c r="B43" s="814"/>
      <c r="C43" s="815">
        <f>G28</f>
        <v>6540977.9389380002</v>
      </c>
      <c r="D43" s="814"/>
      <c r="E43" s="814">
        <f t="shared" si="3"/>
        <v>6540977.9389380002</v>
      </c>
    </row>
    <row r="44" spans="1:5">
      <c r="A44" s="816" t="s">
        <v>599</v>
      </c>
      <c r="B44" s="817">
        <f t="shared" ref="B44:C44" si="4">SUM(B39:B43)</f>
        <v>14438247.109999999</v>
      </c>
      <c r="C44" s="818">
        <f t="shared" si="4"/>
        <v>101843867.99469</v>
      </c>
      <c r="D44" s="817"/>
      <c r="E44" s="817">
        <f>SUM(E39:E43)</f>
        <v>116282115.10469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workbookViewId="0">
      <selection activeCell="G4" sqref="G4"/>
    </sheetView>
  </sheetViews>
  <sheetFormatPr defaultColWidth="8.85546875" defaultRowHeight="13.15"/>
  <cols>
    <col min="1" max="1" width="43.7109375" customWidth="1"/>
    <col min="2" max="7" width="18.42578125" bestFit="1" customWidth="1"/>
  </cols>
  <sheetData>
    <row r="1" spans="1:9">
      <c r="A1" s="1064" t="s">
        <v>57</v>
      </c>
      <c r="B1" s="1064"/>
      <c r="C1" s="1064"/>
      <c r="D1" s="1064"/>
      <c r="E1" s="1065"/>
      <c r="F1" s="583">
        <v>9</v>
      </c>
      <c r="G1" s="158"/>
    </row>
    <row r="2" spans="1:9" ht="15.6">
      <c r="A2" s="602" t="s">
        <v>916</v>
      </c>
      <c r="B2" s="602"/>
      <c r="C2" s="604" t="s">
        <v>201</v>
      </c>
      <c r="D2" s="604" t="s">
        <v>201</v>
      </c>
      <c r="E2" s="604" t="s">
        <v>201</v>
      </c>
      <c r="F2" s="604" t="s">
        <v>201</v>
      </c>
      <c r="G2" s="586" t="s">
        <v>201</v>
      </c>
    </row>
    <row r="3" spans="1:9">
      <c r="A3" s="457" t="s">
        <v>448</v>
      </c>
      <c r="B3" s="587" t="s">
        <v>2</v>
      </c>
      <c r="C3" s="587" t="s">
        <v>3</v>
      </c>
      <c r="D3" s="587" t="s">
        <v>4</v>
      </c>
      <c r="E3" s="587" t="s">
        <v>5</v>
      </c>
      <c r="F3" s="605" t="s">
        <v>6</v>
      </c>
      <c r="G3" s="606" t="s">
        <v>599</v>
      </c>
    </row>
    <row r="4" spans="1:9">
      <c r="A4" s="158" t="s">
        <v>917</v>
      </c>
      <c r="B4" s="610">
        <f>'E-Costos'!C114</f>
        <v>1417500000</v>
      </c>
      <c r="C4" s="610">
        <f>'E-Costos'!D114</f>
        <v>1984500000</v>
      </c>
      <c r="D4" s="610">
        <f>'E-Costos'!E114</f>
        <v>1389150000</v>
      </c>
      <c r="E4" s="610">
        <f>'E-Costos'!F114</f>
        <v>1984500000</v>
      </c>
      <c r="F4" s="610">
        <f>'E-Costos'!G114</f>
        <v>1984500000</v>
      </c>
      <c r="G4" s="611">
        <f t="shared" ref="G4:G15" si="0">SUM(B4:F4)</f>
        <v>8760150000</v>
      </c>
    </row>
    <row r="5" spans="1:9" ht="12.75">
      <c r="A5" s="158" t="s">
        <v>918</v>
      </c>
      <c r="B5" s="611">
        <f>'E-Costos'!C133</f>
        <v>1300718869.1151564</v>
      </c>
      <c r="C5" s="964">
        <f>'E-Costos'!D133</f>
        <v>1286234189.029948</v>
      </c>
      <c r="D5" s="611">
        <f>'E-Costos'!E133</f>
        <v>924877884.9710021</v>
      </c>
      <c r="E5" s="964">
        <f>'E-Costos'!F133</f>
        <v>1284895651.3405185</v>
      </c>
      <c r="F5" s="964">
        <f>'E-Costos'!G133</f>
        <v>1284906880.9152615</v>
      </c>
      <c r="G5" s="611">
        <f t="shared" si="0"/>
        <v>6081633475.3718863</v>
      </c>
    </row>
    <row r="6" spans="1:9">
      <c r="A6" s="158" t="s">
        <v>919</v>
      </c>
      <c r="B6" s="611">
        <f>B4-B5</f>
        <v>116781130.88484359</v>
      </c>
      <c r="C6" s="611">
        <f>C4-C5</f>
        <v>698265810.970052</v>
      </c>
      <c r="D6" s="611">
        <f>D4-D5</f>
        <v>464272115.0289979</v>
      </c>
      <c r="E6" s="611">
        <f>E4-E5</f>
        <v>699604348.65948153</v>
      </c>
      <c r="F6" s="611">
        <f t="shared" ref="C6:F6" si="1">F4-F5</f>
        <v>699593119.08473849</v>
      </c>
      <c r="G6" s="611">
        <f t="shared" si="0"/>
        <v>2678516524.6281137</v>
      </c>
    </row>
    <row r="7" spans="1:9">
      <c r="A7" s="158" t="s">
        <v>536</v>
      </c>
      <c r="B7" s="611" t="s">
        <v>201</v>
      </c>
      <c r="C7" s="612" t="s">
        <v>201</v>
      </c>
      <c r="D7" s="612" t="s">
        <v>201</v>
      </c>
      <c r="E7" s="612" t="s">
        <v>201</v>
      </c>
      <c r="F7" s="613" t="s">
        <v>201</v>
      </c>
      <c r="G7" s="611">
        <f t="shared" si="0"/>
        <v>0</v>
      </c>
    </row>
    <row r="8" spans="1:9">
      <c r="A8" s="158" t="s">
        <v>920</v>
      </c>
      <c r="B8" s="611">
        <f>'E-Costos'!C135</f>
        <v>6593896.7025912134</v>
      </c>
      <c r="C8" s="611">
        <f>'E-Costos'!D135</f>
        <v>6527972.5575912148</v>
      </c>
      <c r="D8" s="611">
        <f>'E-Costos'!E135</f>
        <v>5972477.4810912134</v>
      </c>
      <c r="E8" s="611">
        <f>'E-Costos'!F135</f>
        <v>6527972.5575912148</v>
      </c>
      <c r="F8" s="611">
        <f>'E-Costos'!G135</f>
        <v>6527972.5575912148</v>
      </c>
      <c r="G8" s="611">
        <f t="shared" si="0"/>
        <v>32150291.856456071</v>
      </c>
    </row>
    <row r="9" spans="1:9">
      <c r="A9" s="158" t="s">
        <v>921</v>
      </c>
      <c r="B9" s="611">
        <f>'E-Costos'!C136</f>
        <v>53622643.201591209</v>
      </c>
      <c r="C9" s="611">
        <f>'E-Costos'!D136</f>
        <v>71417219.056591213</v>
      </c>
      <c r="D9" s="611">
        <f>'E-Costos'!E136</f>
        <v>51658750.480591215</v>
      </c>
      <c r="E9" s="611">
        <f>'E-Costos'!F136</f>
        <v>71417219.056591213</v>
      </c>
      <c r="F9" s="611">
        <f>'E-Costos'!G136</f>
        <v>71417219.056591213</v>
      </c>
      <c r="G9" s="611">
        <f t="shared" si="0"/>
        <v>319533050.85195607</v>
      </c>
    </row>
    <row r="10" spans="1:9">
      <c r="A10" s="158" t="s">
        <v>922</v>
      </c>
      <c r="B10" s="917">
        <f>E20</f>
        <v>34400053.07560467</v>
      </c>
      <c r="C10" s="917">
        <f>E21</f>
        <v>26717944.375604667</v>
      </c>
      <c r="D10" s="917">
        <f>E22</f>
        <v>14223086.638937999</v>
      </c>
      <c r="E10" s="917">
        <f>E23</f>
        <v>6540977.9389380002</v>
      </c>
      <c r="F10" s="917">
        <f>E24</f>
        <v>110849278.08</v>
      </c>
      <c r="G10" s="611">
        <f t="shared" si="0"/>
        <v>192731340.10908532</v>
      </c>
      <c r="I10" t="s">
        <v>923</v>
      </c>
    </row>
    <row r="11" spans="1:9">
      <c r="A11" s="589" t="s">
        <v>924</v>
      </c>
      <c r="B11" s="901">
        <f>B6-B8-B9-B10</f>
        <v>22164537.905056499</v>
      </c>
      <c r="C11" s="901">
        <f>C6-C8-C9-C10</f>
        <v>593602674.9802649</v>
      </c>
      <c r="D11" s="901">
        <f>D6-D8-D9-D10</f>
        <v>392417800.42837745</v>
      </c>
      <c r="E11" s="901">
        <f>E6-E8-E9-E10</f>
        <v>615118179.10636103</v>
      </c>
      <c r="F11" s="901">
        <f t="shared" ref="D11:F11" si="2">F6-F8-F9-F10</f>
        <v>510798649.39055604</v>
      </c>
      <c r="G11" s="611">
        <f t="shared" si="0"/>
        <v>2134101841.8106158</v>
      </c>
    </row>
    <row r="12" spans="1:9">
      <c r="A12" s="158" t="s">
        <v>925</v>
      </c>
      <c r="B12" s="611">
        <f>IF(B11&gt;0,B11*InfoInicial!$B$5,0)</f>
        <v>1551517.6533539551</v>
      </c>
      <c r="C12" s="611">
        <f>IF(C11&gt;0,C11*InfoInicial!$B$5,0)</f>
        <v>41552187.248618551</v>
      </c>
      <c r="D12" s="611">
        <f>IF(D11&gt;0,D11*InfoInicial!$B$5,0)</f>
        <v>27469246.029986423</v>
      </c>
      <c r="E12" s="611">
        <f>IF(E11&gt;0,E11*InfoInicial!$B$5,0)</f>
        <v>43058272.537445277</v>
      </c>
      <c r="F12" s="611">
        <f>IF(F11&gt;0,F11*InfoInicial!$B$5,0)</f>
        <v>35755905.457338929</v>
      </c>
      <c r="G12" s="611">
        <f t="shared" si="0"/>
        <v>149387128.92674315</v>
      </c>
    </row>
    <row r="13" spans="1:9">
      <c r="A13" s="617" t="s">
        <v>926</v>
      </c>
      <c r="B13" s="611">
        <f>B11*$C$28</f>
        <v>7757588.2667697743</v>
      </c>
      <c r="C13" s="611">
        <f>C11*$C$28</f>
        <v>207760936.24309272</v>
      </c>
      <c r="D13" s="611">
        <f>D11*$C$28</f>
        <v>137346230.14993209</v>
      </c>
      <c r="E13" s="611">
        <f>E11*$C$28</f>
        <v>215291362.68722636</v>
      </c>
      <c r="F13" s="611">
        <f>F11*$C$28</f>
        <v>178779527.28669462</v>
      </c>
      <c r="G13" s="611">
        <f t="shared" si="0"/>
        <v>746935644.63371551</v>
      </c>
    </row>
    <row r="14" spans="1:9">
      <c r="A14" s="158" t="s">
        <v>927</v>
      </c>
      <c r="B14" s="611">
        <f>IF(B13&gt;0,B11*InfoInicial!$B$4,0)</f>
        <v>7757588.2667697743</v>
      </c>
      <c r="C14" s="611">
        <f>IF(C13&gt;0,C11*InfoInicial!$B$4,0)</f>
        <v>207760936.24309272</v>
      </c>
      <c r="D14" s="611">
        <f>IF(D13&gt;0,D11*InfoInicial!$B$4,0)</f>
        <v>137346230.14993209</v>
      </c>
      <c r="E14" s="611">
        <f>IF(E13&gt;0,E11*InfoInicial!$B$4,0)</f>
        <v>215291362.68722636</v>
      </c>
      <c r="F14" s="611">
        <f>IF(F13&gt;0,F11*InfoInicial!$B$4,0)</f>
        <v>178779527.28669462</v>
      </c>
      <c r="G14" s="611">
        <f t="shared" si="0"/>
        <v>746935644.63371551</v>
      </c>
    </row>
    <row r="15" spans="1:9">
      <c r="A15" s="608" t="s">
        <v>928</v>
      </c>
      <c r="B15" s="900">
        <f>B11-B12-B14</f>
        <v>12855431.984932769</v>
      </c>
      <c r="C15" s="900">
        <f t="shared" ref="C15:F15" si="3">C11-C12-C14</f>
        <v>344289551.48855358</v>
      </c>
      <c r="D15" s="900">
        <f>D11-D12-D14</f>
        <v>227602324.24845892</v>
      </c>
      <c r="E15" s="900">
        <f>E11-E12-E14</f>
        <v>356768543.88168937</v>
      </c>
      <c r="F15" s="900">
        <f t="shared" si="3"/>
        <v>296263216.64652252</v>
      </c>
      <c r="G15" s="611">
        <f t="shared" si="0"/>
        <v>1237779068.2501571</v>
      </c>
    </row>
    <row r="19" spans="1:5" ht="39.6">
      <c r="A19" s="693" t="s">
        <v>775</v>
      </c>
      <c r="B19" s="919" t="s">
        <v>929</v>
      </c>
      <c r="C19" s="894" t="s">
        <v>930</v>
      </c>
      <c r="D19" s="894" t="s">
        <v>931</v>
      </c>
      <c r="E19" s="894" t="s">
        <v>932</v>
      </c>
    </row>
    <row r="20" spans="1:5">
      <c r="A20" s="918">
        <v>1</v>
      </c>
      <c r="B20" s="911">
        <f>'Ej 50-66'!B113</f>
        <v>4812749.0366666662</v>
      </c>
      <c r="C20" s="914">
        <f>'Ej 50-66'!C113</f>
        <v>287842.06393800001</v>
      </c>
      <c r="D20" s="914">
        <f>'Ej 50-66'!D113</f>
        <v>31711543.5</v>
      </c>
      <c r="E20" s="895">
        <f>SUM(B21:D21)</f>
        <v>34400053.07560467</v>
      </c>
    </row>
    <row r="21" spans="1:5">
      <c r="A21" s="913">
        <v>2</v>
      </c>
      <c r="B21" s="911">
        <f>'Ej 50-66'!B114</f>
        <v>4812749.0366666662</v>
      </c>
      <c r="C21" s="914">
        <f>'Ej 50-66'!C114</f>
        <v>287842.06393800001</v>
      </c>
      <c r="D21" s="914">
        <f>'Ej 50-66'!D114</f>
        <v>29299461.975000001</v>
      </c>
      <c r="E21" s="895">
        <f t="shared" ref="E21:E24" si="4">SUM(B22:D22)</f>
        <v>26717944.375604667</v>
      </c>
    </row>
    <row r="22" spans="1:5">
      <c r="A22" s="913">
        <v>3</v>
      </c>
      <c r="B22" s="911">
        <f>'Ej 50-66'!B115</f>
        <v>4812749.0366666662</v>
      </c>
      <c r="C22" s="914">
        <f>'Ej 50-66'!C115</f>
        <v>287842.06393800001</v>
      </c>
      <c r="D22" s="914">
        <f>'Ej 50-66'!D115</f>
        <v>21617353.274999999</v>
      </c>
      <c r="E22" s="895">
        <f>SUM(B23:D23)</f>
        <v>14223086.638937999</v>
      </c>
    </row>
    <row r="23" spans="1:5" ht="13.9">
      <c r="A23" s="913">
        <v>4</v>
      </c>
      <c r="B23" s="912"/>
      <c r="C23" s="914">
        <f>'Ej 50-66'!C116</f>
        <v>287842.06393800001</v>
      </c>
      <c r="D23" s="914">
        <f>'Ej 50-66'!D116</f>
        <v>13935244.574999999</v>
      </c>
      <c r="E23" s="895">
        <f>SUM(B24:D24)</f>
        <v>6540977.9389380002</v>
      </c>
    </row>
    <row r="24" spans="1:5" ht="13.9">
      <c r="A24" s="853">
        <v>5</v>
      </c>
      <c r="B24" s="896" t="s">
        <v>201</v>
      </c>
      <c r="C24" s="914">
        <f>'Ej 50-66'!C117</f>
        <v>287842.06393800001</v>
      </c>
      <c r="D24" s="914">
        <f>'Ej 50-66'!D117</f>
        <v>6253135.875</v>
      </c>
      <c r="E24" s="895">
        <f>SUM(B25:D25)</f>
        <v>110849278.08</v>
      </c>
    </row>
    <row r="25" spans="1:5">
      <c r="A25" s="851" t="s">
        <v>599</v>
      </c>
      <c r="B25" s="897">
        <v>2998244</v>
      </c>
      <c r="C25" s="897">
        <v>59866262.079999998</v>
      </c>
      <c r="D25" s="897">
        <v>47984772</v>
      </c>
      <c r="E25" s="897">
        <v>110849278.08</v>
      </c>
    </row>
    <row r="28" spans="1:5">
      <c r="B28" s="561" t="s">
        <v>933</v>
      </c>
      <c r="C28" s="225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topLeftCell="A4" workbookViewId="0">
      <selection activeCell="E19" sqref="E19"/>
    </sheetView>
  </sheetViews>
  <sheetFormatPr defaultColWidth="8.85546875" defaultRowHeight="13.1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57</v>
      </c>
      <c r="B1" s="158"/>
      <c r="C1" s="158"/>
      <c r="D1" s="158"/>
      <c r="E1" s="158">
        <v>9</v>
      </c>
      <c r="F1" s="158"/>
      <c r="G1" s="158"/>
    </row>
    <row r="2" spans="1:7" ht="15.6">
      <c r="A2" s="602" t="s">
        <v>633</v>
      </c>
      <c r="B2" s="602"/>
      <c r="C2" s="604"/>
      <c r="D2" s="604"/>
      <c r="E2" s="604"/>
      <c r="F2" s="604" t="s">
        <v>201</v>
      </c>
      <c r="G2" s="586" t="s">
        <v>201</v>
      </c>
    </row>
    <row r="3" spans="1:7" ht="15.6">
      <c r="A3" s="634" t="s">
        <v>201</v>
      </c>
      <c r="B3" s="1066" t="s">
        <v>634</v>
      </c>
      <c r="C3" s="1066"/>
      <c r="D3" s="1066"/>
      <c r="E3" s="1066"/>
      <c r="F3" s="1066"/>
      <c r="G3" s="1067"/>
    </row>
    <row r="4" spans="1:7">
      <c r="A4" s="593" t="s">
        <v>448</v>
      </c>
      <c r="B4" s="635" t="s">
        <v>14</v>
      </c>
      <c r="C4" s="587" t="s">
        <v>2</v>
      </c>
      <c r="D4" s="587" t="s">
        <v>3</v>
      </c>
      <c r="E4" s="587" t="s">
        <v>4</v>
      </c>
      <c r="F4" s="587" t="s">
        <v>5</v>
      </c>
      <c r="G4" s="588" t="s">
        <v>6</v>
      </c>
    </row>
    <row r="5" spans="1:7">
      <c r="A5" s="636" t="s">
        <v>934</v>
      </c>
      <c r="B5" s="645" t="s">
        <v>201</v>
      </c>
      <c r="C5" s="452" t="s">
        <v>201</v>
      </c>
      <c r="D5" s="452" t="s">
        <v>201</v>
      </c>
      <c r="E5" s="452" t="s">
        <v>201</v>
      </c>
      <c r="F5" s="452" t="s">
        <v>201</v>
      </c>
      <c r="G5" s="469" t="s">
        <v>201</v>
      </c>
    </row>
    <row r="6" spans="1:7">
      <c r="A6" s="637" t="s">
        <v>935</v>
      </c>
      <c r="B6" s="646" t="s">
        <v>936</v>
      </c>
      <c r="C6" s="612">
        <f>'E-IVA '!C17</f>
        <v>239925747.85993332</v>
      </c>
      <c r="D6" s="612">
        <f>'E-IVA '!D17</f>
        <v>242425983.51507559</v>
      </c>
      <c r="E6" s="612">
        <f>'E-IVA '!E17</f>
        <v>171038803.71368843</v>
      </c>
      <c r="F6" s="612">
        <f>'E-IVA '!F17</f>
        <v>239850012.10746914</v>
      </c>
      <c r="G6" s="649">
        <f>'E-IVA '!G17</f>
        <v>241244578.74427879</v>
      </c>
    </row>
    <row r="7" spans="1:7">
      <c r="A7" s="637" t="s">
        <v>937</v>
      </c>
      <c r="B7" s="646" t="s">
        <v>936</v>
      </c>
      <c r="C7" s="612">
        <f>'E-IVA '!C18</f>
        <v>327772.02039640525</v>
      </c>
      <c r="D7" s="612">
        <f>'E-IVA '!D18</f>
        <v>314587.19139640528</v>
      </c>
      <c r="E7" s="612">
        <f>'E-IVA '!E18</f>
        <v>261602.23209640523</v>
      </c>
      <c r="F7" s="612">
        <f>'E-IVA '!F18</f>
        <v>314587.19139640528</v>
      </c>
      <c r="G7" s="649">
        <f>'E-IVA '!G18</f>
        <v>314587.19139640528</v>
      </c>
    </row>
    <row r="8" spans="1:7">
      <c r="A8" s="637" t="s">
        <v>938</v>
      </c>
      <c r="B8" s="646" t="s">
        <v>936</v>
      </c>
      <c r="C8" s="612">
        <f>'E-IVA '!C19</f>
        <v>1094993.4554392311</v>
      </c>
      <c r="D8" s="612">
        <f>'E-IVA '!D19</f>
        <v>1081808.6264392312</v>
      </c>
      <c r="E8" s="612">
        <f>'E-IVA '!E19</f>
        <v>1028823.6671392312</v>
      </c>
      <c r="F8" s="612">
        <f>'E-IVA '!F19</f>
        <v>1081808.6264392312</v>
      </c>
      <c r="G8" s="649">
        <f>'E-IVA '!G19</f>
        <v>1081808.6264392312</v>
      </c>
    </row>
    <row r="9" spans="1:7">
      <c r="A9" s="637" t="s">
        <v>939</v>
      </c>
      <c r="B9" s="646" t="s">
        <v>201</v>
      </c>
      <c r="C9" s="612">
        <f>'F-2 Estructura'!B43*InfoInicial!$B$3</f>
        <v>7224011.1458769804</v>
      </c>
      <c r="D9" s="612">
        <f>'F-2 Estructura'!C43*InfoInicial!$B$3</f>
        <v>5610768.3188769799</v>
      </c>
      <c r="E9" s="612">
        <f>'F-2 Estructura'!D43*InfoInicial!$B$3</f>
        <v>2986848.1941769794</v>
      </c>
      <c r="F9" s="612">
        <f>'F-2 Estructura'!E43*InfoInicial!$B$3</f>
        <v>1373605.36717698</v>
      </c>
      <c r="G9" s="612">
        <f>'F-2 Estructura'!F43*InfoInicial!$B$3</f>
        <v>23278348.3968</v>
      </c>
    </row>
    <row r="10" spans="1:7">
      <c r="A10" s="638" t="s">
        <v>940</v>
      </c>
      <c r="B10" s="647" t="s">
        <v>936</v>
      </c>
      <c r="C10" s="612">
        <f>SUM(C6:C9)</f>
        <v>248572524.48164594</v>
      </c>
      <c r="D10" s="612">
        <f t="shared" ref="D10:G10" si="0">SUM(D6:D9)</f>
        <v>249433147.65178823</v>
      </c>
      <c r="E10" s="612">
        <f t="shared" si="0"/>
        <v>175316077.80710104</v>
      </c>
      <c r="F10" s="612">
        <f t="shared" si="0"/>
        <v>242620013.29248178</v>
      </c>
      <c r="G10" s="649">
        <f t="shared" si="0"/>
        <v>265919322.95891446</v>
      </c>
    </row>
    <row r="11" spans="1:7">
      <c r="A11" s="638" t="s">
        <v>201</v>
      </c>
      <c r="B11" s="647" t="s">
        <v>201</v>
      </c>
      <c r="C11" s="452" t="s">
        <v>201</v>
      </c>
      <c r="D11" s="452" t="s">
        <v>201</v>
      </c>
      <c r="E11" s="452" t="s">
        <v>201</v>
      </c>
      <c r="F11" s="452" t="s">
        <v>201</v>
      </c>
      <c r="G11" s="469" t="s">
        <v>201</v>
      </c>
    </row>
    <row r="12" spans="1:7">
      <c r="A12" s="637" t="s">
        <v>646</v>
      </c>
      <c r="B12" s="647" t="s">
        <v>936</v>
      </c>
      <c r="C12" s="898">
        <f>+C10</f>
        <v>248572524.48164594</v>
      </c>
      <c r="D12" s="898">
        <f>+D10</f>
        <v>249433147.65178823</v>
      </c>
      <c r="E12" s="898">
        <f t="shared" ref="E12:G12" si="1">+E10</f>
        <v>175316077.80710104</v>
      </c>
      <c r="F12" s="898">
        <f t="shared" si="1"/>
        <v>242620013.29248178</v>
      </c>
      <c r="G12" s="899">
        <f t="shared" si="1"/>
        <v>265919322.95891446</v>
      </c>
    </row>
    <row r="13" spans="1:7">
      <c r="A13" s="637" t="s">
        <v>647</v>
      </c>
      <c r="B13" s="647" t="s">
        <v>201</v>
      </c>
      <c r="C13" s="898">
        <f>'E-IVA '!C22</f>
        <v>297675000</v>
      </c>
      <c r="D13" s="898">
        <f>'E-IVA '!D22</f>
        <v>416745000</v>
      </c>
      <c r="E13" s="898">
        <f>'E-IVA '!E22</f>
        <v>291721500</v>
      </c>
      <c r="F13" s="898">
        <f>'E-IVA '!F22</f>
        <v>416745000</v>
      </c>
      <c r="G13" s="898">
        <f>'E-IVA '!G22</f>
        <v>416745000</v>
      </c>
    </row>
    <row r="14" spans="1:7">
      <c r="A14" s="638" t="s">
        <v>941</v>
      </c>
      <c r="B14" s="647" t="s">
        <v>201</v>
      </c>
      <c r="C14" s="898">
        <f>C13-C12</f>
        <v>49102475.518354058</v>
      </c>
      <c r="D14" s="898">
        <f t="shared" ref="D14:F14" si="2">D13-D12</f>
        <v>167311852.34821177</v>
      </c>
      <c r="E14" s="898">
        <f t="shared" si="2"/>
        <v>116405422.19289896</v>
      </c>
      <c r="F14" s="898">
        <f t="shared" si="2"/>
        <v>174124986.70751822</v>
      </c>
      <c r="G14" s="899">
        <f>G13-G12</f>
        <v>150825677.04108554</v>
      </c>
    </row>
    <row r="15" spans="1:7">
      <c r="A15" s="637" t="s">
        <v>201</v>
      </c>
      <c r="B15" s="647" t="s">
        <v>201</v>
      </c>
      <c r="C15" s="845" t="s">
        <v>201</v>
      </c>
      <c r="D15" s="845" t="s">
        <v>201</v>
      </c>
      <c r="E15" s="845" t="s">
        <v>201</v>
      </c>
      <c r="F15" s="845" t="s">
        <v>201</v>
      </c>
      <c r="G15" s="846" t="s">
        <v>201</v>
      </c>
    </row>
    <row r="16" spans="1:7">
      <c r="A16" s="638" t="s">
        <v>942</v>
      </c>
      <c r="B16" s="612">
        <f>'E-IVA '!B25</f>
        <v>0</v>
      </c>
      <c r="C16" s="906">
        <f>B18</f>
        <v>64478120.140919097</v>
      </c>
      <c r="D16" s="906">
        <f t="shared" ref="D16:G16" si="3">C18</f>
        <v>91503380.301776648</v>
      </c>
      <c r="E16" s="906">
        <f t="shared" si="3"/>
        <v>0</v>
      </c>
      <c r="F16" s="906">
        <f t="shared" si="3"/>
        <v>0</v>
      </c>
      <c r="G16" s="906">
        <f t="shared" si="3"/>
        <v>0</v>
      </c>
    </row>
    <row r="17" spans="1:7" s="905" customFormat="1">
      <c r="A17" s="904" t="s">
        <v>943</v>
      </c>
      <c r="B17" s="898">
        <f>'F-2 Estructura'!B33</f>
        <v>64478120.140919097</v>
      </c>
      <c r="C17" s="898">
        <f>'F-2 Estructura'!C33</f>
        <v>76127735.679211602</v>
      </c>
      <c r="D17" s="898">
        <f>'E-Cal Inv.'!E23</f>
        <v>12128791.583038716</v>
      </c>
      <c r="E17" s="898">
        <f>'E-Cal Inv.'!F23</f>
        <v>11198155.697179005</v>
      </c>
      <c r="F17" s="898">
        <f>'E-Cal Inv.'!G23</f>
        <v>0</v>
      </c>
      <c r="G17" s="898">
        <f>'E-Cal Inv.'!H23</f>
        <v>0</v>
      </c>
    </row>
    <row r="18" spans="1:7">
      <c r="A18" s="638" t="s">
        <v>944</v>
      </c>
      <c r="B18" s="898">
        <f>B17</f>
        <v>64478120.140919097</v>
      </c>
      <c r="C18" s="898">
        <f>IF(C14&lt;SUM(C16:C17),SUM(C16:C17)-C14,0)</f>
        <v>91503380.301776648</v>
      </c>
      <c r="D18" s="898">
        <f>IF(D14&lt;SUM(D16:D17),SUM(D16:D17)-D14,0)</f>
        <v>0</v>
      </c>
      <c r="E18" s="898">
        <f t="shared" ref="E18:G18" si="4">IF(E14&lt;SUM(E16:E17),SUM(E16:E17)-E14,0)</f>
        <v>0</v>
      </c>
      <c r="F18" s="898">
        <f t="shared" si="4"/>
        <v>0</v>
      </c>
      <c r="G18" s="898">
        <f t="shared" si="4"/>
        <v>0</v>
      </c>
    </row>
    <row r="19" spans="1:7" s="905" customFormat="1">
      <c r="A19" s="904" t="s">
        <v>945</v>
      </c>
      <c r="B19" s="891">
        <f>B18-B17</f>
        <v>0</v>
      </c>
      <c r="C19" s="891">
        <f>+C16+C17-C18</f>
        <v>49102475.518354058</v>
      </c>
      <c r="D19" s="891">
        <f>+D16+D17-D18</f>
        <v>103632171.88481537</v>
      </c>
      <c r="E19" s="891">
        <f>+E16+E17-E18</f>
        <v>11198155.697179005</v>
      </c>
      <c r="F19" s="891">
        <f>+F16+F17-F18</f>
        <v>0</v>
      </c>
      <c r="G19" s="891">
        <f t="shared" ref="F19:G19" si="5">+G16+G17-G18</f>
        <v>0</v>
      </c>
    </row>
    <row r="20" spans="1:7">
      <c r="A20" s="637" t="s">
        <v>201</v>
      </c>
      <c r="B20" s="452" t="s">
        <v>201</v>
      </c>
      <c r="C20" s="452" t="s">
        <v>201</v>
      </c>
      <c r="D20" s="452" t="s">
        <v>201</v>
      </c>
      <c r="E20" s="452" t="s">
        <v>201</v>
      </c>
      <c r="F20" s="452" t="s">
        <v>201</v>
      </c>
      <c r="G20" s="469" t="s">
        <v>201</v>
      </c>
    </row>
    <row r="21" spans="1:7">
      <c r="A21" s="639" t="s">
        <v>653</v>
      </c>
      <c r="B21" s="907">
        <v>0</v>
      </c>
      <c r="C21" s="907">
        <f>C14-C19</f>
        <v>0</v>
      </c>
      <c r="D21" s="907">
        <f t="shared" ref="D21:G21" si="6">D14-D19</f>
        <v>63679680.4633964</v>
      </c>
      <c r="E21" s="907">
        <f t="shared" si="6"/>
        <v>105207266.49571995</v>
      </c>
      <c r="F21" s="907">
        <f>F14-F19</f>
        <v>174124986.70751822</v>
      </c>
      <c r="G21" s="907">
        <f t="shared" si="6"/>
        <v>150825677.04108554</v>
      </c>
    </row>
  </sheetData>
  <mergeCells count="1">
    <mergeCell ref="B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12" workbookViewId="0">
      <selection activeCell="C31" sqref="C31"/>
    </sheetView>
  </sheetViews>
  <sheetFormatPr defaultColWidth="8.85546875" defaultRowHeight="13.1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0" t="s">
        <v>57</v>
      </c>
      <c r="B1" s="581"/>
      <c r="C1" s="581"/>
      <c r="D1" s="158">
        <v>9</v>
      </c>
      <c r="E1" s="600" t="s">
        <v>201</v>
      </c>
      <c r="F1" s="158"/>
    </row>
    <row r="2" spans="1:6" ht="15.6">
      <c r="A2" s="602" t="s">
        <v>946</v>
      </c>
      <c r="B2" s="604" t="s">
        <v>201</v>
      </c>
      <c r="C2" s="604" t="s">
        <v>201</v>
      </c>
      <c r="D2" s="586" t="s">
        <v>201</v>
      </c>
      <c r="E2" s="158"/>
      <c r="F2" s="158"/>
    </row>
    <row r="3" spans="1:6">
      <c r="A3" s="457" t="s">
        <v>448</v>
      </c>
      <c r="B3" s="589" t="s">
        <v>14</v>
      </c>
      <c r="C3" s="589" t="s">
        <v>2</v>
      </c>
      <c r="D3" s="606" t="s">
        <v>599</v>
      </c>
      <c r="E3" s="158"/>
      <c r="F3" s="158"/>
    </row>
    <row r="4" spans="1:6">
      <c r="A4" s="589" t="s">
        <v>947</v>
      </c>
      <c r="B4" s="628" t="s">
        <v>201</v>
      </c>
      <c r="C4" s="628" t="s">
        <v>201</v>
      </c>
      <c r="D4" s="628" t="s">
        <v>201</v>
      </c>
      <c r="E4" s="158"/>
      <c r="F4" s="158"/>
    </row>
    <row r="5" spans="1:6">
      <c r="A5" s="158"/>
      <c r="B5" s="628" t="s">
        <v>201</v>
      </c>
      <c r="C5" s="628" t="s">
        <v>201</v>
      </c>
      <c r="D5" s="628" t="s">
        <v>201</v>
      </c>
      <c r="E5" s="158"/>
      <c r="F5" s="158"/>
    </row>
    <row r="6" spans="1:6">
      <c r="A6" s="158" t="s">
        <v>948</v>
      </c>
      <c r="B6" s="628">
        <f>'E-Inv AF y Am'!B21</f>
        <v>178373548.63124999</v>
      </c>
      <c r="C6" s="628">
        <f>'E-Inv AF y Am'!C21</f>
        <v>0</v>
      </c>
      <c r="D6" s="628">
        <f>B6+C6</f>
        <v>178373548.63124999</v>
      </c>
      <c r="E6" s="158"/>
      <c r="F6" s="158"/>
    </row>
    <row r="7" spans="1:6">
      <c r="A7" s="158" t="s">
        <v>949</v>
      </c>
      <c r="B7" s="628">
        <f>'E-Inv AF y Am'!B33+'F-Cred'!G18+'F-Cred'!I18</f>
        <v>128286845.26000001</v>
      </c>
      <c r="C7" s="628">
        <f>'E-Inv AF y Am'!C33</f>
        <v>169077445.80204773</v>
      </c>
      <c r="D7" s="628">
        <f>B7+C7</f>
        <v>297364291.06204772</v>
      </c>
      <c r="E7" s="158"/>
      <c r="F7" s="158"/>
    </row>
    <row r="8" spans="1:6">
      <c r="A8" s="589" t="s">
        <v>950</v>
      </c>
      <c r="B8" s="628">
        <f>B7+B6</f>
        <v>306660393.89125001</v>
      </c>
      <c r="C8" s="628">
        <f>SUM(C6:C7)</f>
        <v>169077445.80204773</v>
      </c>
      <c r="D8" s="628">
        <f>B8+C8</f>
        <v>475737839.69329774</v>
      </c>
      <c r="E8" s="158"/>
      <c r="F8" s="158"/>
    </row>
    <row r="9" spans="1:6">
      <c r="A9" s="158" t="s">
        <v>951</v>
      </c>
      <c r="B9" s="628">
        <f>InfoInicial!B3*B8</f>
        <v>64398682.717162497</v>
      </c>
      <c r="C9" s="628">
        <f>C8*InfoInicial!B3</f>
        <v>35506263.618430018</v>
      </c>
      <c r="D9" s="628">
        <f>B9+C9</f>
        <v>99904946.335592508</v>
      </c>
      <c r="E9" s="809"/>
      <c r="F9" s="158"/>
    </row>
    <row r="10" spans="1:6">
      <c r="A10" s="589" t="s">
        <v>952</v>
      </c>
      <c r="B10" s="628">
        <f>B9+B8</f>
        <v>371059076.6084125</v>
      </c>
      <c r="C10" s="628">
        <f>C9+C8</f>
        <v>204583709.42047775</v>
      </c>
      <c r="D10" s="628">
        <f>B10+C10</f>
        <v>575642786.02889025</v>
      </c>
      <c r="E10" s="158"/>
      <c r="F10" s="158"/>
    </row>
    <row r="11" spans="1:6">
      <c r="A11" s="589" t="s">
        <v>953</v>
      </c>
      <c r="B11" s="628" t="s">
        <v>201</v>
      </c>
      <c r="C11" s="628" t="s">
        <v>201</v>
      </c>
      <c r="D11" s="628"/>
      <c r="E11" s="158"/>
      <c r="F11" s="158"/>
    </row>
    <row r="12" spans="1:6">
      <c r="A12" s="158" t="s">
        <v>954</v>
      </c>
      <c r="B12" s="628">
        <f>'E-InvAT'!B6</f>
        <v>2268000</v>
      </c>
      <c r="C12" s="628">
        <f>'E-InvAT'!C6-'E-InvAT'!B6</f>
        <v>26082000</v>
      </c>
      <c r="D12" s="628">
        <f>B12+C12</f>
        <v>28350000</v>
      </c>
      <c r="E12" s="158"/>
      <c r="F12" s="158"/>
    </row>
    <row r="13" spans="1:6">
      <c r="A13" s="158" t="s">
        <v>955</v>
      </c>
      <c r="B13" s="628">
        <f>'E-InvAT'!B7</f>
        <v>0</v>
      </c>
      <c r="C13" s="628">
        <f>'E-InvAT'!C7</f>
        <v>116506849.3150685</v>
      </c>
      <c r="D13" s="628">
        <f>B13+C13</f>
        <v>116506849.3150685</v>
      </c>
      <c r="E13" s="158"/>
      <c r="F13" s="158"/>
    </row>
    <row r="14" spans="1:6">
      <c r="A14" s="158" t="s">
        <v>956</v>
      </c>
      <c r="B14" s="628">
        <f>'E-InvAT'!B9</f>
        <v>959473.54645999998</v>
      </c>
      <c r="C14" s="628">
        <f>'E-InvAT'!C9</f>
        <v>66428130.258623838</v>
      </c>
      <c r="D14" s="628">
        <f>B14+C14</f>
        <v>67387603.805083841</v>
      </c>
      <c r="E14" s="158"/>
      <c r="F14" s="158"/>
    </row>
    <row r="15" spans="1:6">
      <c r="A15" s="589" t="s">
        <v>957</v>
      </c>
      <c r="B15" s="628">
        <f>'E-InvAT'!B15</f>
        <v>3227473.5464599999</v>
      </c>
      <c r="C15" s="628">
        <f>SUM(C12:C14)</f>
        <v>209016979.57369232</v>
      </c>
      <c r="D15" s="628">
        <f>B15+C15</f>
        <v>212244453.12015232</v>
      </c>
      <c r="E15" s="158"/>
      <c r="F15" s="158"/>
    </row>
    <row r="16" spans="1:6">
      <c r="A16" s="158" t="s">
        <v>536</v>
      </c>
      <c r="B16" s="628" t="s">
        <v>201</v>
      </c>
      <c r="C16" s="628" t="s">
        <v>201</v>
      </c>
      <c r="D16" s="628"/>
      <c r="E16" s="158"/>
      <c r="F16" s="158"/>
    </row>
    <row r="17" spans="1:6">
      <c r="A17" s="158" t="s">
        <v>958</v>
      </c>
      <c r="B17" s="628">
        <f>'E-InvAT'!B17+'E-InvAT'!B18</f>
        <v>0</v>
      </c>
      <c r="C17" s="628">
        <f>'E-InvAT'!C17+'E-InvAT'!C18</f>
        <v>8026860.365837398</v>
      </c>
      <c r="D17" s="628">
        <f t="shared" ref="D17:D23" si="0">B17+C17</f>
        <v>8026860.365837398</v>
      </c>
      <c r="E17" s="158"/>
      <c r="F17" s="158"/>
    </row>
    <row r="18" spans="1:6">
      <c r="A18" s="158" t="s">
        <v>959</v>
      </c>
      <c r="B18" s="628">
        <f>'E-InvAT'!B20</f>
        <v>0</v>
      </c>
      <c r="C18" s="628">
        <f>('E-Inv AF y Am'!D57-C17+('F-Cred'!B18+'F-Cred'!I18)/3)*'E-InvAT'!J1/360</f>
        <v>5485550.8843046231</v>
      </c>
      <c r="D18" s="628">
        <f t="shared" si="0"/>
        <v>5485550.8843046231</v>
      </c>
      <c r="E18" s="158"/>
      <c r="F18" s="158"/>
    </row>
    <row r="19" spans="1:6">
      <c r="A19" s="158" t="s">
        <v>960</v>
      </c>
      <c r="B19" s="628">
        <f>'E-InvAT'!B19</f>
        <v>0</v>
      </c>
      <c r="C19" s="920">
        <f>('F-CRes'!B14/'E-Costos'!C114)*'E-InvAT'!C7</f>
        <v>637609.9945290226</v>
      </c>
      <c r="D19" s="628">
        <f t="shared" si="0"/>
        <v>637609.9945290226</v>
      </c>
      <c r="E19" s="158"/>
      <c r="F19" s="158"/>
    </row>
    <row r="20" spans="1:6">
      <c r="A20" s="589" t="s">
        <v>961</v>
      </c>
      <c r="B20" s="628">
        <f>B15-B17-B18-B19</f>
        <v>3227473.5464599999</v>
      </c>
      <c r="C20" s="628">
        <f>C15-C17-C18-C19</f>
        <v>194866958.3290213</v>
      </c>
      <c r="D20" s="628">
        <f t="shared" si="0"/>
        <v>198094431.87548131</v>
      </c>
      <c r="E20" s="158"/>
      <c r="F20" s="158"/>
    </row>
    <row r="21" spans="1:6">
      <c r="A21" s="158" t="s">
        <v>693</v>
      </c>
      <c r="B21" s="628">
        <f>'E-InvAT'!B34</f>
        <v>79437.423756599994</v>
      </c>
      <c r="C21" s="628">
        <f>'E-InvAT'!C34</f>
        <v>40621472.060781583</v>
      </c>
      <c r="D21" s="628">
        <f t="shared" si="0"/>
        <v>40700909.484538183</v>
      </c>
      <c r="E21" s="809"/>
      <c r="F21" s="158"/>
    </row>
    <row r="22" spans="1:6">
      <c r="A22" s="589" t="s">
        <v>962</v>
      </c>
      <c r="B22" s="628">
        <f>B15+B21</f>
        <v>3306910.9702165998</v>
      </c>
      <c r="C22" s="628">
        <f>C15*(1+InfoInicial!B3)</f>
        <v>252910545.28416771</v>
      </c>
      <c r="D22" s="628">
        <f t="shared" si="0"/>
        <v>256217456.25438431</v>
      </c>
      <c r="E22" s="158"/>
      <c r="F22" s="158"/>
    </row>
    <row r="23" spans="1:6">
      <c r="A23" s="589" t="s">
        <v>963</v>
      </c>
      <c r="B23" s="628">
        <f>B20+B21</f>
        <v>3306910.9702165998</v>
      </c>
      <c r="C23" s="628">
        <f>C20+C21</f>
        <v>235488430.38980287</v>
      </c>
      <c r="D23" s="628">
        <f t="shared" si="0"/>
        <v>238795341.36001948</v>
      </c>
      <c r="E23" s="158"/>
      <c r="F23" s="158"/>
    </row>
    <row r="24" spans="1:6">
      <c r="A24" s="589" t="s">
        <v>964</v>
      </c>
      <c r="B24" s="628" t="s">
        <v>201</v>
      </c>
      <c r="C24" s="628" t="s">
        <v>201</v>
      </c>
      <c r="D24" s="628"/>
      <c r="E24" s="158"/>
      <c r="F24" s="158"/>
    </row>
    <row r="25" spans="1:6">
      <c r="A25" s="158" t="s">
        <v>965</v>
      </c>
      <c r="B25" s="628">
        <f>B10</f>
        <v>371059076.6084125</v>
      </c>
      <c r="C25" s="628">
        <f>C10</f>
        <v>204583709.42047775</v>
      </c>
      <c r="D25" s="628">
        <f t="shared" ref="D25:D31" si="1">B25+C25</f>
        <v>575642786.02889025</v>
      </c>
      <c r="E25" s="158"/>
      <c r="F25" s="158"/>
    </row>
    <row r="26" spans="1:6">
      <c r="A26" s="158" t="s">
        <v>966</v>
      </c>
      <c r="B26" s="628">
        <f>B23</f>
        <v>3306910.9702165998</v>
      </c>
      <c r="C26" s="628">
        <f>C23</f>
        <v>235488430.38980287</v>
      </c>
      <c r="D26" s="628">
        <f t="shared" si="1"/>
        <v>238795341.36001948</v>
      </c>
      <c r="E26" s="158"/>
      <c r="F26" s="158"/>
    </row>
    <row r="27" spans="1:6">
      <c r="A27" s="589" t="s">
        <v>967</v>
      </c>
      <c r="B27" s="628">
        <f>B25+B26</f>
        <v>374365987.57862908</v>
      </c>
      <c r="C27" s="628">
        <f>C25+C26</f>
        <v>440072139.81028062</v>
      </c>
      <c r="D27" s="628">
        <f t="shared" si="1"/>
        <v>814438127.3889097</v>
      </c>
      <c r="E27" s="609" t="s">
        <v>201</v>
      </c>
      <c r="F27" s="158"/>
    </row>
    <row r="28" spans="1:6">
      <c r="A28" s="589" t="s">
        <v>968</v>
      </c>
      <c r="B28" s="628">
        <v>0</v>
      </c>
      <c r="C28" s="628">
        <v>0</v>
      </c>
      <c r="D28" s="628">
        <f t="shared" si="1"/>
        <v>0</v>
      </c>
      <c r="E28" s="619" t="s">
        <v>969</v>
      </c>
      <c r="F28" s="158"/>
    </row>
    <row r="29" spans="1:6">
      <c r="A29" s="589" t="s">
        <v>970</v>
      </c>
      <c r="B29" s="628">
        <v>0</v>
      </c>
      <c r="C29" s="628">
        <f>'F-Cred'!D6</f>
        <v>799561.28871666663</v>
      </c>
      <c r="D29" s="628">
        <f t="shared" si="1"/>
        <v>799561.28871666663</v>
      </c>
      <c r="E29" s="831">
        <f>D29/$D$27</f>
        <v>9.8173361711350834E-4</v>
      </c>
      <c r="F29" s="158"/>
    </row>
    <row r="30" spans="1:6">
      <c r="A30" s="589" t="s">
        <v>971</v>
      </c>
      <c r="B30" s="628">
        <f>'F-Cred'!C30</f>
        <v>54491087.000000007</v>
      </c>
      <c r="C30" s="628"/>
      <c r="D30" s="628">
        <f t="shared" si="1"/>
        <v>54491087.000000007</v>
      </c>
      <c r="E30" s="607">
        <f>D30/$D$27</f>
        <v>6.6906355642630019E-2</v>
      </c>
      <c r="F30" s="158"/>
    </row>
    <row r="31" spans="1:6">
      <c r="A31" s="589" t="s">
        <v>972</v>
      </c>
      <c r="B31" s="711">
        <f>B27-B29-B30</f>
        <v>319874900.57862908</v>
      </c>
      <c r="C31" s="711">
        <f>C27-C29-C30</f>
        <v>439272578.52156395</v>
      </c>
      <c r="D31" s="711">
        <f t="shared" si="1"/>
        <v>759147479.10019302</v>
      </c>
      <c r="E31" s="712">
        <f t="shared" ref="E31:E32" si="2">D31/$D$27</f>
        <v>0.93211191074025646</v>
      </c>
      <c r="F31" s="158"/>
    </row>
    <row r="32" spans="1:6">
      <c r="A32" s="608" t="s">
        <v>599</v>
      </c>
      <c r="B32" s="709">
        <f>SUM(B29:B31)</f>
        <v>374365987.57862908</v>
      </c>
      <c r="C32" s="709">
        <f>SUM(C29:C31)</f>
        <v>440072139.81028062</v>
      </c>
      <c r="D32" s="709">
        <f>SUM(D29:D31)</f>
        <v>814438127.3889097</v>
      </c>
      <c r="E32" s="710">
        <f t="shared" si="2"/>
        <v>1</v>
      </c>
      <c r="F32" s="158"/>
    </row>
    <row r="33" spans="1:6">
      <c r="A33" s="617" t="s">
        <v>973</v>
      </c>
      <c r="B33" s="809">
        <f>+B21+B9</f>
        <v>64478120.140919097</v>
      </c>
      <c r="C33" s="809">
        <f>+C21+C9</f>
        <v>76127735.679211602</v>
      </c>
      <c r="D33" s="809"/>
      <c r="E33" s="158"/>
      <c r="F33" s="158"/>
    </row>
    <row r="34" spans="1:6">
      <c r="A34" s="617" t="s">
        <v>974</v>
      </c>
      <c r="B34" s="809">
        <f>B31</f>
        <v>319874900.57862908</v>
      </c>
      <c r="C34" s="809">
        <f>B31+C31</f>
        <v>759147479.10019302</v>
      </c>
      <c r="D34" s="158"/>
      <c r="E34" s="158"/>
      <c r="F34" s="158"/>
    </row>
    <row r="35" spans="1:6" ht="15.6">
      <c r="A35" s="602" t="s">
        <v>975</v>
      </c>
      <c r="B35" s="604" t="s">
        <v>201</v>
      </c>
      <c r="C35" s="604" t="s">
        <v>201</v>
      </c>
      <c r="D35" s="604" t="s">
        <v>201</v>
      </c>
      <c r="E35" s="604" t="s">
        <v>201</v>
      </c>
      <c r="F35" s="604" t="s">
        <v>201</v>
      </c>
    </row>
    <row r="36" spans="1:6">
      <c r="A36" s="457" t="s">
        <v>448</v>
      </c>
      <c r="B36" s="587" t="s">
        <v>2</v>
      </c>
      <c r="C36" s="587" t="s">
        <v>3</v>
      </c>
      <c r="D36" s="587" t="s">
        <v>4</v>
      </c>
      <c r="E36" s="587" t="s">
        <v>5</v>
      </c>
      <c r="F36" s="587" t="s">
        <v>6</v>
      </c>
    </row>
    <row r="37" spans="1:6">
      <c r="A37" s="92" t="s">
        <v>585</v>
      </c>
      <c r="B37" s="628">
        <f>'E-Costos'!C154</f>
        <v>71623865.399076208</v>
      </c>
      <c r="C37" s="628">
        <f>'E-Costos'!D154</f>
        <v>71623865.399076208</v>
      </c>
      <c r="D37" s="628">
        <f>'E-Costos'!E154</f>
        <v>71354378.324076205</v>
      </c>
      <c r="E37" s="628">
        <f>'E-Costos'!F154</f>
        <v>71623865.399076208</v>
      </c>
      <c r="F37" s="628">
        <f>'E-Costos'!G154</f>
        <v>71623865.399076208</v>
      </c>
    </row>
    <row r="38" spans="1:6">
      <c r="A38" s="94" t="s">
        <v>586</v>
      </c>
      <c r="B38" s="628">
        <f>'E-Costos'!C155</f>
        <v>1302368510.1261854</v>
      </c>
      <c r="C38" s="628">
        <f>'E-Costos'!D155</f>
        <v>1213283015.5161855</v>
      </c>
      <c r="D38" s="628">
        <f>'E-Costos'!E155</f>
        <v>853511221.96943521</v>
      </c>
      <c r="E38" s="628">
        <f>'E-Costos'!F155</f>
        <v>1213283015.5161855</v>
      </c>
      <c r="F38" s="628">
        <f>'E-Costos'!G155</f>
        <v>1213283015.5161855</v>
      </c>
    </row>
    <row r="39" spans="1:6">
      <c r="A39" s="92" t="s">
        <v>587</v>
      </c>
      <c r="B39" s="628">
        <f>'E-Costos'!C156</f>
        <v>6386781.5859320518</v>
      </c>
      <c r="C39" s="628">
        <f>'E-Costos'!D156</f>
        <v>6320857.4409320531</v>
      </c>
      <c r="D39" s="628">
        <f>'E-Costos'!E156</f>
        <v>5765362.3644320518</v>
      </c>
      <c r="E39" s="628">
        <f>'E-Costos'!F156</f>
        <v>6320857.4409320531</v>
      </c>
      <c r="F39" s="628">
        <f>'E-Costos'!G156</f>
        <v>6320857.4409320531</v>
      </c>
    </row>
    <row r="40" spans="1:6">
      <c r="A40" s="94" t="s">
        <v>588</v>
      </c>
      <c r="B40" s="628">
        <f>'E-Costos'!C157</f>
        <v>207115.11665916175</v>
      </c>
      <c r="C40" s="628">
        <f>'E-Costos'!D157</f>
        <v>207115.11665916172</v>
      </c>
      <c r="D40" s="628">
        <f>'E-Costos'!E157</f>
        <v>207115.11665916175</v>
      </c>
      <c r="E40" s="628">
        <f>'E-Costos'!F157</f>
        <v>207115.11665916172</v>
      </c>
      <c r="F40" s="628">
        <f>'E-Costos'!G157</f>
        <v>207115.11665916172</v>
      </c>
    </row>
    <row r="41" spans="1:6">
      <c r="A41" s="92" t="s">
        <v>589</v>
      </c>
      <c r="B41" s="628">
        <f>'E-Costos'!C158</f>
        <v>48333184.001515433</v>
      </c>
      <c r="C41" s="628">
        <f>'E-Costos'!D158</f>
        <v>65280399.101515435</v>
      </c>
      <c r="D41" s="628">
        <f>'E-Costos'!E158</f>
        <v>46462809.981515445</v>
      </c>
      <c r="E41" s="628">
        <f>'E-Costos'!F158</f>
        <v>65280399.101515435</v>
      </c>
      <c r="F41" s="628">
        <f>'E-Costos'!G158</f>
        <v>65280399.101515435</v>
      </c>
    </row>
    <row r="42" spans="1:6">
      <c r="A42" s="94" t="s">
        <v>590</v>
      </c>
      <c r="B42" s="628">
        <f>'E-Costos'!C159</f>
        <v>5289459.2000757717</v>
      </c>
      <c r="C42" s="628">
        <f>'E-Costos'!D159</f>
        <v>6136819.9550757715</v>
      </c>
      <c r="D42" s="628">
        <f>'E-Costos'!E159</f>
        <v>5195940.4990757722</v>
      </c>
      <c r="E42" s="628">
        <f>'E-Costos'!F159</f>
        <v>6136819.9550757715</v>
      </c>
      <c r="F42" s="628">
        <f>'E-Costos'!G159</f>
        <v>6136819.9550757715</v>
      </c>
    </row>
    <row r="43" spans="1:6">
      <c r="A43" s="457" t="s">
        <v>793</v>
      </c>
      <c r="B43" s="612">
        <f>'F-CRes'!B10</f>
        <v>34400053.07560467</v>
      </c>
      <c r="C43" s="612">
        <f>'F-CRes'!C10</f>
        <v>26717944.375604667</v>
      </c>
      <c r="D43" s="612">
        <f>'F-CRes'!D10</f>
        <v>14223086.638937999</v>
      </c>
      <c r="E43" s="612">
        <f>'F-CRes'!E10</f>
        <v>6540977.9389380002</v>
      </c>
      <c r="F43" s="612">
        <f>'F-CRes'!F10</f>
        <v>110849278.08</v>
      </c>
    </row>
    <row r="44" spans="1:6">
      <c r="A44" s="457" t="s">
        <v>591</v>
      </c>
      <c r="B44" s="612">
        <f>'F-CRes'!B4-B38-B40-B42-B43</f>
        <v>75234862.481474966</v>
      </c>
      <c r="C44" s="612">
        <f>'F-CRes'!C4-C38-C40-C42-C43</f>
        <v>738155105.03647494</v>
      </c>
      <c r="D44" s="612">
        <f>'F-CRes'!D4-D38-D40-D42-D43</f>
        <v>516012635.77589184</v>
      </c>
      <c r="E44" s="612">
        <f>'F-CRes'!E4-E38-E40-E42-E43</f>
        <v>758332071.47314155</v>
      </c>
      <c r="F44" s="612">
        <f>'F-CRes'!F4-F38-F40-F42-F43</f>
        <v>654023771.33207953</v>
      </c>
    </row>
    <row r="45" spans="1:6">
      <c r="A45" s="476" t="s">
        <v>592</v>
      </c>
      <c r="B45" s="615">
        <f>(B37+B39+B41)/B44</f>
        <v>1.6793256054350236</v>
      </c>
      <c r="C45" s="615">
        <f t="shared" ref="C45:F45" si="3">(C37+C39+C41)/C44</f>
        <v>0.19403120152430081</v>
      </c>
      <c r="D45" s="615">
        <f t="shared" si="3"/>
        <v>0.23949520244635353</v>
      </c>
      <c r="E45" s="615">
        <f t="shared" si="3"/>
        <v>0.18886860694589047</v>
      </c>
      <c r="F45" s="615">
        <f t="shared" si="3"/>
        <v>0.21899069761609838</v>
      </c>
    </row>
    <row r="46" spans="1:6" ht="15.6">
      <c r="A46" s="620" t="s">
        <v>976</v>
      </c>
      <c r="B46" s="603"/>
      <c r="C46" s="603"/>
      <c r="D46" s="603"/>
      <c r="E46" s="158"/>
      <c r="F46" s="158"/>
    </row>
    <row r="50" spans="1:6" ht="13.9">
      <c r="A50" s="98" t="s">
        <v>2</v>
      </c>
      <c r="B50" s="3"/>
      <c r="C50" s="3"/>
      <c r="D50" s="3"/>
      <c r="E50" s="3"/>
      <c r="F50" s="3"/>
    </row>
    <row r="51" spans="1:6">
      <c r="A51" s="99" t="s">
        <v>594</v>
      </c>
      <c r="B51" s="526" t="s">
        <v>595</v>
      </c>
      <c r="C51" s="526" t="s">
        <v>596</v>
      </c>
      <c r="D51" s="526" t="s">
        <v>597</v>
      </c>
      <c r="E51" s="526" t="s">
        <v>598</v>
      </c>
      <c r="F51" s="526" t="s">
        <v>599</v>
      </c>
    </row>
    <row r="52" spans="1:6">
      <c r="A52" s="100">
        <f>'E-Costos'!B166</f>
        <v>1417500000</v>
      </c>
      <c r="B52" s="527">
        <v>0</v>
      </c>
      <c r="C52" s="528">
        <f>$A$52*B52</f>
        <v>0</v>
      </c>
      <c r="D52" s="436">
        <f>$B$37+$B$39+$B$41+$B$43</f>
        <v>160743884.06212837</v>
      </c>
      <c r="E52" s="436">
        <f>$E$72*B52</f>
        <v>0</v>
      </c>
      <c r="F52" s="436">
        <f>D52+E52</f>
        <v>160743884.06212837</v>
      </c>
    </row>
    <row r="53" spans="1:6">
      <c r="A53" s="3"/>
      <c r="B53" s="527">
        <v>0.05</v>
      </c>
      <c r="C53" s="528">
        <f t="shared" ref="C53:C72" si="4">$A$52*B53</f>
        <v>70875000</v>
      </c>
      <c r="D53" s="436">
        <f t="shared" ref="D53:D72" si="5">$B$37+$B$39+$B$41+$B$43</f>
        <v>160743884.06212837</v>
      </c>
      <c r="E53" s="436">
        <f t="shared" ref="E53:E71" si="6">$E$72*B53</f>
        <v>65393254.222146027</v>
      </c>
      <c r="F53" s="436">
        <f t="shared" ref="F53:F72" si="7">D53+E53</f>
        <v>226137138.2842744</v>
      </c>
    </row>
    <row r="54" spans="1:6">
      <c r="A54" s="3"/>
      <c r="B54" s="527">
        <v>0.1</v>
      </c>
      <c r="C54" s="528">
        <f t="shared" si="4"/>
        <v>141750000</v>
      </c>
      <c r="D54" s="436">
        <f t="shared" si="5"/>
        <v>160743884.06212837</v>
      </c>
      <c r="E54" s="436">
        <f t="shared" si="6"/>
        <v>130786508.44429205</v>
      </c>
      <c r="F54" s="436">
        <f t="shared" si="7"/>
        <v>291530392.50642043</v>
      </c>
    </row>
    <row r="55" spans="1:6">
      <c r="A55" s="3"/>
      <c r="B55" s="527">
        <v>0.15</v>
      </c>
      <c r="C55" s="528">
        <f t="shared" si="4"/>
        <v>212625000</v>
      </c>
      <c r="D55" s="436">
        <f t="shared" si="5"/>
        <v>160743884.06212837</v>
      </c>
      <c r="E55" s="436">
        <f t="shared" si="6"/>
        <v>196179762.66643807</v>
      </c>
      <c r="F55" s="436">
        <f t="shared" si="7"/>
        <v>356923646.72856641</v>
      </c>
    </row>
    <row r="56" spans="1:6">
      <c r="A56" s="3"/>
      <c r="B56" s="527">
        <v>0.2</v>
      </c>
      <c r="C56" s="528">
        <f t="shared" si="4"/>
        <v>283500000</v>
      </c>
      <c r="D56" s="436">
        <f t="shared" si="5"/>
        <v>160743884.06212837</v>
      </c>
      <c r="E56" s="436">
        <f t="shared" si="6"/>
        <v>261573016.88858411</v>
      </c>
      <c r="F56" s="436">
        <f>D56+E56</f>
        <v>422316900.95071244</v>
      </c>
    </row>
    <row r="57" spans="1:6">
      <c r="A57" s="3"/>
      <c r="B57" s="527">
        <v>0.25</v>
      </c>
      <c r="C57" s="528">
        <f t="shared" si="4"/>
        <v>354375000</v>
      </c>
      <c r="D57" s="436">
        <f t="shared" si="5"/>
        <v>160743884.06212837</v>
      </c>
      <c r="E57" s="436">
        <f t="shared" si="6"/>
        <v>326966271.11073011</v>
      </c>
      <c r="F57" s="436">
        <f t="shared" si="7"/>
        <v>487710155.17285848</v>
      </c>
    </row>
    <row r="58" spans="1:6">
      <c r="A58" s="3"/>
      <c r="B58" s="527">
        <v>0.3</v>
      </c>
      <c r="C58" s="528">
        <f t="shared" si="4"/>
        <v>425250000</v>
      </c>
      <c r="D58" s="436">
        <f t="shared" si="5"/>
        <v>160743884.06212837</v>
      </c>
      <c r="E58" s="436">
        <f t="shared" si="6"/>
        <v>392359525.33287615</v>
      </c>
      <c r="F58" s="436">
        <f t="shared" si="7"/>
        <v>553103409.39500451</v>
      </c>
    </row>
    <row r="59" spans="1:6">
      <c r="A59" s="3"/>
      <c r="B59" s="527">
        <v>0.35</v>
      </c>
      <c r="C59" s="528">
        <f t="shared" si="4"/>
        <v>496124999.99999994</v>
      </c>
      <c r="D59" s="436">
        <f t="shared" si="5"/>
        <v>160743884.06212837</v>
      </c>
      <c r="E59" s="436">
        <f t="shared" si="6"/>
        <v>457752779.55502212</v>
      </c>
      <c r="F59" s="436">
        <f>D59+E59</f>
        <v>618496663.61715055</v>
      </c>
    </row>
    <row r="60" spans="1:6">
      <c r="A60" s="3"/>
      <c r="B60" s="527">
        <v>0.4</v>
      </c>
      <c r="C60" s="528">
        <f t="shared" si="4"/>
        <v>567000000</v>
      </c>
      <c r="D60" s="436">
        <f t="shared" si="5"/>
        <v>160743884.06212837</v>
      </c>
      <c r="E60" s="436">
        <f t="shared" si="6"/>
        <v>523146033.77716821</v>
      </c>
      <c r="F60" s="436">
        <f t="shared" si="7"/>
        <v>683889917.83929658</v>
      </c>
    </row>
    <row r="61" spans="1:6">
      <c r="A61" s="3"/>
      <c r="B61" s="527">
        <v>0.45</v>
      </c>
      <c r="C61" s="528">
        <f t="shared" si="4"/>
        <v>637875000</v>
      </c>
      <c r="D61" s="436">
        <f t="shared" si="5"/>
        <v>160743884.06212837</v>
      </c>
      <c r="E61" s="436">
        <f t="shared" si="6"/>
        <v>588539287.99931419</v>
      </c>
      <c r="F61" s="436">
        <f t="shared" si="7"/>
        <v>749283172.06144261</v>
      </c>
    </row>
    <row r="62" spans="1:6">
      <c r="A62" s="3"/>
      <c r="B62" s="527">
        <v>0.5</v>
      </c>
      <c r="C62" s="528">
        <f t="shared" si="4"/>
        <v>708750000</v>
      </c>
      <c r="D62" s="436">
        <f t="shared" si="5"/>
        <v>160743884.06212837</v>
      </c>
      <c r="E62" s="436">
        <f t="shared" si="6"/>
        <v>653932542.22146022</v>
      </c>
      <c r="F62" s="436">
        <f t="shared" si="7"/>
        <v>814676426.28358865</v>
      </c>
    </row>
    <row r="63" spans="1:6">
      <c r="A63" s="3"/>
      <c r="B63" s="527">
        <v>0.55000000000000004</v>
      </c>
      <c r="C63" s="528">
        <f t="shared" si="4"/>
        <v>779625000.00000012</v>
      </c>
      <c r="D63" s="436">
        <f t="shared" si="5"/>
        <v>160743884.06212837</v>
      </c>
      <c r="E63" s="436">
        <f t="shared" si="6"/>
        <v>719325796.44360626</v>
      </c>
      <c r="F63" s="436">
        <f>D63+E63</f>
        <v>880069680.50573468</v>
      </c>
    </row>
    <row r="64" spans="1:6">
      <c r="A64" s="3"/>
      <c r="B64" s="527">
        <v>0.6</v>
      </c>
      <c r="C64" s="528">
        <f t="shared" si="4"/>
        <v>850500000</v>
      </c>
      <c r="D64" s="436">
        <f t="shared" si="5"/>
        <v>160743884.06212837</v>
      </c>
      <c r="E64" s="436">
        <f t="shared" si="6"/>
        <v>784719050.66575229</v>
      </c>
      <c r="F64" s="436">
        <f t="shared" si="7"/>
        <v>945462934.72788072</v>
      </c>
    </row>
    <row r="65" spans="1:6">
      <c r="A65" s="3"/>
      <c r="B65" s="527">
        <v>0.65</v>
      </c>
      <c r="C65" s="528">
        <f t="shared" si="4"/>
        <v>921375000</v>
      </c>
      <c r="D65" s="436">
        <f t="shared" si="5"/>
        <v>160743884.06212837</v>
      </c>
      <c r="E65" s="436">
        <f t="shared" si="6"/>
        <v>850112304.88789833</v>
      </c>
      <c r="F65" s="436">
        <f t="shared" si="7"/>
        <v>1010856188.9500268</v>
      </c>
    </row>
    <row r="66" spans="1:6">
      <c r="A66" s="3"/>
      <c r="B66" s="527">
        <v>0.7</v>
      </c>
      <c r="C66" s="528">
        <f t="shared" si="4"/>
        <v>992249999.99999988</v>
      </c>
      <c r="D66" s="436">
        <f t="shared" si="5"/>
        <v>160743884.06212837</v>
      </c>
      <c r="E66" s="436">
        <f t="shared" si="6"/>
        <v>915505559.11004424</v>
      </c>
      <c r="F66" s="436">
        <f t="shared" si="7"/>
        <v>1076249443.1721725</v>
      </c>
    </row>
    <row r="67" spans="1:6">
      <c r="A67" s="3"/>
      <c r="B67" s="527">
        <v>0.75</v>
      </c>
      <c r="C67" s="528">
        <f t="shared" si="4"/>
        <v>1063125000</v>
      </c>
      <c r="D67" s="436">
        <f t="shared" si="5"/>
        <v>160743884.06212837</v>
      </c>
      <c r="E67" s="436">
        <f t="shared" si="6"/>
        <v>980898813.33219028</v>
      </c>
      <c r="F67" s="436">
        <f t="shared" si="7"/>
        <v>1141642697.3943186</v>
      </c>
    </row>
    <row r="68" spans="1:6">
      <c r="A68" s="3"/>
      <c r="B68" s="527">
        <v>0.8</v>
      </c>
      <c r="C68" s="528">
        <f t="shared" si="4"/>
        <v>1134000000</v>
      </c>
      <c r="D68" s="436">
        <f t="shared" si="5"/>
        <v>160743884.06212837</v>
      </c>
      <c r="E68" s="436">
        <f t="shared" si="6"/>
        <v>1046292067.5543364</v>
      </c>
      <c r="F68" s="436">
        <f t="shared" si="7"/>
        <v>1207035951.6164649</v>
      </c>
    </row>
    <row r="69" spans="1:6">
      <c r="A69" s="3"/>
      <c r="B69" s="527">
        <v>0.85</v>
      </c>
      <c r="C69" s="528">
        <f t="shared" si="4"/>
        <v>1204875000</v>
      </c>
      <c r="D69" s="436">
        <f t="shared" si="5"/>
        <v>160743884.06212837</v>
      </c>
      <c r="E69" s="436">
        <f t="shared" si="6"/>
        <v>1111685321.7764823</v>
      </c>
      <c r="F69" s="436">
        <f t="shared" si="7"/>
        <v>1272429205.8386106</v>
      </c>
    </row>
    <row r="70" spans="1:6">
      <c r="A70" s="3"/>
      <c r="B70" s="527">
        <v>0.9</v>
      </c>
      <c r="C70" s="528">
        <f t="shared" si="4"/>
        <v>1275750000</v>
      </c>
      <c r="D70" s="436">
        <f t="shared" si="5"/>
        <v>160743884.06212837</v>
      </c>
      <c r="E70" s="436">
        <f t="shared" si="6"/>
        <v>1177078575.9986284</v>
      </c>
      <c r="F70" s="436">
        <f t="shared" si="7"/>
        <v>1337822460.0607567</v>
      </c>
    </row>
    <row r="71" spans="1:6">
      <c r="A71" s="3"/>
      <c r="B71" s="527">
        <v>0.95</v>
      </c>
      <c r="C71" s="528">
        <f t="shared" si="4"/>
        <v>1346625000</v>
      </c>
      <c r="D71" s="436">
        <f t="shared" si="5"/>
        <v>160743884.06212837</v>
      </c>
      <c r="E71" s="436">
        <f t="shared" si="6"/>
        <v>1242471830.2207744</v>
      </c>
      <c r="F71" s="436">
        <f t="shared" si="7"/>
        <v>1403215714.2829027</v>
      </c>
    </row>
    <row r="72" spans="1:6">
      <c r="A72" s="3"/>
      <c r="B72" s="527">
        <v>1</v>
      </c>
      <c r="C72" s="528">
        <f t="shared" si="4"/>
        <v>1417500000</v>
      </c>
      <c r="D72" s="436">
        <f t="shared" si="5"/>
        <v>160743884.06212837</v>
      </c>
      <c r="E72" s="436">
        <f>$B$38+B40+B42</f>
        <v>1307865084.4429204</v>
      </c>
      <c r="F72" s="436">
        <f t="shared" si="7"/>
        <v>1468608968.5050488</v>
      </c>
    </row>
    <row r="76" spans="1:6" ht="13.9">
      <c r="A76" s="98" t="s">
        <v>6</v>
      </c>
      <c r="B76" s="3"/>
      <c r="C76" s="3"/>
      <c r="D76" s="3"/>
      <c r="E76" s="3"/>
      <c r="F76" s="3"/>
    </row>
    <row r="77" spans="1:6">
      <c r="A77" s="99" t="s">
        <v>594</v>
      </c>
      <c r="B77" s="526" t="s">
        <v>595</v>
      </c>
      <c r="C77" s="526" t="s">
        <v>596</v>
      </c>
      <c r="D77" s="526" t="s">
        <v>597</v>
      </c>
      <c r="E77" s="526" t="s">
        <v>598</v>
      </c>
      <c r="F77" s="526" t="s">
        <v>599</v>
      </c>
    </row>
    <row r="78" spans="1:6">
      <c r="A78" s="100">
        <f>'E-Costos'!B191</f>
        <v>1984500000</v>
      </c>
      <c r="B78" s="527">
        <v>0</v>
      </c>
      <c r="C78" s="528">
        <f>$A$52*B78</f>
        <v>0</v>
      </c>
      <c r="D78" s="436">
        <f>$F$37+$F$39+$F$41+$F$43</f>
        <v>254074400.02152371</v>
      </c>
      <c r="E78" s="436">
        <f>$E$98*B78</f>
        <v>0</v>
      </c>
      <c r="F78" s="436">
        <f>D78+E78</f>
        <v>254074400.02152371</v>
      </c>
    </row>
    <row r="79" spans="1:6">
      <c r="A79" s="3"/>
      <c r="B79" s="527">
        <v>0.05</v>
      </c>
      <c r="C79" s="528">
        <f t="shared" ref="C79:C98" si="8">$A$52*B79</f>
        <v>70875000</v>
      </c>
      <c r="D79" s="436">
        <f t="shared" ref="D79:D98" si="9">$F$37+$F$39+$F$41+$F$43</f>
        <v>254074400.02152371</v>
      </c>
      <c r="E79" s="436">
        <f t="shared" ref="E79:E96" si="10">$E$98*B79</f>
        <v>60981347.529396027</v>
      </c>
      <c r="F79" s="436">
        <f t="shared" ref="F79:F81" si="11">D79+E79</f>
        <v>315055747.55091977</v>
      </c>
    </row>
    <row r="80" spans="1:6">
      <c r="A80" s="3"/>
      <c r="B80" s="527">
        <v>0.1</v>
      </c>
      <c r="C80" s="528">
        <f t="shared" si="8"/>
        <v>141750000</v>
      </c>
      <c r="D80" s="436">
        <f t="shared" si="9"/>
        <v>254074400.02152371</v>
      </c>
      <c r="E80" s="436">
        <f t="shared" si="10"/>
        <v>121962695.05879205</v>
      </c>
      <c r="F80" s="436">
        <f t="shared" si="11"/>
        <v>376037095.08031577</v>
      </c>
    </row>
    <row r="81" spans="1:6">
      <c r="A81" s="3"/>
      <c r="B81" s="527">
        <v>0.15</v>
      </c>
      <c r="C81" s="528">
        <f t="shared" si="8"/>
        <v>212625000</v>
      </c>
      <c r="D81" s="436">
        <f t="shared" si="9"/>
        <v>254074400.02152371</v>
      </c>
      <c r="E81" s="436">
        <f t="shared" si="10"/>
        <v>182944042.58818805</v>
      </c>
      <c r="F81" s="436">
        <f t="shared" si="11"/>
        <v>437018442.60971177</v>
      </c>
    </row>
    <row r="82" spans="1:6">
      <c r="A82" s="3"/>
      <c r="B82" s="527">
        <v>0.2</v>
      </c>
      <c r="C82" s="528">
        <f t="shared" si="8"/>
        <v>283500000</v>
      </c>
      <c r="D82" s="436">
        <f t="shared" si="9"/>
        <v>254074400.02152371</v>
      </c>
      <c r="E82" s="436">
        <f t="shared" si="10"/>
        <v>243925390.11758411</v>
      </c>
      <c r="F82" s="436">
        <f>D82+E82</f>
        <v>497999790.13910782</v>
      </c>
    </row>
    <row r="83" spans="1:6">
      <c r="A83" s="3"/>
      <c r="B83" s="527">
        <v>0.25</v>
      </c>
      <c r="C83" s="528">
        <f t="shared" si="8"/>
        <v>354375000</v>
      </c>
      <c r="D83" s="436">
        <f t="shared" si="9"/>
        <v>254074400.02152371</v>
      </c>
      <c r="E83" s="436">
        <f t="shared" si="10"/>
        <v>304906737.64698011</v>
      </c>
      <c r="F83" s="436">
        <f t="shared" ref="F83:F84" si="12">D83+E83</f>
        <v>558981137.66850376</v>
      </c>
    </row>
    <row r="84" spans="1:6">
      <c r="A84" s="3"/>
      <c r="B84" s="527">
        <v>0.3</v>
      </c>
      <c r="C84" s="528">
        <f t="shared" si="8"/>
        <v>425250000</v>
      </c>
      <c r="D84" s="436">
        <f t="shared" si="9"/>
        <v>254074400.02152371</v>
      </c>
      <c r="E84" s="436">
        <f t="shared" si="10"/>
        <v>365888085.1763761</v>
      </c>
      <c r="F84" s="436">
        <f t="shared" si="12"/>
        <v>619962485.19789982</v>
      </c>
    </row>
    <row r="85" spans="1:6">
      <c r="A85" s="3"/>
      <c r="B85" s="527">
        <v>0.35</v>
      </c>
      <c r="C85" s="528">
        <f t="shared" si="8"/>
        <v>496124999.99999994</v>
      </c>
      <c r="D85" s="436">
        <f t="shared" si="9"/>
        <v>254074400.02152371</v>
      </c>
      <c r="E85" s="436">
        <f t="shared" si="10"/>
        <v>426869432.7057721</v>
      </c>
      <c r="F85" s="436">
        <f>D85+E85</f>
        <v>680943832.72729588</v>
      </c>
    </row>
    <row r="86" spans="1:6">
      <c r="A86" s="3"/>
      <c r="B86" s="527">
        <v>0.4</v>
      </c>
      <c r="C86" s="528">
        <f t="shared" si="8"/>
        <v>567000000</v>
      </c>
      <c r="D86" s="436">
        <f t="shared" si="9"/>
        <v>254074400.02152371</v>
      </c>
      <c r="E86" s="436">
        <f t="shared" si="10"/>
        <v>487850780.23516822</v>
      </c>
      <c r="F86" s="436">
        <f t="shared" ref="F86:F88" si="13">D86+E86</f>
        <v>741925180.25669193</v>
      </c>
    </row>
    <row r="87" spans="1:6">
      <c r="A87" s="3"/>
      <c r="B87" s="527">
        <v>0.45</v>
      </c>
      <c r="C87" s="528">
        <f t="shared" si="8"/>
        <v>637875000</v>
      </c>
      <c r="D87" s="436">
        <f t="shared" si="9"/>
        <v>254074400.02152371</v>
      </c>
      <c r="E87" s="436">
        <f t="shared" si="10"/>
        <v>548832127.76456416</v>
      </c>
      <c r="F87" s="436">
        <f t="shared" si="13"/>
        <v>802906527.78608787</v>
      </c>
    </row>
    <row r="88" spans="1:6">
      <c r="A88" s="3"/>
      <c r="B88" s="527">
        <v>0.5</v>
      </c>
      <c r="C88" s="528">
        <f t="shared" si="8"/>
        <v>708750000</v>
      </c>
      <c r="D88" s="436">
        <f t="shared" si="9"/>
        <v>254074400.02152371</v>
      </c>
      <c r="E88" s="436">
        <f t="shared" si="10"/>
        <v>609813475.29396021</v>
      </c>
      <c r="F88" s="436">
        <f t="shared" si="13"/>
        <v>863887875.31548393</v>
      </c>
    </row>
    <row r="89" spans="1:6">
      <c r="A89" s="3"/>
      <c r="B89" s="527">
        <v>0.55000000000000004</v>
      </c>
      <c r="C89" s="528">
        <f t="shared" si="8"/>
        <v>779625000.00000012</v>
      </c>
      <c r="D89" s="436">
        <f t="shared" si="9"/>
        <v>254074400.02152371</v>
      </c>
      <c r="E89" s="436">
        <f t="shared" si="10"/>
        <v>670794822.82335627</v>
      </c>
      <c r="F89" s="436">
        <f>D89+E89</f>
        <v>924869222.84487998</v>
      </c>
    </row>
    <row r="90" spans="1:6">
      <c r="A90" s="3"/>
      <c r="B90" s="527">
        <v>0.6</v>
      </c>
      <c r="C90" s="528">
        <f t="shared" si="8"/>
        <v>850500000</v>
      </c>
      <c r="D90" s="436">
        <f t="shared" si="9"/>
        <v>254074400.02152371</v>
      </c>
      <c r="E90" s="436">
        <f t="shared" si="10"/>
        <v>731776170.35275221</v>
      </c>
      <c r="F90" s="436">
        <f t="shared" ref="F90:F98" si="14">D90+E90</f>
        <v>985850570.37427592</v>
      </c>
    </row>
    <row r="91" spans="1:6">
      <c r="A91" s="3"/>
      <c r="B91" s="527">
        <v>0.65</v>
      </c>
      <c r="C91" s="528">
        <f t="shared" si="8"/>
        <v>921375000</v>
      </c>
      <c r="D91" s="436">
        <f t="shared" si="9"/>
        <v>254074400.02152371</v>
      </c>
      <c r="E91" s="436">
        <f t="shared" si="10"/>
        <v>792757517.88214827</v>
      </c>
      <c r="F91" s="436">
        <f t="shared" si="14"/>
        <v>1046831917.903672</v>
      </c>
    </row>
    <row r="92" spans="1:6">
      <c r="A92" s="3"/>
      <c r="B92" s="527">
        <v>0.7</v>
      </c>
      <c r="C92" s="528">
        <f t="shared" si="8"/>
        <v>992249999.99999988</v>
      </c>
      <c r="D92" s="436">
        <f t="shared" si="9"/>
        <v>254074400.02152371</v>
      </c>
      <c r="E92" s="436">
        <f t="shared" si="10"/>
        <v>853738865.4115442</v>
      </c>
      <c r="F92" s="436">
        <f t="shared" si="14"/>
        <v>1107813265.4330678</v>
      </c>
    </row>
    <row r="93" spans="1:6">
      <c r="A93" s="3"/>
      <c r="B93" s="527">
        <v>0.75</v>
      </c>
      <c r="C93" s="528">
        <f t="shared" si="8"/>
        <v>1063125000</v>
      </c>
      <c r="D93" s="436">
        <f t="shared" si="9"/>
        <v>254074400.02152371</v>
      </c>
      <c r="E93" s="436">
        <f t="shared" si="10"/>
        <v>914720212.94094038</v>
      </c>
      <c r="F93" s="436">
        <f t="shared" si="14"/>
        <v>1168794612.9624641</v>
      </c>
    </row>
    <row r="94" spans="1:6">
      <c r="A94" s="3"/>
      <c r="B94" s="527">
        <v>0.8</v>
      </c>
      <c r="C94" s="528">
        <f t="shared" si="8"/>
        <v>1134000000</v>
      </c>
      <c r="D94" s="436">
        <f t="shared" si="9"/>
        <v>254074400.02152371</v>
      </c>
      <c r="E94" s="436">
        <f t="shared" si="10"/>
        <v>975701560.47033644</v>
      </c>
      <c r="F94" s="436">
        <f t="shared" si="14"/>
        <v>1229775960.4918602</v>
      </c>
    </row>
    <row r="95" spans="1:6">
      <c r="A95" s="3"/>
      <c r="B95" s="527">
        <v>0.85</v>
      </c>
      <c r="C95" s="528">
        <f t="shared" si="8"/>
        <v>1204875000</v>
      </c>
      <c r="D95" s="436">
        <f t="shared" si="9"/>
        <v>254074400.02152371</v>
      </c>
      <c r="E95" s="436">
        <f t="shared" si="10"/>
        <v>1036682907.9997324</v>
      </c>
      <c r="F95" s="436">
        <f t="shared" si="14"/>
        <v>1290757308.021256</v>
      </c>
    </row>
    <row r="96" spans="1:6">
      <c r="A96" s="3"/>
      <c r="B96" s="527">
        <v>0.9</v>
      </c>
      <c r="C96" s="528">
        <f t="shared" si="8"/>
        <v>1275750000</v>
      </c>
      <c r="D96" s="436">
        <f t="shared" si="9"/>
        <v>254074400.02152371</v>
      </c>
      <c r="E96" s="436">
        <f t="shared" si="10"/>
        <v>1097664255.5291283</v>
      </c>
      <c r="F96" s="436">
        <f t="shared" si="14"/>
        <v>1351738655.550652</v>
      </c>
    </row>
    <row r="97" spans="1:6">
      <c r="A97" s="3"/>
      <c r="B97" s="527">
        <v>0.95</v>
      </c>
      <c r="C97" s="528">
        <f t="shared" si="8"/>
        <v>1346625000</v>
      </c>
      <c r="D97" s="436">
        <f t="shared" si="9"/>
        <v>254074400.02152371</v>
      </c>
      <c r="E97" s="436">
        <f>$E$98*B97</f>
        <v>1158645603.0585244</v>
      </c>
      <c r="F97" s="436">
        <f t="shared" si="14"/>
        <v>1412720003.0800481</v>
      </c>
    </row>
    <row r="98" spans="1:6">
      <c r="A98" s="3"/>
      <c r="B98" s="527">
        <v>1</v>
      </c>
      <c r="C98" s="528">
        <f t="shared" si="8"/>
        <v>1417500000</v>
      </c>
      <c r="D98" s="436">
        <f t="shared" si="9"/>
        <v>254074400.02152371</v>
      </c>
      <c r="E98" s="436">
        <f>$F$38+$F$40+$F$42</f>
        <v>1219626950.5879204</v>
      </c>
      <c r="F98" s="436">
        <f t="shared" si="14"/>
        <v>1473701350.6094441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F17" sqref="F17"/>
    </sheetView>
  </sheetViews>
  <sheetFormatPr defaultColWidth="8.85546875" defaultRowHeight="13.1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0" t="s">
        <v>57</v>
      </c>
      <c r="B1" s="581"/>
      <c r="C1" s="581"/>
      <c r="D1" s="581"/>
      <c r="E1" s="600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6">
      <c r="A3" s="584" t="s">
        <v>977</v>
      </c>
      <c r="B3" s="585" t="s">
        <v>201</v>
      </c>
      <c r="C3" s="585" t="s">
        <v>201</v>
      </c>
      <c r="D3" s="585" t="s">
        <v>201</v>
      </c>
      <c r="E3" s="585" t="s">
        <v>201</v>
      </c>
      <c r="F3" s="585" t="s">
        <v>201</v>
      </c>
      <c r="G3" s="604" t="s">
        <v>201</v>
      </c>
      <c r="H3" s="676" t="s">
        <v>201</v>
      </c>
    </row>
    <row r="4" spans="1:8">
      <c r="A4" s="451" t="s">
        <v>201</v>
      </c>
      <c r="B4" s="475" t="s">
        <v>14</v>
      </c>
      <c r="C4" s="475" t="s">
        <v>2</v>
      </c>
      <c r="D4" s="475" t="s">
        <v>3</v>
      </c>
      <c r="E4" s="475" t="s">
        <v>4</v>
      </c>
      <c r="F4" s="475" t="s">
        <v>5</v>
      </c>
      <c r="G4" s="677" t="s">
        <v>6</v>
      </c>
      <c r="H4" s="619" t="s">
        <v>599</v>
      </c>
    </row>
    <row r="5" spans="1:8">
      <c r="A5" s="589" t="s">
        <v>978</v>
      </c>
      <c r="B5" s="611">
        <f>SUM(B6:B11)</f>
        <v>374365987.57862908</v>
      </c>
      <c r="C5" s="611">
        <f>SUM(C6:C11)</f>
        <v>1906674615.3286347</v>
      </c>
      <c r="D5" s="611">
        <f>SUM(D6:D11)</f>
        <v>2199309874.3973842</v>
      </c>
      <c r="E5" s="611">
        <f>SUM(E6:E11)</f>
        <v>1953113701.09623</v>
      </c>
      <c r="F5" s="611">
        <f>SUM(F6:F11)</f>
        <v>2773953661.4160552</v>
      </c>
      <c r="G5" s="611">
        <f>SUM(G6:G11)</f>
        <v>3241645405.0102663</v>
      </c>
      <c r="H5" s="607" t="s">
        <v>201</v>
      </c>
    </row>
    <row r="6" spans="1:8">
      <c r="A6" s="158" t="s">
        <v>979</v>
      </c>
      <c r="B6" s="611" t="s">
        <v>201</v>
      </c>
      <c r="C6" s="612">
        <f>B29</f>
        <v>0</v>
      </c>
      <c r="D6" s="612">
        <f>C29</f>
        <v>111177702.51256865</v>
      </c>
      <c r="E6" s="612">
        <f>D29</f>
        <v>552765545.39905095</v>
      </c>
      <c r="F6" s="612">
        <f>E29</f>
        <v>789453661.4160552</v>
      </c>
      <c r="G6" s="612">
        <f>F29</f>
        <v>1257145405.0102661</v>
      </c>
      <c r="H6" s="614">
        <f>SUM(C6:G6)</f>
        <v>2710542314.3379412</v>
      </c>
    </row>
    <row r="7" spans="1:8">
      <c r="A7" s="158" t="s">
        <v>980</v>
      </c>
      <c r="B7" s="611">
        <f>'F-2 Estructura'!B31</f>
        <v>319874900.57862908</v>
      </c>
      <c r="C7" s="611">
        <f>'F-2 Estructura'!C31</f>
        <v>439272578.52156395</v>
      </c>
      <c r="D7" s="688" t="s">
        <v>981</v>
      </c>
      <c r="E7" s="689" t="s">
        <v>981</v>
      </c>
      <c r="F7" s="689" t="s">
        <v>981</v>
      </c>
      <c r="G7" s="689" t="s">
        <v>981</v>
      </c>
      <c r="H7" s="614">
        <f>SUM(B7:G7)</f>
        <v>759147479.10019302</v>
      </c>
    </row>
    <row r="8" spans="1:8">
      <c r="A8" s="158" t="s">
        <v>982</v>
      </c>
      <c r="B8" s="611">
        <f>'F-2 Estructura'!B29</f>
        <v>0</v>
      </c>
      <c r="C8" s="611">
        <f>'F-2 Estructura'!C29</f>
        <v>799561.28871666663</v>
      </c>
      <c r="D8" s="688" t="s">
        <v>981</v>
      </c>
      <c r="E8" s="689" t="s">
        <v>981</v>
      </c>
      <c r="F8" s="689" t="s">
        <v>981</v>
      </c>
      <c r="G8" s="689" t="s">
        <v>981</v>
      </c>
      <c r="H8" s="614">
        <f t="shared" ref="H8:H11" si="0">SUM(B8:G8)</f>
        <v>799561.28871666663</v>
      </c>
    </row>
    <row r="9" spans="1:8">
      <c r="A9" s="158" t="s">
        <v>983</v>
      </c>
      <c r="B9" s="611">
        <f>'F-2 Estructura'!B30</f>
        <v>54491087.000000007</v>
      </c>
      <c r="C9" s="611">
        <f>'F-2 Estructura'!C30</f>
        <v>0</v>
      </c>
      <c r="D9" s="688" t="s">
        <v>981</v>
      </c>
      <c r="E9" s="689" t="s">
        <v>981</v>
      </c>
      <c r="F9" s="689" t="s">
        <v>981</v>
      </c>
      <c r="G9" s="689" t="s">
        <v>981</v>
      </c>
      <c r="H9" s="614">
        <f t="shared" si="0"/>
        <v>54491087.000000007</v>
      </c>
    </row>
    <row r="10" spans="1:8">
      <c r="A10" s="158" t="s">
        <v>984</v>
      </c>
      <c r="B10" s="651" t="s">
        <v>981</v>
      </c>
      <c r="C10" s="612">
        <f>'F-CRes'!B4</f>
        <v>1417500000</v>
      </c>
      <c r="D10" s="612">
        <f>'F-CRes'!C4</f>
        <v>1984500000</v>
      </c>
      <c r="E10" s="612">
        <f>'F-CRes'!D4</f>
        <v>1389150000</v>
      </c>
      <c r="F10" s="612">
        <f>'F-CRes'!E4</f>
        <v>1984500000</v>
      </c>
      <c r="G10" s="612">
        <f>'F-CRes'!F4</f>
        <v>1984500000</v>
      </c>
      <c r="H10" s="614">
        <f t="shared" si="0"/>
        <v>8760150000</v>
      </c>
    </row>
    <row r="11" spans="1:8">
      <c r="A11" s="158" t="s">
        <v>985</v>
      </c>
      <c r="B11" s="651" t="s">
        <v>981</v>
      </c>
      <c r="C11" s="612">
        <f>'F-IVA'!C19</f>
        <v>49102475.518354058</v>
      </c>
      <c r="D11" s="612">
        <f>'F-IVA'!D19</f>
        <v>103632171.88481537</v>
      </c>
      <c r="E11" s="612">
        <f>'F-IVA'!E19</f>
        <v>11198155.697179005</v>
      </c>
      <c r="F11" s="612">
        <f>'F-IVA'!F19</f>
        <v>0</v>
      </c>
      <c r="G11" s="612">
        <f>'F-IVA'!G19</f>
        <v>0</v>
      </c>
      <c r="H11" s="966">
        <f t="shared" si="0"/>
        <v>163932803.10034841</v>
      </c>
    </row>
    <row r="12" spans="1:8">
      <c r="A12" s="616" t="s">
        <v>599</v>
      </c>
      <c r="B12" s="967">
        <f>SUM(B6:B11)</f>
        <v>374365987.57862908</v>
      </c>
      <c r="C12" s="696">
        <f t="shared" ref="C12:H12" si="1">SUM(C6:C11)</f>
        <v>1906674615.3286347</v>
      </c>
      <c r="D12" s="696">
        <f t="shared" si="1"/>
        <v>2199309874.3973842</v>
      </c>
      <c r="E12" s="696">
        <f t="shared" si="1"/>
        <v>1953113701.09623</v>
      </c>
      <c r="F12" s="696">
        <f>SUM(F6:F11)</f>
        <v>2773953661.4160552</v>
      </c>
      <c r="G12" s="696">
        <f t="shared" si="1"/>
        <v>3241645405.0102663</v>
      </c>
      <c r="H12" s="696">
        <f t="shared" si="1"/>
        <v>12449063244.827198</v>
      </c>
    </row>
    <row r="13" spans="1:8">
      <c r="A13" s="690" t="s">
        <v>201</v>
      </c>
      <c r="B13" s="648"/>
      <c r="C13" s="647"/>
      <c r="D13" s="647"/>
      <c r="E13" s="647"/>
      <c r="F13" s="647"/>
      <c r="G13" s="691"/>
      <c r="H13" s="692"/>
    </row>
    <row r="14" spans="1:8">
      <c r="A14" s="690" t="s">
        <v>986</v>
      </c>
      <c r="B14" s="648"/>
      <c r="C14" s="647"/>
      <c r="D14" s="647"/>
      <c r="E14" s="647"/>
      <c r="F14" s="647"/>
      <c r="G14" s="691"/>
      <c r="H14" s="692"/>
    </row>
    <row r="15" spans="1:8">
      <c r="A15" s="617" t="s">
        <v>987</v>
      </c>
      <c r="B15" s="648">
        <f>'F-2 Estructura'!B8</f>
        <v>306660393.89125001</v>
      </c>
      <c r="C15" s="648">
        <f>'F-2 Estructura'!C8</f>
        <v>169077445.80204773</v>
      </c>
      <c r="D15" s="651" t="s">
        <v>981</v>
      </c>
      <c r="E15" s="645" t="s">
        <v>981</v>
      </c>
      <c r="F15" s="645" t="s">
        <v>981</v>
      </c>
      <c r="G15" s="645" t="s">
        <v>981</v>
      </c>
      <c r="H15" s="829">
        <f>SUM(B15:G15)</f>
        <v>475737839.69329774</v>
      </c>
    </row>
    <row r="16" spans="1:8">
      <c r="A16" s="617" t="s">
        <v>887</v>
      </c>
      <c r="B16" s="699">
        <f>'E-InvAT'!B24</f>
        <v>3227473.5464599999</v>
      </c>
      <c r="C16" s="699">
        <f>'E-InvAT'!C24</f>
        <v>208057506.02723232</v>
      </c>
      <c r="D16" s="699">
        <f>'E-InvAT'!D24</f>
        <v>56615431.61134088</v>
      </c>
      <c r="E16" s="699">
        <f>'E-InvAT'!E24</f>
        <v>53324550.938947618</v>
      </c>
      <c r="F16" s="699">
        <f>'E-InvAT'!F24</f>
        <v>-53325606.041695118</v>
      </c>
      <c r="G16" s="699">
        <f>'E-InvAT'!G24</f>
        <v>0</v>
      </c>
      <c r="H16" s="829">
        <f t="shared" ref="H16:H23" si="2">SUM(B16:G16)</f>
        <v>267899356.0822857</v>
      </c>
    </row>
    <row r="17" spans="1:12" ht="14.45">
      <c r="A17" s="617" t="s">
        <v>988</v>
      </c>
      <c r="B17" s="688">
        <v>0</v>
      </c>
      <c r="C17" s="824">
        <f>'F-CRes'!B5+'F-CRes'!B8+'F-CRes'!B9+'F-CRes'!B10</f>
        <v>1395335462.0949435</v>
      </c>
      <c r="D17" s="824">
        <f>'F-CRes'!C5+'F-CRes'!C8+'F-CRes'!C9+'F-CRes'!C10</f>
        <v>1390897325.0197351</v>
      </c>
      <c r="E17" s="824">
        <f>'F-CRes'!D5+'F-CRes'!D8+'F-CRes'!D9+'F-CRes'!D10</f>
        <v>996732199.57162249</v>
      </c>
      <c r="F17" s="824">
        <f>'F-CRes'!E5+'F-CRes'!E8+'F-CRes'!E9+'F-CRes'!E10</f>
        <v>1369381820.8936388</v>
      </c>
      <c r="G17" s="824">
        <f>'F-CRes'!F5+'F-CRes'!F8+'F-CRes'!F9+'F-CRes'!F10</f>
        <v>1473701350.6094439</v>
      </c>
      <c r="H17" s="829">
        <f t="shared" si="2"/>
        <v>6626048158.1893835</v>
      </c>
    </row>
    <row r="18" spans="1:12" ht="14.45">
      <c r="A18" s="617" t="s">
        <v>989</v>
      </c>
      <c r="B18" s="699">
        <v>0</v>
      </c>
      <c r="C18" s="824">
        <f>'F-CRes'!B14</f>
        <v>7757588.2667697743</v>
      </c>
      <c r="D18" s="824">
        <f>'F-CRes'!C14</f>
        <v>207760936.24309272</v>
      </c>
      <c r="E18" s="824">
        <f>'F-CRes'!D14</f>
        <v>137346230.14993209</v>
      </c>
      <c r="F18" s="824">
        <f>'F-CRes'!E14</f>
        <v>215291362.68722636</v>
      </c>
      <c r="G18" s="824">
        <f>'F-CRes'!F14</f>
        <v>178779527.28669462</v>
      </c>
      <c r="H18" s="829">
        <f t="shared" si="2"/>
        <v>746935644.63371551</v>
      </c>
    </row>
    <row r="19" spans="1:12">
      <c r="A19" s="617" t="s">
        <v>990</v>
      </c>
      <c r="B19" s="699">
        <v>0</v>
      </c>
      <c r="C19" s="864">
        <f>'F-Cred'!$E20</f>
        <v>10898217.4</v>
      </c>
      <c r="D19" s="864">
        <f>'F-Cred'!$E22</f>
        <v>10898217.4</v>
      </c>
      <c r="E19" s="864">
        <f>'F-Cred'!$E24</f>
        <v>10898217.4</v>
      </c>
      <c r="F19" s="864">
        <f>'F-Cred'!$E26</f>
        <v>10898217.4</v>
      </c>
      <c r="G19" s="864">
        <f>'F-Cred'!$E28</f>
        <v>10898217.4</v>
      </c>
      <c r="H19" s="829">
        <f t="shared" si="2"/>
        <v>54491087</v>
      </c>
    </row>
    <row r="20" spans="1:12">
      <c r="A20" s="617" t="s">
        <v>991</v>
      </c>
      <c r="B20" s="699">
        <v>0</v>
      </c>
      <c r="C20" s="705">
        <f>'F-CRes'!B12</f>
        <v>1551517.6533539551</v>
      </c>
      <c r="D20" s="705">
        <f>'F-CRes'!C12</f>
        <v>41552187.248618551</v>
      </c>
      <c r="E20" s="705">
        <f>'F-CRes'!D12</f>
        <v>27469246.029986423</v>
      </c>
      <c r="F20" s="705">
        <f>'F-CRes'!E12</f>
        <v>43058272.537445277</v>
      </c>
      <c r="G20" s="705">
        <f>'F-CRes'!F12</f>
        <v>35755905.457338929</v>
      </c>
      <c r="H20" s="829">
        <f t="shared" si="2"/>
        <v>149387128.92674315</v>
      </c>
      <c r="L20" s="804"/>
    </row>
    <row r="21" spans="1:12">
      <c r="A21" s="617" t="s">
        <v>992</v>
      </c>
      <c r="B21" s="651" t="s">
        <v>981</v>
      </c>
      <c r="C21" s="645" t="s">
        <v>981</v>
      </c>
      <c r="D21" s="645" t="s">
        <v>981</v>
      </c>
      <c r="E21" s="645" t="s">
        <v>981</v>
      </c>
      <c r="F21" s="645" t="s">
        <v>981</v>
      </c>
      <c r="G21" s="645" t="s">
        <v>981</v>
      </c>
      <c r="H21" s="829">
        <f t="shared" si="2"/>
        <v>0</v>
      </c>
    </row>
    <row r="22" spans="1:12" ht="12.75">
      <c r="A22" s="617" t="s">
        <v>993</v>
      </c>
      <c r="B22" s="648">
        <f>'F-IVA'!B17</f>
        <v>64478120.140919097</v>
      </c>
      <c r="C22" s="648">
        <f>'F-IVA'!C17</f>
        <v>76127735.679211602</v>
      </c>
      <c r="D22" s="648">
        <f>'F-IVA'!D17</f>
        <v>12128791.583038716</v>
      </c>
      <c r="E22" s="648">
        <f>'F-IVA'!E17</f>
        <v>11198155.697179005</v>
      </c>
      <c r="F22" s="648">
        <f>'F-IVA'!F17</f>
        <v>0</v>
      </c>
      <c r="G22" s="648">
        <f>'F-IVA'!G17</f>
        <v>0</v>
      </c>
      <c r="H22" s="965">
        <f t="shared" si="2"/>
        <v>163932803.10034841</v>
      </c>
    </row>
    <row r="23" spans="1:12" ht="12.75">
      <c r="A23" s="617" t="s">
        <v>994</v>
      </c>
      <c r="B23" s="888" t="s">
        <v>981</v>
      </c>
      <c r="C23" s="645" t="s">
        <v>981</v>
      </c>
      <c r="D23" s="645" t="s">
        <v>981</v>
      </c>
      <c r="E23" s="645" t="s">
        <v>981</v>
      </c>
      <c r="F23" s="645" t="s">
        <v>981</v>
      </c>
      <c r="G23" s="645" t="s">
        <v>981</v>
      </c>
      <c r="H23" s="829">
        <f t="shared" si="2"/>
        <v>0</v>
      </c>
    </row>
    <row r="24" spans="1:12" ht="12.75">
      <c r="A24" s="616" t="s">
        <v>599</v>
      </c>
      <c r="B24" s="967">
        <f>SUM(B15:B23)</f>
        <v>374365987.57862908</v>
      </c>
      <c r="C24" s="937">
        <f t="shared" ref="C24" si="3">SUM(C15:C23)</f>
        <v>1868805472.923559</v>
      </c>
      <c r="D24" s="937">
        <f>SUM(D15:D23)</f>
        <v>1719852889.1058261</v>
      </c>
      <c r="E24" s="937">
        <f>SUM(E15:E23)</f>
        <v>1236968599.7876678</v>
      </c>
      <c r="F24" s="937">
        <f>SUM(F15:F23)</f>
        <v>1585304067.4766154</v>
      </c>
      <c r="G24" s="937">
        <f>SUM(G15:G23)</f>
        <v>1699135000.7534776</v>
      </c>
      <c r="H24" s="937">
        <f>SUM(H15:H23)</f>
        <v>8484432017.6257744</v>
      </c>
    </row>
    <row r="25" spans="1:12" ht="12.75">
      <c r="A25" s="693"/>
      <c r="B25" s="701" t="s">
        <v>201</v>
      </c>
      <c r="C25" s="647"/>
      <c r="D25" s="647"/>
      <c r="E25" s="647"/>
      <c r="F25" s="647"/>
      <c r="G25" s="691"/>
      <c r="H25" s="694"/>
    </row>
    <row r="26" spans="1:12">
      <c r="A26" s="693" t="s">
        <v>995</v>
      </c>
      <c r="B26" s="708">
        <f>B12-B24</f>
        <v>0</v>
      </c>
      <c r="C26" s="705">
        <f>C12-C24</f>
        <v>37869142.405075788</v>
      </c>
      <c r="D26" s="705">
        <f>D12-D24</f>
        <v>479456985.29155803</v>
      </c>
      <c r="E26" s="705">
        <f>E12-E24</f>
        <v>716145101.30856228</v>
      </c>
      <c r="F26" s="705">
        <f>F12-F24</f>
        <v>1188649593.9394398</v>
      </c>
      <c r="G26" s="705">
        <f>G12-G24</f>
        <v>1542510404.2567887</v>
      </c>
      <c r="H26" s="706">
        <f>SUM(B26:G26)</f>
        <v>3964631227.2014246</v>
      </c>
    </row>
    <row r="27" spans="1:12">
      <c r="A27" s="693" t="s">
        <v>996</v>
      </c>
      <c r="B27" s="699">
        <v>0</v>
      </c>
      <c r="C27" s="705">
        <f>+'E-Inv AF y Am'!$D$57+(('F-Cred'!$G$18+'F-Cred'!$I$18)/3)</f>
        <v>73308560.107492864</v>
      </c>
      <c r="D27" s="705">
        <f>C27</f>
        <v>73308560.107492864</v>
      </c>
      <c r="E27" s="705">
        <f>C27</f>
        <v>73308560.107492864</v>
      </c>
      <c r="F27" s="705">
        <f>'E-Inv AF y Am'!E57</f>
        <v>68495811.070826203</v>
      </c>
      <c r="G27" s="705">
        <f>F27</f>
        <v>68495811.070826203</v>
      </c>
      <c r="H27" s="700">
        <f>SUM(B27:G27)</f>
        <v>356917302.464131</v>
      </c>
    </row>
    <row r="28" spans="1:12" ht="12.75">
      <c r="A28" s="693"/>
      <c r="B28" s="648" t="s">
        <v>201</v>
      </c>
      <c r="C28" s="647"/>
      <c r="D28" s="647"/>
      <c r="E28" s="647"/>
      <c r="F28" s="647"/>
      <c r="G28" s="691"/>
      <c r="H28" s="694"/>
    </row>
    <row r="29" spans="1:12" ht="12.75">
      <c r="A29" s="617" t="s">
        <v>997</v>
      </c>
      <c r="B29" s="699">
        <v>0</v>
      </c>
      <c r="C29" s="705">
        <f>C26+C27</f>
        <v>111177702.51256865</v>
      </c>
      <c r="D29" s="705">
        <f>D26+D27</f>
        <v>552765545.39905095</v>
      </c>
      <c r="E29" s="705">
        <f>E26+E27</f>
        <v>789453661.4160552</v>
      </c>
      <c r="F29" s="705">
        <f>F26+F27</f>
        <v>1257145405.0102661</v>
      </c>
      <c r="G29" s="969">
        <f t="shared" ref="E29:G29" si="4">G26+G27</f>
        <v>1611006215.327615</v>
      </c>
      <c r="H29" s="706">
        <f>SUM(B29:G29)</f>
        <v>4321548529.665556</v>
      </c>
    </row>
    <row r="30" spans="1:12" ht="12.75">
      <c r="A30" s="695" t="s">
        <v>998</v>
      </c>
      <c r="B30" s="702" t="s">
        <v>201</v>
      </c>
      <c r="C30" s="707">
        <f>C29-C6</f>
        <v>111177702.51256865</v>
      </c>
      <c r="D30" s="707">
        <f>D29-D6</f>
        <v>441587842.8864823</v>
      </c>
      <c r="E30" s="707">
        <f>E29-E6</f>
        <v>236688116.01700425</v>
      </c>
      <c r="F30" s="707">
        <f>F29-F6</f>
        <v>467691743.59421086</v>
      </c>
      <c r="G30" s="707">
        <f>G29-G6</f>
        <v>353860810.31734896</v>
      </c>
      <c r="H30" s="968">
        <f>SUM(C30:G30)</f>
        <v>1611006215.327615</v>
      </c>
    </row>
    <row r="31" spans="1:12">
      <c r="A31" s="617"/>
      <c r="B31" s="617"/>
      <c r="C31" s="617"/>
      <c r="D31" s="617"/>
      <c r="E31" s="617"/>
      <c r="F31" s="617"/>
      <c r="G31" s="617"/>
      <c r="H31" s="617"/>
    </row>
    <row r="32" spans="1:12" ht="13.9">
      <c r="A32" s="703" t="s">
        <v>505</v>
      </c>
      <c r="B32" s="704"/>
      <c r="C32" s="618"/>
      <c r="D32" s="617"/>
      <c r="E32" s="617"/>
      <c r="F32" s="617"/>
      <c r="G32" s="617"/>
      <c r="H32" s="617"/>
    </row>
    <row r="33" spans="1:8" ht="13.9">
      <c r="A33" s="703" t="s">
        <v>999</v>
      </c>
      <c r="B33" s="704"/>
      <c r="C33" s="618"/>
      <c r="D33" s="617"/>
      <c r="E33" s="617"/>
      <c r="F33" s="617"/>
      <c r="G33" s="617"/>
      <c r="H33" s="617"/>
    </row>
    <row r="34" spans="1:8">
      <c r="A34" s="159"/>
      <c r="B34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workbookViewId="0">
      <selection activeCell="A19" sqref="A19"/>
    </sheetView>
  </sheetViews>
  <sheetFormatPr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57</v>
      </c>
      <c r="E1" s="20">
        <v>9</v>
      </c>
    </row>
    <row r="2" spans="1:13" ht="12.75" customHeight="1">
      <c r="G2" s="982" t="s">
        <v>58</v>
      </c>
      <c r="H2" s="1073"/>
      <c r="I2" s="1073"/>
      <c r="J2" s="1073"/>
      <c r="K2" s="1073"/>
      <c r="L2" s="1073"/>
      <c r="M2" s="1074"/>
    </row>
    <row r="3" spans="1:13" ht="14.25" customHeight="1">
      <c r="A3" s="21" t="s">
        <v>59</v>
      </c>
      <c r="B3" s="22">
        <v>0.21</v>
      </c>
      <c r="G3" s="983" t="s">
        <v>60</v>
      </c>
      <c r="H3" s="1075"/>
      <c r="I3" s="1075"/>
      <c r="J3" s="1075"/>
      <c r="K3" s="1075"/>
      <c r="L3" s="1075"/>
      <c r="M3" s="1076"/>
    </row>
    <row r="4" spans="1:13" ht="12.75" customHeight="1">
      <c r="A4" s="21" t="s">
        <v>61</v>
      </c>
      <c r="B4" s="22">
        <v>0.35</v>
      </c>
      <c r="G4" s="1077"/>
      <c r="H4" s="1078"/>
      <c r="I4" s="1078"/>
      <c r="J4" s="1078"/>
      <c r="K4" s="1078"/>
      <c r="L4" s="1078"/>
      <c r="M4" s="1079"/>
    </row>
    <row r="5" spans="1:13" ht="12.75" customHeight="1">
      <c r="A5" s="21" t="s">
        <v>62</v>
      </c>
      <c r="B5" s="22">
        <v>7.0000000000000007E-2</v>
      </c>
      <c r="C5" s="4" t="s">
        <v>63</v>
      </c>
      <c r="G5" s="1077"/>
      <c r="H5" s="1078"/>
      <c r="I5" s="1078"/>
      <c r="J5" s="1078"/>
      <c r="K5" s="1078"/>
      <c r="L5" s="1078"/>
      <c r="M5" s="1079"/>
    </row>
    <row r="6" spans="1:13" ht="12.75" customHeight="1">
      <c r="G6" s="1080"/>
      <c r="H6" s="1081"/>
      <c r="I6" s="1081"/>
      <c r="J6" s="1081"/>
      <c r="K6" s="1081"/>
      <c r="L6" s="1081"/>
      <c r="M6" s="1082"/>
    </row>
    <row r="7" spans="1:13" ht="14.25" customHeight="1">
      <c r="A7" s="21" t="s">
        <v>64</v>
      </c>
      <c r="B7" s="4" t="s">
        <v>65</v>
      </c>
      <c r="G7" s="980" t="s">
        <v>66</v>
      </c>
      <c r="H7" s="1075"/>
      <c r="I7" s="1075"/>
      <c r="J7" s="1075"/>
      <c r="K7" s="1075"/>
      <c r="L7" s="1075"/>
      <c r="M7" s="1076"/>
    </row>
    <row r="8" spans="1:13" ht="12.75" customHeight="1">
      <c r="A8" s="23" t="s">
        <v>67</v>
      </c>
      <c r="B8" s="24">
        <v>30</v>
      </c>
      <c r="C8" s="4" t="s">
        <v>68</v>
      </c>
      <c r="G8" s="1080"/>
      <c r="H8" s="1081"/>
      <c r="I8" s="1081"/>
      <c r="J8" s="1081"/>
      <c r="K8" s="1081"/>
      <c r="L8" s="1081"/>
      <c r="M8" s="1082"/>
    </row>
    <row r="9" spans="1:13" ht="12.75" customHeight="1">
      <c r="A9" s="23" t="s">
        <v>69</v>
      </c>
      <c r="B9" s="24">
        <v>10</v>
      </c>
      <c r="C9" s="4" t="s">
        <v>68</v>
      </c>
      <c r="G9" s="984" t="s">
        <v>70</v>
      </c>
      <c r="H9" s="1073"/>
      <c r="I9" s="1073"/>
      <c r="J9" s="1073"/>
      <c r="K9" s="1073"/>
      <c r="L9" s="1073"/>
      <c r="M9" s="1074"/>
    </row>
    <row r="10" spans="1:13" ht="14.25" customHeight="1">
      <c r="A10" s="23" t="s">
        <v>71</v>
      </c>
      <c r="B10" s="24">
        <v>10</v>
      </c>
      <c r="C10" s="4" t="s">
        <v>68</v>
      </c>
      <c r="G10" s="980" t="s">
        <v>72</v>
      </c>
      <c r="H10" s="1075"/>
      <c r="I10" s="1075"/>
      <c r="J10" s="1075"/>
      <c r="K10" s="1075"/>
      <c r="L10" s="1075"/>
      <c r="M10" s="1076"/>
    </row>
    <row r="11" spans="1:13" ht="12.75" customHeight="1">
      <c r="A11" s="23" t="s">
        <v>73</v>
      </c>
      <c r="B11" s="24">
        <v>5</v>
      </c>
      <c r="C11" s="4" t="s">
        <v>68</v>
      </c>
      <c r="G11" s="1080"/>
      <c r="H11" s="1081"/>
      <c r="I11" s="1081"/>
      <c r="J11" s="1081"/>
      <c r="K11" s="1081"/>
      <c r="L11" s="1081"/>
      <c r="M11" s="1082"/>
    </row>
    <row r="12" spans="1:13" ht="14.25" customHeight="1">
      <c r="A12" s="23" t="s">
        <v>74</v>
      </c>
      <c r="B12" s="24">
        <v>5</v>
      </c>
      <c r="C12" s="4" t="s">
        <v>68</v>
      </c>
      <c r="G12" s="980" t="s">
        <v>75</v>
      </c>
      <c r="H12" s="1075"/>
      <c r="I12" s="1075"/>
      <c r="J12" s="1075"/>
      <c r="K12" s="1075"/>
      <c r="L12" s="1075"/>
      <c r="M12" s="1076"/>
    </row>
    <row r="13" spans="1:13" ht="12.75" customHeight="1">
      <c r="A13" s="23" t="s">
        <v>76</v>
      </c>
      <c r="B13" s="24">
        <v>5</v>
      </c>
      <c r="C13" s="4" t="s">
        <v>68</v>
      </c>
      <c r="G13" s="1080"/>
      <c r="H13" s="1081"/>
      <c r="I13" s="1081"/>
      <c r="J13" s="1081"/>
      <c r="K13" s="1081"/>
      <c r="L13" s="1081"/>
      <c r="M13" s="1082"/>
    </row>
    <row r="14" spans="1:13" ht="12.75" customHeight="1">
      <c r="A14" s="23" t="s">
        <v>77</v>
      </c>
      <c r="B14" s="25">
        <f>0.05</f>
        <v>0.05</v>
      </c>
    </row>
    <row r="15" spans="1:13" ht="12.75" customHeight="1"/>
    <row r="16" spans="1:13" ht="12.75" customHeight="1">
      <c r="A16" s="21" t="s">
        <v>78</v>
      </c>
      <c r="B16" s="1083" t="s">
        <v>79</v>
      </c>
      <c r="C16" s="1084"/>
      <c r="D16" s="1084"/>
      <c r="E16" s="1084"/>
      <c r="F16" s="1084"/>
      <c r="G16" s="1085"/>
    </row>
    <row r="17" spans="1:5" ht="12.75" customHeight="1"/>
    <row r="18" spans="1:5" ht="12.75" customHeight="1">
      <c r="A18" s="21" t="s">
        <v>80</v>
      </c>
      <c r="B18" s="156">
        <v>756000</v>
      </c>
      <c r="C18" s="4" t="s">
        <v>81</v>
      </c>
    </row>
    <row r="19" spans="1:5" ht="12.75" customHeight="1">
      <c r="A19" s="21" t="s">
        <v>82</v>
      </c>
      <c r="B19" s="157">
        <v>1050</v>
      </c>
      <c r="C19" s="4" t="s">
        <v>83</v>
      </c>
    </row>
    <row r="20" spans="1:5" ht="12.75" customHeight="1">
      <c r="B20" s="158"/>
    </row>
    <row r="21" spans="1:5" ht="12.75" customHeight="1">
      <c r="A21" s="21" t="s">
        <v>84</v>
      </c>
      <c r="B21" s="158"/>
    </row>
    <row r="22" spans="1:5" ht="12.75" customHeight="1">
      <c r="A22" s="21" t="s">
        <v>85</v>
      </c>
      <c r="B22" s="156">
        <v>28</v>
      </c>
      <c r="C22" s="4" t="s">
        <v>86</v>
      </c>
    </row>
    <row r="23" spans="1:5" ht="12.75" customHeight="1">
      <c r="A23" s="21" t="s">
        <v>87</v>
      </c>
      <c r="B23" s="157">
        <v>11</v>
      </c>
      <c r="C23" s="4" t="s">
        <v>86</v>
      </c>
    </row>
    <row r="24" spans="1:5" ht="12.75" customHeight="1">
      <c r="A24" s="21" t="s">
        <v>88</v>
      </c>
      <c r="B24" s="157">
        <v>4</v>
      </c>
      <c r="C24" s="4" t="s">
        <v>86</v>
      </c>
    </row>
    <row r="25" spans="1:5" ht="12.75" customHeight="1">
      <c r="B25" s="158"/>
    </row>
    <row r="26" spans="1:5" ht="12.75" customHeight="1">
      <c r="A26" s="21" t="s">
        <v>89</v>
      </c>
      <c r="B26" s="156">
        <v>1711.72</v>
      </c>
      <c r="C26" s="4" t="s">
        <v>90</v>
      </c>
      <c r="D26" s="27" t="s">
        <v>91</v>
      </c>
    </row>
    <row r="27" spans="1:5" ht="12.75" customHeight="1">
      <c r="A27" s="21" t="s">
        <v>92</v>
      </c>
      <c r="B27" s="157">
        <v>24</v>
      </c>
      <c r="C27" s="4" t="s">
        <v>93</v>
      </c>
      <c r="D27" s="27" t="s">
        <v>94</v>
      </c>
    </row>
    <row r="28" spans="1:5" ht="12.75" customHeight="1">
      <c r="A28" s="21" t="s">
        <v>95</v>
      </c>
      <c r="B28" s="157">
        <v>3</v>
      </c>
      <c r="C28" s="4" t="s">
        <v>93</v>
      </c>
      <c r="D28" s="27" t="s">
        <v>94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96</v>
      </c>
      <c r="B31" s="156">
        <v>145</v>
      </c>
      <c r="C31" s="4" t="s">
        <v>97</v>
      </c>
      <c r="D31" s="26">
        <v>1</v>
      </c>
      <c r="E31" s="4" t="s">
        <v>98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99</v>
      </c>
      <c r="B34" s="29">
        <f>'InfoInicial-CálcAux'!C22</f>
        <v>0.75</v>
      </c>
      <c r="C34" s="4" t="s">
        <v>100</v>
      </c>
      <c r="E34" s="16"/>
    </row>
    <row r="35" spans="1:7" ht="12.75" customHeight="1">
      <c r="A35" s="21" t="s">
        <v>101</v>
      </c>
      <c r="B35" s="981" t="s">
        <v>102</v>
      </c>
      <c r="C35" s="1086"/>
      <c r="D35" s="1087"/>
      <c r="E35" s="30"/>
      <c r="F35" s="16"/>
      <c r="G35" s="31" t="s">
        <v>103</v>
      </c>
    </row>
    <row r="36" spans="1:7" ht="12.75" customHeight="1">
      <c r="A36" s="21" t="s">
        <v>104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105</v>
      </c>
      <c r="B38" s="26">
        <v>60</v>
      </c>
      <c r="E38" s="16"/>
    </row>
    <row r="39" spans="1:7" ht="12.75" customHeight="1">
      <c r="A39" s="21" t="s">
        <v>106</v>
      </c>
      <c r="B39" s="855">
        <v>0.5</v>
      </c>
    </row>
    <row r="40" spans="1:7" ht="12.75" customHeight="1">
      <c r="A40" s="21" t="s">
        <v>107</v>
      </c>
      <c r="B40" s="29">
        <v>0.6</v>
      </c>
      <c r="C40" s="4" t="s">
        <v>100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108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H40"/>
  <sheetViews>
    <sheetView topLeftCell="A6" workbookViewId="0">
      <selection activeCell="F9" sqref="C9:F9"/>
    </sheetView>
  </sheetViews>
  <sheetFormatPr defaultColWidth="8.85546875" defaultRowHeight="13.15"/>
  <cols>
    <col min="1" max="1" width="37.7109375" customWidth="1"/>
    <col min="2" max="2" width="16.7109375" bestFit="1" customWidth="1"/>
    <col min="3" max="8" width="18.42578125" bestFit="1" customWidth="1"/>
  </cols>
  <sheetData>
    <row r="1" spans="1:8">
      <c r="A1" s="580" t="s">
        <v>57</v>
      </c>
      <c r="B1" s="581"/>
      <c r="C1" s="581"/>
      <c r="D1" s="581"/>
      <c r="E1" s="600">
        <v>9</v>
      </c>
      <c r="F1" s="158"/>
      <c r="G1" s="158"/>
    </row>
    <row r="2" spans="1:8">
      <c r="A2" s="158"/>
      <c r="B2" s="158"/>
      <c r="C2" s="158"/>
      <c r="D2" s="158"/>
      <c r="E2" s="158"/>
      <c r="F2" s="158"/>
      <c r="G2" s="158"/>
    </row>
    <row r="3" spans="1:8" ht="15.6">
      <c r="A3" s="584" t="s">
        <v>1000</v>
      </c>
      <c r="B3" s="585" t="s">
        <v>201</v>
      </c>
      <c r="C3" s="585" t="s">
        <v>201</v>
      </c>
      <c r="D3" s="585" t="s">
        <v>201</v>
      </c>
      <c r="E3" s="585" t="s">
        <v>201</v>
      </c>
      <c r="F3" s="726" t="s">
        <v>201</v>
      </c>
      <c r="G3" s="727" t="s">
        <v>201</v>
      </c>
    </row>
    <row r="4" spans="1:8">
      <c r="A4" s="713" t="s">
        <v>201</v>
      </c>
      <c r="B4" s="594" t="s">
        <v>14</v>
      </c>
      <c r="C4" s="594" t="s">
        <v>2</v>
      </c>
      <c r="D4" s="594" t="s">
        <v>3</v>
      </c>
      <c r="E4" s="594" t="s">
        <v>4</v>
      </c>
      <c r="F4" s="724" t="s">
        <v>5</v>
      </c>
      <c r="G4" s="725" t="s">
        <v>6</v>
      </c>
    </row>
    <row r="5" spans="1:8">
      <c r="A5" s="466" t="s">
        <v>1001</v>
      </c>
      <c r="B5" s="903">
        <f t="shared" ref="B5:G5" si="0">SUM(B7:B11)</f>
        <v>52329949.064814061</v>
      </c>
      <c r="C5" s="903">
        <f t="shared" si="0"/>
        <v>413966062.38803762</v>
      </c>
      <c r="D5" s="903">
        <f t="shared" si="0"/>
        <v>820665956.58408415</v>
      </c>
      <c r="E5" s="903">
        <f>SUM(E7:E11)</f>
        <v>1110678623.540036</v>
      </c>
      <c r="F5" s="903">
        <f>SUM(F7:F11)</f>
        <v>1525044761.0925519</v>
      </c>
      <c r="G5" s="903">
        <f t="shared" si="0"/>
        <v>1878905571.4099009</v>
      </c>
    </row>
    <row r="6" spans="1:8">
      <c r="A6" s="457" t="s">
        <v>1002</v>
      </c>
      <c r="B6" s="612" t="s">
        <v>201</v>
      </c>
      <c r="C6" s="612" t="s">
        <v>201</v>
      </c>
      <c r="D6" s="612" t="s">
        <v>201</v>
      </c>
      <c r="E6" s="612" t="s">
        <v>201</v>
      </c>
      <c r="F6" s="612" t="s">
        <v>201</v>
      </c>
      <c r="G6" s="649" t="s">
        <v>201</v>
      </c>
    </row>
    <row r="7" spans="1:8">
      <c r="A7" s="451" t="s">
        <v>1003</v>
      </c>
      <c r="B7" s="898">
        <f>'E-InvAT'!B6</f>
        <v>2268000</v>
      </c>
      <c r="C7" s="898">
        <f>'E-InvAT'!C6</f>
        <v>28350000</v>
      </c>
      <c r="D7" s="898">
        <f>'E-InvAT'!D6</f>
        <v>39690000</v>
      </c>
      <c r="E7" s="898">
        <f>'E-InvAT'!E6</f>
        <v>27783000</v>
      </c>
      <c r="F7" s="898">
        <f>'E-InvAT'!F6</f>
        <v>39690000</v>
      </c>
      <c r="G7" s="899">
        <f>'E-InvAT'!G6</f>
        <v>39690000</v>
      </c>
    </row>
    <row r="8" spans="1:8">
      <c r="A8" s="451" t="s">
        <v>1004</v>
      </c>
      <c r="B8" s="898">
        <f>'F- CFyU'!B29</f>
        <v>0</v>
      </c>
      <c r="C8" s="898">
        <f>'F- CFyU'!C29</f>
        <v>111177702.51256865</v>
      </c>
      <c r="D8" s="898">
        <f>'F- CFyU'!D29</f>
        <v>552765545.39905095</v>
      </c>
      <c r="E8" s="898">
        <f>'F- CFyU'!E29</f>
        <v>789453661.4160552</v>
      </c>
      <c r="F8" s="898">
        <f>'F- CFyU'!F29</f>
        <v>1257145405.0102661</v>
      </c>
      <c r="G8" s="898">
        <f>'F- CFyU'!G29</f>
        <v>1611006215.327615</v>
      </c>
    </row>
    <row r="9" spans="1:8">
      <c r="A9" s="457" t="s">
        <v>1005</v>
      </c>
      <c r="B9" s="898">
        <f>'E-InvAT'!B7</f>
        <v>0</v>
      </c>
      <c r="C9" s="898">
        <f>'E-InvAT'!C7</f>
        <v>116506849.3150685</v>
      </c>
      <c r="D9" s="898">
        <f>'E-InvAT'!D7</f>
        <v>163109589.04109588</v>
      </c>
      <c r="E9" s="898">
        <f>'E-InvAT'!$E$7</f>
        <v>228353424.65753424</v>
      </c>
      <c r="F9" s="898">
        <f>'E-InvAT'!F7</f>
        <v>163109589.04109588</v>
      </c>
      <c r="G9" s="899">
        <f>'E-InvAT'!G7</f>
        <v>163109589.04109588</v>
      </c>
      <c r="H9" s="804"/>
    </row>
    <row r="10" spans="1:8">
      <c r="A10" s="457" t="s">
        <v>1006</v>
      </c>
      <c r="B10" s="898">
        <f>SUM('E-InvAT'!B10:B13)</f>
        <v>959473.54645999998</v>
      </c>
      <c r="C10" s="898">
        <f>SUM('E-InvAT'!C10:C13)</f>
        <v>66428130.258623838</v>
      </c>
      <c r="D10" s="898">
        <f>SUM('E-InvAT'!D10:D13)</f>
        <v>65100822.143937305</v>
      </c>
      <c r="E10" s="898">
        <f>SUM('E-InvAT'!E10:E13)</f>
        <v>65088537.466446579</v>
      </c>
      <c r="F10" s="898">
        <f>SUM('E-InvAT'!F10:F13)</f>
        <v>65099767.041189805</v>
      </c>
      <c r="G10" s="898">
        <f>SUM('E-InvAT'!G10:G13)</f>
        <v>65099767.041189805</v>
      </c>
    </row>
    <row r="11" spans="1:8">
      <c r="A11" s="457" t="s">
        <v>1007</v>
      </c>
      <c r="B11" s="898">
        <f>'F-IVA'!C19</f>
        <v>49102475.518354058</v>
      </c>
      <c r="C11" s="898">
        <f>+'F-IVA'!D19-'F-IVA'!D17</f>
        <v>91503380.301776648</v>
      </c>
      <c r="D11" s="898">
        <f>+'F-IVA'!E19-'F-IVA'!E17</f>
        <v>0</v>
      </c>
      <c r="E11" s="898">
        <f>+'F-IVA'!F19-'F-IVA'!F17</f>
        <v>0</v>
      </c>
      <c r="F11" s="898">
        <f>+'F-IVA'!G19-'F-IVA'!G17</f>
        <v>0</v>
      </c>
      <c r="G11" s="898">
        <f>+'F-IVA'!H19-'F-IVA'!H17</f>
        <v>0</v>
      </c>
    </row>
    <row r="12" spans="1:8">
      <c r="A12" s="457" t="s">
        <v>1008</v>
      </c>
      <c r="B12" s="902">
        <f t="shared" ref="B12:G12" si="1">B17+B22+B23</f>
        <v>322036038.51381505</v>
      </c>
      <c r="C12" s="902">
        <f t="shared" si="1"/>
        <v>402429279.58580482</v>
      </c>
      <c r="D12" s="902">
        <f t="shared" si="1"/>
        <v>329120719.47831202</v>
      </c>
      <c r="E12" s="902">
        <f t="shared" si="1"/>
        <v>255812159.37081909</v>
      </c>
      <c r="F12" s="902">
        <f>F17+F22+F23</f>
        <v>187316348.29999289</v>
      </c>
      <c r="G12" s="902">
        <f t="shared" si="1"/>
        <v>118820537.22916666</v>
      </c>
    </row>
    <row r="13" spans="1:8">
      <c r="A13" s="457" t="s">
        <v>1009</v>
      </c>
      <c r="B13" s="612" t="s">
        <v>201</v>
      </c>
      <c r="C13" s="612" t="s">
        <v>201</v>
      </c>
      <c r="D13" s="612" t="s">
        <v>201</v>
      </c>
      <c r="E13" s="612" t="s">
        <v>201</v>
      </c>
      <c r="F13" s="612" t="s">
        <v>201</v>
      </c>
      <c r="G13" s="649" t="s">
        <v>201</v>
      </c>
    </row>
    <row r="14" spans="1:8">
      <c r="A14" s="451" t="s">
        <v>1010</v>
      </c>
      <c r="B14" s="892">
        <f>'F-2 Estructura'!B7</f>
        <v>128286845.26000001</v>
      </c>
      <c r="C14" s="892">
        <f>B17</f>
        <v>128286845.26000001</v>
      </c>
      <c r="D14" s="892">
        <f>C17</f>
        <v>235966333.23497152</v>
      </c>
      <c r="E14" s="892">
        <f t="shared" ref="E14:G14" si="2">D17</f>
        <v>174568375.40789533</v>
      </c>
      <c r="F14" s="892">
        <f>E17</f>
        <v>113170417.58081912</v>
      </c>
      <c r="G14" s="892">
        <f>F17</f>
        <v>56585208.790409572</v>
      </c>
    </row>
    <row r="15" spans="1:8">
      <c r="A15" s="451" t="s">
        <v>1011</v>
      </c>
      <c r="B15" s="612"/>
      <c r="C15" s="898">
        <f>'F-2 Estructura'!C7</f>
        <v>169077445.80204773</v>
      </c>
      <c r="D15" s="612">
        <v>0</v>
      </c>
      <c r="E15" s="612">
        <f>'F-2 Estructura'!E7</f>
        <v>0</v>
      </c>
      <c r="F15" s="612">
        <f>'F-2 Estructura'!F7</f>
        <v>0</v>
      </c>
      <c r="G15" s="649">
        <f>'F-2 Estructura'!G7</f>
        <v>0</v>
      </c>
    </row>
    <row r="16" spans="1:8">
      <c r="A16" s="451" t="s">
        <v>1012</v>
      </c>
      <c r="C16" s="892">
        <f>'Ej 50-66'!B113+'E-Inv AF y Am'!D54</f>
        <v>61397957.827076212</v>
      </c>
      <c r="D16" s="892">
        <f>'Ej 50-66'!B114+'E-Inv AF y Am'!E54</f>
        <v>61397957.827076212</v>
      </c>
      <c r="E16" s="892">
        <f>'Ej 50-66'!B115+'E-Inv AF y Am'!D54</f>
        <v>61397957.827076212</v>
      </c>
      <c r="F16" s="892">
        <f>'E-Inv AF y Am'!E54</f>
        <v>56585208.790409543</v>
      </c>
      <c r="G16" s="892">
        <f>'E-Inv AF y Am'!E54</f>
        <v>56585208.790409543</v>
      </c>
    </row>
    <row r="17" spans="1:8">
      <c r="A17" s="451" t="s">
        <v>1013</v>
      </c>
      <c r="B17" s="892">
        <f>B14+B15-B16</f>
        <v>128286845.26000001</v>
      </c>
      <c r="C17" s="892">
        <f>C14+C15-C16</f>
        <v>235966333.23497152</v>
      </c>
      <c r="D17" s="892">
        <f t="shared" ref="D17:G17" si="3">D14+D15-D16</f>
        <v>174568375.40789533</v>
      </c>
      <c r="E17" s="892">
        <f>E14+E15-E16</f>
        <v>113170417.58081912</v>
      </c>
      <c r="F17" s="892">
        <f>F14+F15-F16</f>
        <v>56585208.790409572</v>
      </c>
      <c r="G17" s="892">
        <f t="shared" si="3"/>
        <v>0</v>
      </c>
    </row>
    <row r="18" spans="1:8">
      <c r="A18" s="457" t="s">
        <v>509</v>
      </c>
      <c r="B18" s="612" t="s">
        <v>201</v>
      </c>
      <c r="C18" s="612" t="s">
        <v>201</v>
      </c>
      <c r="D18" s="612" t="s">
        <v>201</v>
      </c>
      <c r="E18" s="612" t="s">
        <v>201</v>
      </c>
      <c r="F18" s="612" t="s">
        <v>201</v>
      </c>
      <c r="G18" s="649" t="s">
        <v>201</v>
      </c>
    </row>
    <row r="19" spans="1:8">
      <c r="A19" s="451" t="s">
        <v>1010</v>
      </c>
      <c r="B19" s="892">
        <f>'F-2 Estructura'!B6</f>
        <v>178373548.63124999</v>
      </c>
      <c r="C19" s="892">
        <f>B22</f>
        <v>178373548.63124999</v>
      </c>
      <c r="D19" s="892">
        <f>C22</f>
        <v>166462946.35083333</v>
      </c>
      <c r="E19" s="892">
        <f>D22</f>
        <v>154552344.07041666</v>
      </c>
      <c r="F19" s="892">
        <f t="shared" ref="F19" si="4">E22</f>
        <v>142641741.78999999</v>
      </c>
      <c r="G19" s="893">
        <f>F22</f>
        <v>130731139.50958332</v>
      </c>
    </row>
    <row r="20" spans="1:8">
      <c r="A20" s="451" t="s">
        <v>1014</v>
      </c>
      <c r="B20" s="688"/>
      <c r="C20" s="688"/>
      <c r="D20" s="688">
        <v>0</v>
      </c>
      <c r="E20" s="688">
        <v>0</v>
      </c>
      <c r="F20" s="688">
        <v>0</v>
      </c>
      <c r="G20" s="649">
        <v>0</v>
      </c>
    </row>
    <row r="21" spans="1:8">
      <c r="A21" s="451" t="s">
        <v>1015</v>
      </c>
      <c r="B21" s="688"/>
      <c r="C21" s="892">
        <f>'E-Inv AF y Am'!$D$52</f>
        <v>11910602.280416667</v>
      </c>
      <c r="D21" s="892">
        <f>'E-Inv AF y Am'!$D$52</f>
        <v>11910602.280416667</v>
      </c>
      <c r="E21" s="892">
        <f>'E-Inv AF y Am'!$D$52</f>
        <v>11910602.280416667</v>
      </c>
      <c r="F21" s="892">
        <f>'E-Inv AF y Am'!$E$52</f>
        <v>11910602.280416667</v>
      </c>
      <c r="G21" s="892">
        <f>'E-Inv AF y Am'!$E$52</f>
        <v>11910602.280416667</v>
      </c>
    </row>
    <row r="22" spans="1:8">
      <c r="A22" s="451" t="s">
        <v>1013</v>
      </c>
      <c r="B22" s="892">
        <f>B19+B20-B21</f>
        <v>178373548.63124999</v>
      </c>
      <c r="C22" s="892">
        <f>C19+C20-C21</f>
        <v>166462946.35083333</v>
      </c>
      <c r="D22" s="892">
        <f t="shared" ref="D22:F22" si="5">D19+D20-D21</f>
        <v>154552344.07041666</v>
      </c>
      <c r="E22" s="892">
        <f>E19+E20-E21</f>
        <v>142641741.78999999</v>
      </c>
      <c r="F22" s="892">
        <f>F19+F20-F21</f>
        <v>130731139.50958332</v>
      </c>
      <c r="G22" s="893">
        <f>G19+G20-G21</f>
        <v>118820537.22916666</v>
      </c>
    </row>
    <row r="23" spans="1:8">
      <c r="A23" s="457" t="s">
        <v>1016</v>
      </c>
      <c r="B23" s="898">
        <f>'F- CFyU'!B22-'F- CFyU'!C11</f>
        <v>15375644.622565039</v>
      </c>
      <c r="C23" s="898">
        <v>0</v>
      </c>
      <c r="D23" s="898">
        <v>0</v>
      </c>
      <c r="E23" s="898">
        <v>0</v>
      </c>
      <c r="F23" s="898">
        <v>0</v>
      </c>
      <c r="G23" s="898">
        <v>0</v>
      </c>
    </row>
    <row r="24" spans="1:8" ht="12.75">
      <c r="A24" s="457" t="s">
        <v>1017</v>
      </c>
      <c r="B24" s="868">
        <f>B12+B5</f>
        <v>374365987.57862914</v>
      </c>
      <c r="C24" s="868">
        <f t="shared" ref="C24:G24" si="6">C12+C5</f>
        <v>816395341.97384238</v>
      </c>
      <c r="D24" s="868">
        <f t="shared" si="6"/>
        <v>1149786676.062396</v>
      </c>
      <c r="E24" s="868">
        <f t="shared" si="6"/>
        <v>1366490782.9108551</v>
      </c>
      <c r="F24" s="954">
        <f>F12+F5</f>
        <v>1712361109.3925447</v>
      </c>
      <c r="G24" s="954">
        <f t="shared" si="6"/>
        <v>1997726108.6390676</v>
      </c>
      <c r="H24" s="953">
        <f>SUM(B24:G24)</f>
        <v>7417126006.5573349</v>
      </c>
    </row>
    <row r="25" spans="1:8">
      <c r="A25" s="921" t="s">
        <v>1018</v>
      </c>
      <c r="B25" s="922">
        <f>B27</f>
        <v>10898217.4</v>
      </c>
      <c r="C25" s="922">
        <f>C27+C26</f>
        <v>11697778.688716667</v>
      </c>
      <c r="D25" s="922">
        <f>D27+D26</f>
        <v>11697778.688716667</v>
      </c>
      <c r="E25" s="922">
        <f>E27+E26</f>
        <v>11697778.688716667</v>
      </c>
      <c r="F25" s="922">
        <f>F27+F26</f>
        <v>11697778.688716667</v>
      </c>
      <c r="G25" s="923">
        <f>G26+G27</f>
        <v>799561.28871666663</v>
      </c>
    </row>
    <row r="26" spans="1:8">
      <c r="A26" s="921" t="s">
        <v>1019</v>
      </c>
      <c r="B26" s="922">
        <v>0</v>
      </c>
      <c r="C26" s="922">
        <f>'F-Cred'!D6</f>
        <v>799561.28871666663</v>
      </c>
      <c r="D26" s="922">
        <f>C26</f>
        <v>799561.28871666663</v>
      </c>
      <c r="E26" s="922">
        <f>'F-Cred'!$D$6</f>
        <v>799561.28871666663</v>
      </c>
      <c r="F26" s="922">
        <f>E26</f>
        <v>799561.28871666663</v>
      </c>
      <c r="G26" s="922">
        <f>'F-Cred'!$D$6</f>
        <v>799561.28871666663</v>
      </c>
    </row>
    <row r="27" spans="1:8" ht="12.75">
      <c r="A27" s="921" t="s">
        <v>1020</v>
      </c>
      <c r="B27" s="922">
        <f>'F-Cred'!E20</f>
        <v>10898217.4</v>
      </c>
      <c r="C27" s="922">
        <f>'F-Cred'!E22</f>
        <v>10898217.4</v>
      </c>
      <c r="D27" s="922">
        <f>'F-Cred'!E24</f>
        <v>10898217.4</v>
      </c>
      <c r="E27" s="922">
        <f>'F-Cred'!E26</f>
        <v>10898217.4</v>
      </c>
      <c r="F27" s="922">
        <f>'F-Cred'!$E28</f>
        <v>10898217.4</v>
      </c>
      <c r="G27" s="956"/>
    </row>
    <row r="28" spans="1:8">
      <c r="A28" s="921" t="s">
        <v>1021</v>
      </c>
      <c r="B28" s="922">
        <f>B29</f>
        <v>43592869.600000001</v>
      </c>
      <c r="C28" s="922">
        <f>C29</f>
        <v>32694652.200000003</v>
      </c>
      <c r="D28" s="922">
        <f>D29</f>
        <v>21796434.800000004</v>
      </c>
      <c r="E28" s="922">
        <f>E29</f>
        <v>10898217.400000004</v>
      </c>
      <c r="F28" s="922">
        <f>F29</f>
        <v>0</v>
      </c>
      <c r="G28" s="923">
        <f>G29</f>
        <v>0</v>
      </c>
    </row>
    <row r="29" spans="1:8">
      <c r="A29" s="921" t="s">
        <v>1020</v>
      </c>
      <c r="B29" s="922">
        <f>'F-Cred'!E30-'F-Cred'!E20</f>
        <v>43592869.600000001</v>
      </c>
      <c r="C29" s="922">
        <f>B29-C27</f>
        <v>32694652.200000003</v>
      </c>
      <c r="D29" s="922">
        <f>C29-D27</f>
        <v>21796434.800000004</v>
      </c>
      <c r="E29" s="922">
        <f>D29-E27</f>
        <v>10898217.400000004</v>
      </c>
      <c r="F29" s="922">
        <f>E29-F27</f>
        <v>0</v>
      </c>
      <c r="G29" s="922">
        <f>F29-G27</f>
        <v>0</v>
      </c>
    </row>
    <row r="30" spans="1:8">
      <c r="A30" s="921" t="s">
        <v>1022</v>
      </c>
      <c r="B30" s="922">
        <f>B28+B25</f>
        <v>54491087</v>
      </c>
      <c r="C30" s="922">
        <f>C28+C25</f>
        <v>44392430.888716668</v>
      </c>
      <c r="D30" s="922">
        <f>D28+D25</f>
        <v>33494213.488716669</v>
      </c>
      <c r="E30" s="922">
        <f t="shared" ref="E30:F30" si="7">E28+E25</f>
        <v>22595996.088716671</v>
      </c>
      <c r="F30" s="922">
        <f t="shared" si="7"/>
        <v>11697778.688716667</v>
      </c>
      <c r="G30" s="922">
        <f>G28+G25</f>
        <v>799561.28871666663</v>
      </c>
    </row>
    <row r="31" spans="1:8">
      <c r="A31" s="921" t="s">
        <v>1023</v>
      </c>
      <c r="B31" s="922">
        <f>SUM(B32:B34)</f>
        <v>319874900.57862908</v>
      </c>
      <c r="C31" s="922">
        <f t="shared" ref="C31:F31" si="8">SUM(C32:C34)</f>
        <v>772002911.0851258</v>
      </c>
      <c r="D31" s="922">
        <f>SUM(D32:D34)</f>
        <v>1116292462.5736792</v>
      </c>
      <c r="E31" s="922">
        <f t="shared" si="8"/>
        <v>1343894786.8221383</v>
      </c>
      <c r="F31" s="922">
        <f>SUM(F32:F34)</f>
        <v>1700663330.7038276</v>
      </c>
      <c r="G31" s="922">
        <f>SUM(G32:G34)</f>
        <v>1996926547.3503501</v>
      </c>
    </row>
    <row r="32" spans="1:8">
      <c r="A32" s="921" t="s">
        <v>1024</v>
      </c>
      <c r="B32" s="922">
        <f>'F-2 Estructura'!B31</f>
        <v>319874900.57862908</v>
      </c>
      <c r="C32" s="922">
        <f>'F-2 Estructura'!B31+'F-2 Estructura'!C31</f>
        <v>759147479.10019302</v>
      </c>
      <c r="D32" s="922">
        <f>C32</f>
        <v>759147479.10019302</v>
      </c>
      <c r="E32" s="922">
        <f>D32</f>
        <v>759147479.10019302</v>
      </c>
      <c r="F32" s="922">
        <f>E32</f>
        <v>759147479.10019302</v>
      </c>
      <c r="G32" s="922">
        <f>F32</f>
        <v>759147479.10019302</v>
      </c>
    </row>
    <row r="33" spans="1:8">
      <c r="A33" s="921" t="s">
        <v>1025</v>
      </c>
      <c r="B33" s="924">
        <v>0</v>
      </c>
      <c r="C33" s="922">
        <f>'F-CRes'!B15</f>
        <v>12855431.984932769</v>
      </c>
      <c r="D33" s="922">
        <f>'F-CRes'!C15</f>
        <v>344289551.48855358</v>
      </c>
      <c r="E33" s="922">
        <f>'F-CRes'!D15</f>
        <v>227602324.24845892</v>
      </c>
      <c r="F33" s="922">
        <f>'F-CRes'!E15</f>
        <v>356768543.88168937</v>
      </c>
      <c r="G33" s="923">
        <f>'F-CRes'!F15</f>
        <v>296263216.64652252</v>
      </c>
    </row>
    <row r="34" spans="1:8">
      <c r="A34" s="921" t="s">
        <v>1026</v>
      </c>
      <c r="B34" s="925">
        <v>0</v>
      </c>
      <c r="C34" s="922">
        <f>B33+B34</f>
        <v>0</v>
      </c>
      <c r="D34" s="922">
        <f>C33</f>
        <v>12855431.984932769</v>
      </c>
      <c r="E34" s="922">
        <f>D33+D34</f>
        <v>357144983.47348636</v>
      </c>
      <c r="F34" s="922">
        <f>E33+E34</f>
        <v>584747307.72194529</v>
      </c>
      <c r="G34" s="922">
        <f>F33+F34</f>
        <v>941515851.6036346</v>
      </c>
    </row>
    <row r="35" spans="1:8" ht="12.75">
      <c r="A35" s="926" t="s">
        <v>1027</v>
      </c>
      <c r="B35" s="927">
        <f t="shared" ref="B35:G35" si="9">B31+B30</f>
        <v>374365987.57862908</v>
      </c>
      <c r="C35" s="927">
        <f t="shared" si="9"/>
        <v>816395341.9738425</v>
      </c>
      <c r="D35" s="927">
        <f t="shared" si="9"/>
        <v>1149786676.0623958</v>
      </c>
      <c r="E35" s="927">
        <f t="shared" si="9"/>
        <v>1366490782.9108551</v>
      </c>
      <c r="F35" s="955">
        <f>F31+F30</f>
        <v>1712361109.3925443</v>
      </c>
      <c r="G35" s="955">
        <f t="shared" si="9"/>
        <v>1997726108.6390667</v>
      </c>
      <c r="H35" s="953">
        <f>SUM(B35:G35)</f>
        <v>7417126006.557333</v>
      </c>
    </row>
    <row r="36" spans="1:8">
      <c r="F36" s="970">
        <f>F35-F24</f>
        <v>0</v>
      </c>
      <c r="G36" s="970">
        <f>G35-G24</f>
        <v>0</v>
      </c>
    </row>
    <row r="38" spans="1:8">
      <c r="A38" s="862" t="s">
        <v>1028</v>
      </c>
      <c r="B38" s="863" t="str">
        <f>IF(ROUND(B24,3)=ROUND(B35,3),"OK","MAL")</f>
        <v>OK</v>
      </c>
      <c r="C38" s="863" t="str">
        <f>IF(ROUND(C24,3)=ROUND(C35,3),"OK","MAL")</f>
        <v>OK</v>
      </c>
      <c r="D38" s="863" t="str">
        <f t="shared" ref="D38:G38" si="10">IF(ROUND(D24,3)=ROUND(D35,3),"OK","MAL")</f>
        <v>OK</v>
      </c>
      <c r="E38" s="863" t="str">
        <f t="shared" si="10"/>
        <v>OK</v>
      </c>
      <c r="F38" s="863" t="str">
        <f>IF(ROUND(F24,3)=ROUND(F35,3),"OK","MAL")</f>
        <v>OK</v>
      </c>
      <c r="G38" s="863" t="str">
        <f t="shared" si="10"/>
        <v>OK</v>
      </c>
    </row>
    <row r="40" spans="1:8">
      <c r="A40" t="s">
        <v>1029</v>
      </c>
      <c r="B40" s="804">
        <f>B24-B35</f>
        <v>0</v>
      </c>
      <c r="C40" s="804">
        <f t="shared" ref="C40:F40" si="11">C24-C35</f>
        <v>0</v>
      </c>
      <c r="D40" s="804">
        <f>D24-D35</f>
        <v>0</v>
      </c>
      <c r="E40" s="804">
        <f t="shared" si="11"/>
        <v>0</v>
      </c>
      <c r="F40" s="804">
        <f>F24-F35</f>
        <v>0</v>
      </c>
      <c r="G40" s="804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topLeftCell="D11" workbookViewId="0">
      <selection activeCell="E28" sqref="E28"/>
    </sheetView>
  </sheetViews>
  <sheetFormatPr defaultColWidth="8.85546875" defaultRowHeight="13.1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0" t="s">
        <v>57</v>
      </c>
      <c r="B1" s="581"/>
      <c r="C1" s="581"/>
      <c r="D1" s="581"/>
      <c r="E1" s="581"/>
      <c r="F1" s="581"/>
      <c r="G1" s="600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6">
      <c r="A3" s="602" t="s">
        <v>1030</v>
      </c>
      <c r="B3" s="603"/>
      <c r="C3" s="603"/>
      <c r="D3" s="603"/>
      <c r="E3" s="604" t="s">
        <v>201</v>
      </c>
      <c r="F3" s="604" t="s">
        <v>201</v>
      </c>
      <c r="G3" s="604" t="s">
        <v>201</v>
      </c>
      <c r="H3" s="604" t="s">
        <v>201</v>
      </c>
      <c r="I3" s="604" t="s">
        <v>201</v>
      </c>
      <c r="J3" s="604" t="s">
        <v>201</v>
      </c>
      <c r="K3" s="604" t="s">
        <v>201</v>
      </c>
      <c r="L3" s="604" t="s">
        <v>201</v>
      </c>
      <c r="M3" s="604" t="s">
        <v>201</v>
      </c>
      <c r="N3" s="586" t="s">
        <v>201</v>
      </c>
    </row>
    <row r="4" spans="1:15" ht="26.45">
      <c r="A4" s="593" t="s">
        <v>676</v>
      </c>
      <c r="B4" s="635" t="s">
        <v>987</v>
      </c>
      <c r="C4" s="635" t="s">
        <v>1031</v>
      </c>
      <c r="D4" s="635" t="s">
        <v>679</v>
      </c>
      <c r="E4" s="635" t="s">
        <v>62</v>
      </c>
      <c r="F4" s="635" t="s">
        <v>680</v>
      </c>
      <c r="G4" s="635" t="s">
        <v>681</v>
      </c>
      <c r="H4" s="635" t="s">
        <v>1032</v>
      </c>
      <c r="I4" s="635" t="s">
        <v>1033</v>
      </c>
      <c r="J4" s="635" t="s">
        <v>298</v>
      </c>
      <c r="K4" s="635" t="s">
        <v>683</v>
      </c>
      <c r="L4" s="635" t="s">
        <v>684</v>
      </c>
      <c r="M4" s="714" t="s">
        <v>685</v>
      </c>
      <c r="N4" s="715" t="s">
        <v>686</v>
      </c>
    </row>
    <row r="5" spans="1:15">
      <c r="A5" s="636">
        <v>0</v>
      </c>
      <c r="B5" s="612">
        <f>'F- CFyU'!B15</f>
        <v>306660393.89125001</v>
      </c>
      <c r="C5" s="612">
        <f>'F- CFyU'!B$16</f>
        <v>3227473.5464599999</v>
      </c>
      <c r="D5" s="612">
        <f>'F-IVA'!B17</f>
        <v>64478120.140919097</v>
      </c>
      <c r="F5" s="804"/>
      <c r="G5" s="721">
        <f t="shared" ref="G5:G10" si="0">SUM(B5:F5)</f>
        <v>374365987.57862908</v>
      </c>
      <c r="H5" s="612" t="s">
        <v>201</v>
      </c>
      <c r="I5" s="721">
        <f>'F-Cred'!G18+'F-Cred'!I18</f>
        <v>14438247.109999999</v>
      </c>
      <c r="J5" s="721" t="s">
        <v>201</v>
      </c>
      <c r="K5" s="612" t="s">
        <v>201</v>
      </c>
      <c r="L5" s="721">
        <f t="shared" ref="L5:L10" si="1">SUM(H5:K5)</f>
        <v>14438247.109999999</v>
      </c>
      <c r="M5" s="821">
        <f t="shared" ref="M5:M10" si="2">L5-G5</f>
        <v>-359927740.46862906</v>
      </c>
      <c r="N5" s="820">
        <f>M5</f>
        <v>-359927740.46862906</v>
      </c>
      <c r="O5" s="930"/>
    </row>
    <row r="6" spans="1:15">
      <c r="A6" s="638">
        <v>1</v>
      </c>
      <c r="B6" s="612">
        <f>'F- CFyU'!C15</f>
        <v>169077445.80204773</v>
      </c>
      <c r="C6" s="612">
        <f>'F- CFyU'!C16</f>
        <v>208057506.02723232</v>
      </c>
      <c r="D6" s="612">
        <f>'F-IVA'!C17</f>
        <v>76127735.679211602</v>
      </c>
      <c r="E6" s="612">
        <f>'F-CRes'!B12</f>
        <v>1551517.6533539551</v>
      </c>
      <c r="F6" s="612">
        <f>'F-CRes'!B14</f>
        <v>7757588.2667697743</v>
      </c>
      <c r="G6" s="721">
        <f t="shared" si="0"/>
        <v>462571793.42861533</v>
      </c>
      <c r="H6" s="612">
        <f>'F-CRes'!B11</f>
        <v>22164537.905056499</v>
      </c>
      <c r="I6" s="721">
        <f>'F-Cred'!G20</f>
        <v>31999385.563937999</v>
      </c>
      <c r="J6" s="721">
        <f>'F- CFyU'!C27</f>
        <v>73308560.107492864</v>
      </c>
      <c r="K6" s="612">
        <f>'F-IVA'!C19</f>
        <v>49102475.518354058</v>
      </c>
      <c r="L6" s="721">
        <f t="shared" si="1"/>
        <v>176574959.09484142</v>
      </c>
      <c r="M6" s="821">
        <f t="shared" si="2"/>
        <v>-285996834.33377391</v>
      </c>
      <c r="N6" s="820">
        <f>M6+N5</f>
        <v>-645924574.80240297</v>
      </c>
      <c r="O6" s="930"/>
    </row>
    <row r="7" spans="1:15">
      <c r="A7" s="638">
        <v>2</v>
      </c>
      <c r="B7" s="612" t="s">
        <v>201</v>
      </c>
      <c r="C7" s="612">
        <f>'F- CFyU'!D16</f>
        <v>56615431.61134088</v>
      </c>
      <c r="D7" s="612">
        <f>'F-IVA'!D17</f>
        <v>12128791.583038716</v>
      </c>
      <c r="E7" s="612">
        <f>'F-CRes'!C12</f>
        <v>41552187.248618551</v>
      </c>
      <c r="F7" s="612">
        <f>'F-CRes'!C14</f>
        <v>207760936.24309272</v>
      </c>
      <c r="G7" s="721">
        <f t="shared" si="0"/>
        <v>318057346.68609083</v>
      </c>
      <c r="H7" s="612">
        <f>'F-CRes'!C11</f>
        <v>593602674.9802649</v>
      </c>
      <c r="I7" s="721">
        <f>'F-Cred'!$G22</f>
        <v>29587304.038938001</v>
      </c>
      <c r="J7" s="721">
        <f>'F- CFyU'!D27</f>
        <v>73308560.107492864</v>
      </c>
      <c r="K7" s="612">
        <f>'F-IVA'!D19</f>
        <v>103632171.88481537</v>
      </c>
      <c r="L7" s="721">
        <f t="shared" si="1"/>
        <v>800130711.01151121</v>
      </c>
      <c r="M7" s="821">
        <f t="shared" si="2"/>
        <v>482073364.32542038</v>
      </c>
      <c r="N7" s="820">
        <f>M7+N6</f>
        <v>-163851210.47698259</v>
      </c>
      <c r="O7" s="930"/>
    </row>
    <row r="8" spans="1:15" ht="12.75">
      <c r="A8" s="638">
        <v>3</v>
      </c>
      <c r="B8" s="612" t="s">
        <v>201</v>
      </c>
      <c r="C8" s="612">
        <f>'F- CFyU'!E16</f>
        <v>53324550.938947618</v>
      </c>
      <c r="D8" s="612">
        <f>'F-IVA'!E17</f>
        <v>11198155.697179005</v>
      </c>
      <c r="E8" s="612">
        <f>'F-CRes'!D12</f>
        <v>27469246.029986423</v>
      </c>
      <c r="F8" s="612">
        <f>'F-CRes'!D14</f>
        <v>137346230.14993209</v>
      </c>
      <c r="G8" s="721">
        <f t="shared" si="0"/>
        <v>229338182.81604514</v>
      </c>
      <c r="H8" s="612">
        <f>'F-CRes'!D11</f>
        <v>392417800.42837745</v>
      </c>
      <c r="I8" s="721">
        <f>'F-Cred'!$G24</f>
        <v>21905195.338937998</v>
      </c>
      <c r="J8" s="721">
        <f>'F- CFyU'!E27</f>
        <v>73308560.107492864</v>
      </c>
      <c r="K8" s="612">
        <f>'F-IVA'!E19</f>
        <v>11198155.697179005</v>
      </c>
      <c r="L8" s="721">
        <f t="shared" si="1"/>
        <v>498829711.57198733</v>
      </c>
      <c r="M8" s="821">
        <f t="shared" si="2"/>
        <v>269491528.75594223</v>
      </c>
      <c r="N8" s="820">
        <f>M8+N7</f>
        <v>105640318.27895963</v>
      </c>
      <c r="O8" s="930"/>
    </row>
    <row r="9" spans="1:15">
      <c r="A9" s="638">
        <v>4</v>
      </c>
      <c r="B9" s="612" t="s">
        <v>201</v>
      </c>
      <c r="C9" s="612">
        <f>'F- CFyU'!F16</f>
        <v>-53325606.041695118</v>
      </c>
      <c r="D9" s="612">
        <f>'F-IVA'!F17</f>
        <v>0</v>
      </c>
      <c r="E9" s="612">
        <f>'F-CRes'!E12</f>
        <v>43058272.537445277</v>
      </c>
      <c r="F9" s="612">
        <f>'F-CRes'!E14</f>
        <v>215291362.68722636</v>
      </c>
      <c r="G9" s="721">
        <f t="shared" si="0"/>
        <v>205024029.18297651</v>
      </c>
      <c r="H9" s="612">
        <f>'F-CRes'!E11</f>
        <v>615118179.10636103</v>
      </c>
      <c r="I9" s="721">
        <f>'F-Cred'!$G26</f>
        <v>14223086.638937999</v>
      </c>
      <c r="J9" s="721">
        <f>'F- CFyU'!F27</f>
        <v>68495811.070826203</v>
      </c>
      <c r="K9" s="612">
        <f>'F-IVA'!F19</f>
        <v>0</v>
      </c>
      <c r="L9" s="721">
        <f t="shared" si="1"/>
        <v>697837076.81612515</v>
      </c>
      <c r="M9" s="821">
        <f t="shared" si="2"/>
        <v>492813047.63314867</v>
      </c>
      <c r="N9" s="820">
        <f>M9+N8</f>
        <v>598453365.9121083</v>
      </c>
      <c r="O9" s="930"/>
    </row>
    <row r="10" spans="1:15">
      <c r="A10" s="638">
        <v>5</v>
      </c>
      <c r="B10" s="612">
        <f>-'E-Inv AF y Am'!G57</f>
        <v>-118820537.22916667</v>
      </c>
      <c r="C10" s="612">
        <f>'F- CFyU'!G16-'F- CFyU'!H16</f>
        <v>-267899356.0822857</v>
      </c>
      <c r="D10" s="612">
        <f>'F-IVA'!G17</f>
        <v>0</v>
      </c>
      <c r="E10" s="612">
        <f>'F-CRes'!F12</f>
        <v>35755905.457338929</v>
      </c>
      <c r="F10" s="612">
        <f>'F-CRes'!F14</f>
        <v>178779527.28669462</v>
      </c>
      <c r="G10" s="721">
        <f t="shared" si="0"/>
        <v>-172184460.56741884</v>
      </c>
      <c r="H10" s="612">
        <f>'F-CRes'!F11</f>
        <v>510798649.39055604</v>
      </c>
      <c r="I10" s="721">
        <f>'F-Cred'!$G28</f>
        <v>6540977.9389380002</v>
      </c>
      <c r="J10" s="721">
        <f>'F- CFyU'!G27</f>
        <v>68495811.070826203</v>
      </c>
      <c r="K10" s="612">
        <f>'F-IVA'!G19</f>
        <v>0</v>
      </c>
      <c r="L10" s="721">
        <f t="shared" si="1"/>
        <v>585835438.40032029</v>
      </c>
      <c r="M10" s="821">
        <f t="shared" si="2"/>
        <v>758019898.96773911</v>
      </c>
      <c r="N10" s="820">
        <f>M10+N9</f>
        <v>1356473264.8798475</v>
      </c>
      <c r="O10" s="930"/>
    </row>
    <row r="11" spans="1:15">
      <c r="A11" s="638" t="s">
        <v>201</v>
      </c>
      <c r="B11" s="612" t="s">
        <v>201</v>
      </c>
      <c r="C11" s="612" t="s">
        <v>201</v>
      </c>
      <c r="D11" s="612" t="s">
        <v>201</v>
      </c>
      <c r="E11" s="612" t="s">
        <v>201</v>
      </c>
      <c r="F11" s="612" t="s">
        <v>201</v>
      </c>
      <c r="G11" s="721" t="s">
        <v>201</v>
      </c>
      <c r="H11" s="612" t="s">
        <v>201</v>
      </c>
      <c r="I11" s="721" t="s">
        <v>201</v>
      </c>
      <c r="J11" s="721" t="s">
        <v>201</v>
      </c>
      <c r="K11" s="612" t="s">
        <v>201</v>
      </c>
      <c r="L11" s="721" t="s">
        <v>201</v>
      </c>
      <c r="M11" s="613" t="s">
        <v>201</v>
      </c>
      <c r="N11" s="614" t="s">
        <v>201</v>
      </c>
    </row>
    <row r="12" spans="1:15">
      <c r="A12" s="639" t="s">
        <v>687</v>
      </c>
      <c r="B12" s="615">
        <f>SUM(B5:B10)</f>
        <v>356917302.46413106</v>
      </c>
      <c r="C12" s="615">
        <f>SUM(C5:C10)</f>
        <v>0</v>
      </c>
      <c r="D12" s="615">
        <f>SUM(D5:D10)</f>
        <v>163932803.10034841</v>
      </c>
      <c r="E12" s="615">
        <f>SUM(E6:E10)</f>
        <v>149387128.92674315</v>
      </c>
      <c r="F12" s="615">
        <f>SUM(F6:F10)</f>
        <v>746935644.63371551</v>
      </c>
      <c r="G12" s="810">
        <f t="shared" ref="G12:N12" si="3">SUM(G5:G10)</f>
        <v>1417172879.1249378</v>
      </c>
      <c r="H12" s="615">
        <f t="shared" si="3"/>
        <v>2134101841.8106158</v>
      </c>
      <c r="I12" s="810">
        <f t="shared" si="3"/>
        <v>118694196.62968999</v>
      </c>
      <c r="J12" s="810">
        <f t="shared" si="3"/>
        <v>356917302.464131</v>
      </c>
      <c r="K12" s="615">
        <f t="shared" si="3"/>
        <v>163932803.10034841</v>
      </c>
      <c r="L12" s="810">
        <f t="shared" si="3"/>
        <v>2773646144.0047855</v>
      </c>
      <c r="M12" s="951">
        <f t="shared" si="3"/>
        <v>1356473264.8798475</v>
      </c>
      <c r="N12" s="615">
        <f t="shared" si="3"/>
        <v>890863423.32290077</v>
      </c>
    </row>
    <row r="13" spans="1:15">
      <c r="A13" s="158"/>
      <c r="B13" s="158"/>
      <c r="C13" s="158">
        <f>'E-Costos'!C131+B13</f>
        <v>1388447.4194900237</v>
      </c>
      <c r="D13" s="158"/>
      <c r="E13" s="158"/>
      <c r="F13" s="158"/>
      <c r="G13" s="158"/>
      <c r="H13" s="952">
        <f>H12-F12-E12+I12</f>
        <v>1356473264.8798473</v>
      </c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688</v>
      </c>
      <c r="D14" s="812">
        <f>M12</f>
        <v>1356473264.8798475</v>
      </c>
      <c r="E14" s="158"/>
      <c r="F14" s="158"/>
      <c r="G14" s="158"/>
      <c r="H14" s="809"/>
      <c r="I14" s="158"/>
      <c r="J14" s="158"/>
      <c r="K14" s="158"/>
      <c r="L14" s="158"/>
      <c r="M14" s="158"/>
      <c r="N14" s="158"/>
    </row>
    <row r="15" spans="1:15">
      <c r="A15" s="589"/>
      <c r="B15" s="158"/>
      <c r="C15" s="158" t="s">
        <v>689</v>
      </c>
      <c r="D15" s="716">
        <f>A7-N7/M8</f>
        <v>2.6080013395351287</v>
      </c>
      <c r="E15" s="158" t="s">
        <v>1034</v>
      </c>
      <c r="F15" s="158"/>
      <c r="G15" s="158"/>
      <c r="H15" s="809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1035</v>
      </c>
      <c r="D16" s="819">
        <f>IRR(M5:M10)</f>
        <v>0.44110732346223358</v>
      </c>
      <c r="E16" s="158"/>
      <c r="F16" s="158"/>
      <c r="G16" s="158"/>
      <c r="H16" s="158"/>
      <c r="I16" s="158"/>
      <c r="J16" s="589"/>
      <c r="K16" s="158"/>
      <c r="L16" s="158"/>
      <c r="M16" s="158"/>
      <c r="N16" s="158"/>
    </row>
    <row r="17" spans="1:14">
      <c r="A17" s="158"/>
      <c r="B17" s="158"/>
      <c r="C17" s="158" t="s">
        <v>1036</v>
      </c>
      <c r="D17" s="932">
        <f>NPV(D19,M6:M10)+M5</f>
        <v>119686614.65124297</v>
      </c>
      <c r="F17" s="158" t="s">
        <v>1036</v>
      </c>
      <c r="G17" s="158"/>
      <c r="H17" s="158"/>
      <c r="I17" s="158"/>
      <c r="J17" s="717"/>
      <c r="K17" s="158"/>
      <c r="L17" s="158"/>
      <c r="M17" s="158"/>
      <c r="N17" s="158"/>
    </row>
    <row r="18" spans="1:14">
      <c r="A18" s="158"/>
      <c r="B18" s="158"/>
      <c r="D18" s="716" t="s">
        <v>201</v>
      </c>
      <c r="E18" s="158"/>
      <c r="F18" s="158"/>
      <c r="G18" s="158"/>
      <c r="H18" s="158"/>
      <c r="I18" s="158"/>
      <c r="J18" s="717"/>
      <c r="K18" s="158"/>
      <c r="L18" s="158"/>
      <c r="M18" s="158"/>
      <c r="N18" s="158"/>
    </row>
    <row r="19" spans="1:14" ht="15">
      <c r="A19" s="718"/>
      <c r="B19" s="158"/>
      <c r="C19" s="158" t="s">
        <v>1037</v>
      </c>
      <c r="D19" s="931">
        <v>0.35</v>
      </c>
      <c r="E19" s="158"/>
      <c r="F19" s="158"/>
      <c r="G19" s="158"/>
      <c r="H19" s="158"/>
      <c r="I19" s="158"/>
      <c r="J19" s="717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17"/>
      <c r="K20" s="158"/>
      <c r="L20" s="158"/>
      <c r="M20" s="158"/>
      <c r="N20" s="158"/>
    </row>
    <row r="21" spans="1:14">
      <c r="A21" s="589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02" t="s">
        <v>1038</v>
      </c>
      <c r="B22" s="603"/>
      <c r="C22" s="603"/>
      <c r="D22" s="604" t="s">
        <v>201</v>
      </c>
      <c r="E22" s="604" t="s">
        <v>201</v>
      </c>
      <c r="F22" s="604" t="s">
        <v>201</v>
      </c>
      <c r="G22" s="604" t="s">
        <v>201</v>
      </c>
      <c r="H22" s="586" t="s">
        <v>201</v>
      </c>
      <c r="I22" s="158"/>
      <c r="J22" s="158"/>
      <c r="K22" s="158"/>
      <c r="L22" s="158"/>
      <c r="M22" s="158"/>
      <c r="N22" s="158"/>
    </row>
    <row r="23" spans="1:14" ht="12.75" customHeight="1">
      <c r="A23" s="593" t="s">
        <v>676</v>
      </c>
      <c r="B23" s="635" t="s">
        <v>1039</v>
      </c>
      <c r="C23" s="635" t="s">
        <v>681</v>
      </c>
      <c r="D23" s="635" t="s">
        <v>992</v>
      </c>
      <c r="E23" s="635" t="s">
        <v>1040</v>
      </c>
      <c r="F23" s="635" t="s">
        <v>684</v>
      </c>
      <c r="G23" s="714" t="s">
        <v>685</v>
      </c>
      <c r="H23" s="715" t="s">
        <v>686</v>
      </c>
      <c r="I23" s="158"/>
      <c r="J23" s="158"/>
      <c r="K23" s="1100" t="s">
        <v>691</v>
      </c>
      <c r="L23" s="1101"/>
      <c r="M23" s="158"/>
      <c r="N23" s="158"/>
    </row>
    <row r="24" spans="1:14">
      <c r="A24" s="636">
        <v>0</v>
      </c>
      <c r="B24" s="612">
        <f>'F-2 Estructura'!B31</f>
        <v>319874900.57862908</v>
      </c>
      <c r="C24" s="612">
        <f t="shared" ref="C24:C29" si="4">B24</f>
        <v>319874900.57862908</v>
      </c>
      <c r="D24" s="612" t="str">
        <f>'F- CFyU'!B21</f>
        <v xml:space="preserve"> $                   -  </v>
      </c>
      <c r="E24" s="612" t="s">
        <v>201</v>
      </c>
      <c r="F24" s="612">
        <f t="shared" ref="F24:F29" si="5">SUM(D24:E24)</f>
        <v>0</v>
      </c>
      <c r="G24" s="613">
        <f t="shared" ref="G24:G29" si="6">F24-C24</f>
        <v>-319874900.57862908</v>
      </c>
      <c r="H24" s="614">
        <f>G24</f>
        <v>-319874900.57862908</v>
      </c>
      <c r="I24" s="158"/>
      <c r="J24" s="158"/>
      <c r="K24" s="1100" t="s">
        <v>692</v>
      </c>
      <c r="L24" s="1101"/>
      <c r="M24" s="158"/>
      <c r="N24" s="158"/>
    </row>
    <row r="25" spans="1:14">
      <c r="A25" s="638">
        <v>1</v>
      </c>
      <c r="B25" s="612">
        <f>'F-2 Estructura'!C31</f>
        <v>439272578.52156395</v>
      </c>
      <c r="C25" s="612">
        <f t="shared" si="4"/>
        <v>439272578.52156395</v>
      </c>
      <c r="D25" s="612" t="str">
        <f>'F- CFyU'!C21</f>
        <v xml:space="preserve"> $                   -  </v>
      </c>
      <c r="E25" s="612">
        <f>'F- CFyU'!C30</f>
        <v>111177702.51256865</v>
      </c>
      <c r="F25" s="612">
        <f t="shared" si="5"/>
        <v>111177702.51256865</v>
      </c>
      <c r="G25" s="613">
        <f t="shared" si="6"/>
        <v>-328094876.00899529</v>
      </c>
      <c r="H25" s="614">
        <f>G25+H24</f>
        <v>-647969776.58762431</v>
      </c>
      <c r="I25" s="158"/>
      <c r="J25" s="158"/>
      <c r="K25" s="822" t="s">
        <v>298</v>
      </c>
      <c r="L25" s="823" t="str">
        <f>IF(B12=J12,"OK","MAL")</f>
        <v>OK</v>
      </c>
      <c r="M25" s="158"/>
      <c r="N25" s="158"/>
    </row>
    <row r="26" spans="1:14">
      <c r="A26" s="638">
        <v>2</v>
      </c>
      <c r="B26" s="612">
        <v>0</v>
      </c>
      <c r="C26" s="612">
        <f t="shared" si="4"/>
        <v>0</v>
      </c>
      <c r="D26" s="612" t="str">
        <f>'F- CFyU'!D21</f>
        <v xml:space="preserve"> $                   -  </v>
      </c>
      <c r="E26" s="612">
        <f>'F- CFyU'!D30</f>
        <v>441587842.8864823</v>
      </c>
      <c r="F26" s="612">
        <f t="shared" si="5"/>
        <v>441587842.8864823</v>
      </c>
      <c r="G26" s="613">
        <f t="shared" si="6"/>
        <v>441587842.8864823</v>
      </c>
      <c r="H26" s="614">
        <f>G26+H25</f>
        <v>-206381933.70114201</v>
      </c>
      <c r="I26" s="158"/>
      <c r="J26" s="158"/>
      <c r="K26" s="822" t="s">
        <v>693</v>
      </c>
      <c r="L26" s="823" t="str">
        <f>IF(D12=K12,"OK","MAL")</f>
        <v>OK</v>
      </c>
      <c r="M26" s="158"/>
      <c r="N26" s="158"/>
    </row>
    <row r="27" spans="1:14">
      <c r="A27" s="638">
        <v>3</v>
      </c>
      <c r="B27" s="612">
        <v>0</v>
      </c>
      <c r="C27" s="612">
        <f t="shared" si="4"/>
        <v>0</v>
      </c>
      <c r="D27" s="612" t="str">
        <f>'F- CFyU'!E21</f>
        <v xml:space="preserve"> $                   -  </v>
      </c>
      <c r="E27" s="612">
        <f>'F- CFyU'!E30</f>
        <v>236688116.01700425</v>
      </c>
      <c r="F27" s="612">
        <f t="shared" si="5"/>
        <v>236688116.01700425</v>
      </c>
      <c r="G27" s="613">
        <f t="shared" si="6"/>
        <v>236688116.01700425</v>
      </c>
      <c r="H27" s="614">
        <f>G27+H26</f>
        <v>30306182.315862238</v>
      </c>
      <c r="I27" s="158"/>
      <c r="J27" s="158"/>
      <c r="K27" s="822" t="s">
        <v>694</v>
      </c>
      <c r="L27" s="823" t="str">
        <f>IF(C12=0,"OK","MAL")</f>
        <v>OK</v>
      </c>
      <c r="M27" s="158"/>
      <c r="N27" s="158"/>
    </row>
    <row r="28" spans="1:14">
      <c r="A28" s="638">
        <v>4</v>
      </c>
      <c r="B28" s="612">
        <v>0</v>
      </c>
      <c r="C28" s="612">
        <f t="shared" si="4"/>
        <v>0</v>
      </c>
      <c r="D28" s="612">
        <f>'F- CFyU'!F2</f>
        <v>0</v>
      </c>
      <c r="E28" s="612">
        <f>'F- CFyU'!F30</f>
        <v>467691743.59421086</v>
      </c>
      <c r="F28" s="612">
        <f t="shared" si="5"/>
        <v>467691743.59421086</v>
      </c>
      <c r="G28" s="613">
        <f t="shared" si="6"/>
        <v>467691743.59421086</v>
      </c>
      <c r="H28" s="614">
        <f>G28+H27</f>
        <v>497997925.9100731</v>
      </c>
      <c r="I28" s="158"/>
      <c r="J28" s="158"/>
      <c r="K28" s="822" t="s">
        <v>695</v>
      </c>
      <c r="L28" s="823" t="str">
        <f>IF((H12-F12-E12+I12)=M12,IF(M12=N10,"OK","MAL"),"MAL")</f>
        <v>OK</v>
      </c>
      <c r="M28" s="158"/>
      <c r="N28" s="158"/>
    </row>
    <row r="29" spans="1:14">
      <c r="A29" s="638">
        <v>5</v>
      </c>
      <c r="B29" s="612">
        <f>B10+C10+'F-Cred'!D6</f>
        <v>-385920332.02273571</v>
      </c>
      <c r="C29" s="612">
        <f t="shared" si="4"/>
        <v>-385920332.02273571</v>
      </c>
      <c r="D29" s="612" t="str">
        <f>'F- CFyU'!G21</f>
        <v xml:space="preserve"> $                   -  </v>
      </c>
      <c r="E29" s="612">
        <f>'F- CFyU'!G30</f>
        <v>353860810.31734896</v>
      </c>
      <c r="F29" s="612">
        <f t="shared" si="5"/>
        <v>353860810.31734896</v>
      </c>
      <c r="G29" s="613">
        <f t="shared" si="6"/>
        <v>739781142.34008467</v>
      </c>
      <c r="H29" s="614">
        <f>G29+H28</f>
        <v>1237779068.2501578</v>
      </c>
      <c r="I29" s="158"/>
      <c r="J29" s="158"/>
      <c r="K29" s="1100" t="s">
        <v>1041</v>
      </c>
      <c r="L29" s="1101"/>
      <c r="M29" s="158"/>
      <c r="N29" s="158"/>
    </row>
    <row r="30" spans="1:14">
      <c r="A30" s="638" t="s">
        <v>201</v>
      </c>
      <c r="B30" s="612" t="s">
        <v>201</v>
      </c>
      <c r="C30" s="612" t="s">
        <v>201</v>
      </c>
      <c r="D30" s="612" t="s">
        <v>201</v>
      </c>
      <c r="E30" s="612" t="s">
        <v>201</v>
      </c>
      <c r="F30" s="612" t="s">
        <v>201</v>
      </c>
      <c r="G30" s="613" t="s">
        <v>201</v>
      </c>
      <c r="H30" s="614" t="s">
        <v>201</v>
      </c>
      <c r="I30" s="158"/>
      <c r="J30" s="158"/>
      <c r="K30" s="822" t="s">
        <v>1042</v>
      </c>
      <c r="L30" s="823" t="str">
        <f>IF((H12-E12-F12)=G31,"OK","MAL")</f>
        <v>OK</v>
      </c>
      <c r="M30" s="158"/>
      <c r="N30" s="158"/>
    </row>
    <row r="31" spans="1:14" ht="14.45">
      <c r="A31" s="639" t="s">
        <v>687</v>
      </c>
      <c r="B31" s="615">
        <f t="shared" ref="B31:H31" si="7">SUM(B24:B29)</f>
        <v>373227147.07745731</v>
      </c>
      <c r="C31" s="615">
        <f t="shared" si="7"/>
        <v>373227147.07745731</v>
      </c>
      <c r="D31" s="615">
        <f t="shared" si="7"/>
        <v>0</v>
      </c>
      <c r="E31" s="615">
        <f t="shared" si="7"/>
        <v>1611006215.327615</v>
      </c>
      <c r="F31" s="615">
        <f t="shared" si="7"/>
        <v>1611006215.327615</v>
      </c>
      <c r="G31" s="615">
        <f>SUM(G24:G29)</f>
        <v>1237779068.2501578</v>
      </c>
      <c r="H31" s="615">
        <f t="shared" si="7"/>
        <v>591856565.60869765</v>
      </c>
      <c r="I31" s="158"/>
      <c r="J31" s="158"/>
      <c r="K31" s="822" t="s">
        <v>1043</v>
      </c>
      <c r="L31" s="823" t="str">
        <f>IF(('F- CFyU'!H30-'F- CFyU'!H7-'F- CFyU'!H8+'F- CFyU'!H15-'F- CFyU'!H27+'F- CFyU'!H16)='F- Form'!G31,"OK","MAL")</f>
        <v>OK</v>
      </c>
      <c r="M31" s="650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22" t="s">
        <v>1044</v>
      </c>
      <c r="L32" s="823" t="str">
        <f>IF('F-CRes'!G15=G31,"OK","MAL")</f>
        <v>OK</v>
      </c>
      <c r="M32" s="158"/>
      <c r="N32" s="158"/>
    </row>
    <row r="33" spans="1:14" ht="14.45">
      <c r="A33" s="158"/>
      <c r="B33" s="158"/>
      <c r="C33" s="158"/>
      <c r="D33" s="158"/>
      <c r="E33" s="158"/>
      <c r="F33" s="158"/>
      <c r="G33" s="809"/>
      <c r="H33" s="929"/>
      <c r="I33" s="929"/>
      <c r="J33" s="158"/>
      <c r="K33" s="822" t="s">
        <v>1045</v>
      </c>
      <c r="L33" s="823" t="str">
        <f>IF(('F-Balance'!G33+'F-Balance'!G34)='F- Form'!G31,"OK","MAL")</f>
        <v>OK</v>
      </c>
      <c r="M33" s="158"/>
      <c r="N33" s="158"/>
    </row>
    <row r="34" spans="1:14" ht="14.45">
      <c r="A34" s="158"/>
      <c r="B34" s="158"/>
      <c r="C34" s="158" t="s">
        <v>688</v>
      </c>
      <c r="D34" s="812">
        <f>H12-F12-E12</f>
        <v>1237779068.2501574</v>
      </c>
      <c r="E34" s="158" t="s">
        <v>1046</v>
      </c>
      <c r="F34" s="158"/>
      <c r="G34" s="158"/>
      <c r="H34" s="929"/>
      <c r="I34" s="928"/>
      <c r="J34" s="158"/>
      <c r="K34" s="822" t="s">
        <v>1047</v>
      </c>
      <c r="L34" s="823" t="str">
        <f>IF(('F- CFyU'!H10-'F- CFyU'!H17-'F- CFyU'!H20-'F- CFyU'!H18)=G31,"OK","MAL")</f>
        <v>OK</v>
      </c>
      <c r="M34" s="158"/>
      <c r="N34" s="158"/>
    </row>
    <row r="35" spans="1:14" ht="14.45">
      <c r="A35" s="158"/>
      <c r="B35" s="158"/>
      <c r="C35" s="158" t="s">
        <v>689</v>
      </c>
      <c r="D35" s="716">
        <f>A26-H26/G27</f>
        <v>2.8719573131686724</v>
      </c>
      <c r="E35" s="158" t="s">
        <v>1048</v>
      </c>
      <c r="F35" s="719"/>
      <c r="G35" s="158"/>
      <c r="H35" s="928"/>
      <c r="I35" s="928"/>
      <c r="J35" s="158"/>
      <c r="K35" s="1100" t="s">
        <v>1049</v>
      </c>
      <c r="L35" s="1101"/>
      <c r="M35" s="158"/>
      <c r="N35" s="158"/>
    </row>
    <row r="36" spans="1:14" ht="15">
      <c r="A36" s="158"/>
      <c r="B36" s="158"/>
      <c r="C36" s="158" t="s">
        <v>1050</v>
      </c>
      <c r="D36" s="819">
        <f>IRR(G24:G29)</f>
        <v>0.41448344734430975</v>
      </c>
      <c r="E36" s="158"/>
      <c r="F36" s="158"/>
      <c r="G36" s="158"/>
      <c r="H36" s="928"/>
      <c r="I36" s="928"/>
      <c r="J36" s="158"/>
      <c r="K36" s="822" t="s">
        <v>1051</v>
      </c>
      <c r="L36" s="823" t="str">
        <f>IF(SUM('F-Balance'!B35:G35)=SUM('F-Balance'!B24:G24),"OK","MAL")</f>
        <v>OK</v>
      </c>
      <c r="M36" s="158"/>
    </row>
    <row r="37" spans="1:14" ht="15">
      <c r="C37" t="s">
        <v>1036</v>
      </c>
      <c r="D37" s="804">
        <f>NPV(D38,G25:G29)+G24</f>
        <v>81378038.409570634</v>
      </c>
      <c r="H37" s="928"/>
      <c r="I37" s="928"/>
      <c r="K37" s="719"/>
      <c r="L37" s="719"/>
      <c r="M37" s="158"/>
    </row>
    <row r="38" spans="1:14" ht="14.45">
      <c r="C38" t="s">
        <v>1037</v>
      </c>
      <c r="D38" s="225">
        <v>0.35</v>
      </c>
      <c r="H38" s="928"/>
      <c r="I38" s="928"/>
      <c r="K38" s="719"/>
      <c r="L38" s="719"/>
    </row>
    <row r="40" spans="1:14" ht="14.45">
      <c r="L40" s="824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5.9">
      <c r="A1" s="111" t="s">
        <v>1052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4.45">
      <c r="A2" s="112" t="s">
        <v>1053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4.45">
      <c r="D3" s="112"/>
      <c r="E3" s="112"/>
      <c r="F3" s="112"/>
      <c r="G3" s="112"/>
      <c r="H3" s="112"/>
      <c r="I3" s="112" t="s">
        <v>1054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4.45">
      <c r="A4" s="113" t="s">
        <v>1055</v>
      </c>
      <c r="B4" s="114">
        <v>0.37</v>
      </c>
      <c r="C4" s="112" t="s">
        <v>1056</v>
      </c>
      <c r="D4" s="112"/>
      <c r="E4" s="112"/>
      <c r="F4" s="112"/>
      <c r="G4" s="112"/>
      <c r="H4" s="112"/>
      <c r="I4" s="112" t="s">
        <v>1057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4.45">
      <c r="A5" s="113" t="s">
        <v>1058</v>
      </c>
      <c r="B5" s="115"/>
      <c r="C5" s="116" t="s">
        <v>1059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">
      <c r="A7" s="117" t="s">
        <v>1060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4.45">
      <c r="A8" s="112" t="s">
        <v>1061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4.4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14.45">
      <c r="A10" s="120" t="s">
        <v>1062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4.45">
      <c r="A11" s="112" t="s">
        <v>1063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4.4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4.45">
      <c r="A13" s="121"/>
      <c r="B13" s="122" t="s">
        <v>1064</v>
      </c>
      <c r="C13" s="122" t="s">
        <v>1065</v>
      </c>
      <c r="D13" s="122" t="s">
        <v>1066</v>
      </c>
      <c r="E13" s="112"/>
      <c r="F13" s="112"/>
      <c r="G13" s="112"/>
      <c r="H13" s="112"/>
      <c r="I13" s="122" t="s">
        <v>1064</v>
      </c>
      <c r="J13" s="122" t="s">
        <v>1065</v>
      </c>
      <c r="K13" s="122" t="s">
        <v>1066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4.45">
      <c r="A14" s="123" t="s">
        <v>690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4.45">
      <c r="A15" s="123" t="s">
        <v>1067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1068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4.45">
      <c r="A16" s="123" t="s">
        <v>1069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1070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4.45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4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4.45">
      <c r="A19" s="120" t="s">
        <v>1071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4.45">
      <c r="A20" s="112" t="s">
        <v>1072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4.45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4.45">
      <c r="A22" s="121"/>
      <c r="B22" s="122" t="s">
        <v>1073</v>
      </c>
      <c r="C22" s="122" t="s">
        <v>1065</v>
      </c>
      <c r="D22" s="122" t="s">
        <v>1074</v>
      </c>
      <c r="E22" s="112"/>
      <c r="F22" s="112"/>
      <c r="G22" s="112"/>
      <c r="H22" s="112"/>
      <c r="I22" s="122" t="s">
        <v>1073</v>
      </c>
      <c r="J22" s="122" t="s">
        <v>1065</v>
      </c>
      <c r="K22" s="122" t="s">
        <v>1074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4.45">
      <c r="A23" s="123" t="s">
        <v>690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4.45">
      <c r="A24" s="123" t="s">
        <v>1067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1075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4.45">
      <c r="A25" s="123" t="s">
        <v>1069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4.45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4.45">
      <c r="A27" s="129" t="s">
        <v>1076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4.4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4.45">
      <c r="A29" s="129" t="s">
        <v>1077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4.45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">
      <c r="A31" s="117" t="s">
        <v>1078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4.45">
      <c r="A32" s="112" t="s">
        <v>1079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4.45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4.45">
      <c r="A34" s="130"/>
      <c r="B34" s="131" t="s">
        <v>690</v>
      </c>
      <c r="C34" s="131" t="s">
        <v>1067</v>
      </c>
      <c r="D34" s="131" t="s">
        <v>1069</v>
      </c>
      <c r="E34" s="112"/>
      <c r="H34" s="1068" t="s">
        <v>1080</v>
      </c>
      <c r="I34" s="1093"/>
      <c r="J34" s="132">
        <f>60*35</f>
        <v>2100</v>
      </c>
      <c r="K34" s="133" t="s">
        <v>90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1081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68" t="s">
        <v>1082</v>
      </c>
      <c r="I35" s="1093"/>
      <c r="J35" s="132">
        <v>100.25</v>
      </c>
      <c r="K35" s="133" t="s">
        <v>1083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28.9">
      <c r="A36" s="134" t="s">
        <v>1084</v>
      </c>
      <c r="B36" s="124"/>
      <c r="C36" s="124"/>
      <c r="D36" s="124"/>
      <c r="E36" s="112"/>
      <c r="H36" s="1068" t="s">
        <v>1085</v>
      </c>
      <c r="I36" s="1093"/>
      <c r="J36" s="137">
        <v>185</v>
      </c>
      <c r="K36" s="133" t="s">
        <v>1086</v>
      </c>
      <c r="L36" s="112" t="s">
        <v>1087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4.45">
      <c r="A37" s="120"/>
      <c r="B37" s="112"/>
      <c r="C37" s="112"/>
      <c r="D37" s="112"/>
      <c r="E37" s="112"/>
      <c r="H37" s="1068" t="s">
        <v>1088</v>
      </c>
      <c r="I37" s="1093"/>
      <c r="J37" s="137">
        <v>300</v>
      </c>
      <c r="K37" s="133" t="s">
        <v>1086</v>
      </c>
      <c r="L37" s="112" t="s">
        <v>1089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4.45">
      <c r="A38" s="120"/>
      <c r="B38" s="112"/>
      <c r="C38" s="112"/>
      <c r="D38" s="112"/>
      <c r="E38" s="112"/>
      <c r="H38" s="1068" t="s">
        <v>1090</v>
      </c>
      <c r="I38" s="1093"/>
      <c r="J38" s="138">
        <f>AVERAGE(5,6.003,3.39)</f>
        <v>4.7976666666666672</v>
      </c>
      <c r="K38" s="133" t="s">
        <v>1086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4.45">
      <c r="A39" s="112"/>
      <c r="B39" s="112"/>
      <c r="C39" s="112"/>
      <c r="D39" s="112"/>
      <c r="E39" s="112"/>
      <c r="F39" s="112"/>
      <c r="G39" s="112"/>
      <c r="H39" s="1068" t="s">
        <v>1091</v>
      </c>
      <c r="I39" s="1093"/>
      <c r="J39" s="139">
        <f>AVERAGE(5,6.003,3.39)*0.38</f>
        <v>1.8231133333333336</v>
      </c>
      <c r="K39" s="133" t="s">
        <v>1086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4.45">
      <c r="A40" s="140" t="s">
        <v>1092</v>
      </c>
      <c r="B40" s="112"/>
      <c r="C40" s="112"/>
      <c r="D40" s="112"/>
      <c r="E40" s="112"/>
      <c r="F40" s="112"/>
      <c r="G40" s="112"/>
      <c r="H40" s="1068" t="s">
        <v>1093</v>
      </c>
      <c r="I40" s="1093"/>
      <c r="J40" s="139">
        <f>AVERAGE(5,6.003,3.39)*0.62</f>
        <v>2.9745533333333336</v>
      </c>
      <c r="K40" s="133" t="s">
        <v>1086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4.4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4.45">
      <c r="A42" s="129" t="s">
        <v>1094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4.4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">
      <c r="A44" s="117" t="s">
        <v>1095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4.45">
      <c r="A45" s="112" t="s">
        <v>1096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4.45">
      <c r="A46" s="112" t="s">
        <v>1097</v>
      </c>
      <c r="B46" s="112"/>
      <c r="C46" s="112"/>
      <c r="D46" s="112"/>
      <c r="E46" s="112"/>
      <c r="F46" s="112"/>
      <c r="G46" s="112"/>
      <c r="H46" s="112"/>
      <c r="I46" s="122" t="s">
        <v>1098</v>
      </c>
      <c r="J46" s="122" t="s">
        <v>1099</v>
      </c>
      <c r="K46" s="122" t="s">
        <v>1100</v>
      </c>
      <c r="L46" s="122" t="s">
        <v>1101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4.45">
      <c r="A47" s="112"/>
      <c r="B47" s="112" t="s">
        <v>1102</v>
      </c>
      <c r="C47" s="112"/>
      <c r="D47" s="112"/>
      <c r="E47" s="112"/>
      <c r="F47" s="112"/>
      <c r="G47" s="112"/>
      <c r="H47" s="141" t="s">
        <v>20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1103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4.45">
      <c r="A48" s="112"/>
      <c r="B48" s="112" t="s">
        <v>1104</v>
      </c>
      <c r="C48" s="112"/>
      <c r="D48" s="112"/>
      <c r="E48" s="112"/>
      <c r="F48" s="112"/>
      <c r="G48" s="112"/>
      <c r="H48" s="141" t="s">
        <v>1105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1106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4.45">
      <c r="A49" s="112"/>
      <c r="B49" s="112" t="s">
        <v>1107</v>
      </c>
      <c r="C49" s="112"/>
      <c r="D49" s="112"/>
      <c r="E49" s="112"/>
      <c r="F49" s="112"/>
      <c r="G49" s="112"/>
      <c r="H49" s="141" t="s">
        <v>1108</v>
      </c>
      <c r="I49" s="142">
        <v>33238920</v>
      </c>
      <c r="J49" s="142">
        <f>I49*0.5</f>
        <v>16619460</v>
      </c>
      <c r="K49" s="144"/>
      <c r="L49" s="144"/>
      <c r="M49" s="112" t="s">
        <v>1109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4.45">
      <c r="A50" s="112"/>
      <c r="B50" s="112" t="s">
        <v>1110</v>
      </c>
      <c r="C50" s="112"/>
      <c r="D50" s="112"/>
      <c r="E50" s="112"/>
      <c r="F50" s="112"/>
      <c r="G50" s="112"/>
      <c r="H50" s="141" t="s">
        <v>601</v>
      </c>
      <c r="I50" s="143">
        <v>30</v>
      </c>
      <c r="J50" s="143">
        <f>I50*2</f>
        <v>60</v>
      </c>
      <c r="K50" s="144"/>
      <c r="L50" s="144"/>
      <c r="M50" s="112" t="s">
        <v>1111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4.45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4.45">
      <c r="A52" s="112"/>
      <c r="B52" s="131" t="s">
        <v>690</v>
      </c>
      <c r="C52" s="131" t="s">
        <v>1067</v>
      </c>
      <c r="D52" s="131" t="s">
        <v>1069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4.45">
      <c r="A53" s="134" t="s">
        <v>1065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4.45">
      <c r="A54" s="134" t="s">
        <v>1112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4.4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4.4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4.45">
      <c r="A57" s="129" t="s">
        <v>1113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4.4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4.4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4.4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4.4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4.4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4.4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4.4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4.4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4.4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4.4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4.4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4.4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4.4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4.4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4.4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4.4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4.4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4.4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4.4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4.4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4.4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4.4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4.4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4.4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4.4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4.4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4.4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4.4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4.4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4.4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4.4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4.4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4.4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4.4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4.4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4.4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4.4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4.4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4.4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4.4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4.4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4.4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4.4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4.4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4.4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4.4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4.4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4.4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4.4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4.4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4.4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4.4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4.4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4.4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4.4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4.4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4.4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4.4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4.4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4.4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4.4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4.4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4.4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4.4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4.4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4.4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4.4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4.4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4.4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4.4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4.4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4.4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4.4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4.4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4.4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4.4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4.4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4.4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4.4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4.4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4.4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4.4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4.4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4.4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4.4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4.4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4.4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4.4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4.4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4.4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4.4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4.4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4.4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4.4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4.4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4.4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4.4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4.4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4.4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4.4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4.4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4.4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4.4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4.4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4.4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4.4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4.4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4.4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4.4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4.4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4.4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4.4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4.4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4.4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4.4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4.4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4.4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4.4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4.4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4.4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4.4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4.4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4.4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4.4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4.4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4.4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4.4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4.4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4.4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4.4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4.4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4.4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4.4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4.4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4.4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4.4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4.4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4.4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4.4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4.4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4.4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4.4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4.4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4.4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4.4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4.4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4.4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4.4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4.4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4.4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4.4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4.4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4.4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4.4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4.4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4.4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4.4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4.4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4.4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4.4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4.4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4.4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4.4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4.4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4.4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4.4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4.4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4.4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4.4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4.4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4.4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4.4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4.4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4.4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4.4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4.4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4.4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4.4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4.4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4.4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4.4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4.4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4.4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4.4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4.4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4.4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4.4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4.4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4.4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4.4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4.4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4.4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4.4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4.4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4.4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4.4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4.4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4.4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4.4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4.4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4.4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4.4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4.4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4.4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4.4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4.4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4.4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4.4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4.4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4.4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4.4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4.4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4.4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4.4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4.4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4.4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4.4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4.4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4.4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4.4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4.4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4.4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4.4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4.4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4.4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4.4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4.4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4.4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4.4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4.4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4.4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4.4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4.4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4.4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4.4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4.4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4.4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4.4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4.4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4.4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4.4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4.4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4.4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4.4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4.4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4.4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4.4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4.4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4.4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4.4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4.4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4.4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4.4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4.4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4.4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4.4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4.4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4.4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4.4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4.4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4.4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4.4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4.4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4.4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4.4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4.4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4.4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4.4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4.4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4.4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4.4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4.4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4.4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4.4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4.4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4.4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4.4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4.4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4.4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4.4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4.4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4.4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4.4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4.4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4.4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4.4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4.4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4.4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4.4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4.4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4.4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4.4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4.4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4.4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4.4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4.4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4.4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4.4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4.4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4.4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4.4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4.4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4.4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4.4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4.4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4.4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4.4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4.4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4.4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4.4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4.4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4.4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4.4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4.4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4.4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4.4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4.4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4.4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4.4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4.4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4.4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4.4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4.4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4.4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4.4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4.4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4.4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4.4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4.4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4.4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4.4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4.4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4.4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4.4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4.4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4.4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4.4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4.4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4.4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4.4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4.4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4.4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4.4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4.4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4.4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4.4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4.4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4.4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4.4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4.4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4.4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4.4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4.4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4.4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4.4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4.4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4.4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4.4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4.4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4.4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4.4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4.4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4.4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4.4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4.4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4.4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4.4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4.4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4.4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4.4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4.4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4.4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4.4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4.4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4.4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4.4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4.4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4.4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4.4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4.4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4.4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4.4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4.4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4.4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4.4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4.4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4.4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4.4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4.4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4.4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4.4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4.4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4.4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4.4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4.4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4.4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4.4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4.4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4.4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4.4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4.4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4.4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4.4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4.4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4.4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4.4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4.4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4.4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4.4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4.4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4.4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4.4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4.4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4.4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4.4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4.4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4.4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4.4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4.4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4.4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4.4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4.4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4.4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4.4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4.4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4.4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4.4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4.4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4.4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4.4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4.4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4.4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4.4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4.4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4.4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4.4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4.4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4.4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4.4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4.4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4.4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4.4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4.4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4.4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4.4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4.4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4.4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4.4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4.4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4.4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4.4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4.4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4.4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4.4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4.4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4.4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4.4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4.4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4.4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4.4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4.4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4.4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4.4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4.4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4.4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4.4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4.4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4.4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4.4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4.4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4.4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4.4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4.4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4.4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4.4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4.4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4.4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4.4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4.4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4.4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4.4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4.4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4.4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4.4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4.4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4.4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4.4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4.4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4.4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4.4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4.4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4.4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4.4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4.4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4.4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4.4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4.4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4.4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4.4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4.4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4.4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4.4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4.4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4.4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4.4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4.4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4.4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4.4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4.4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4.4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4.4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4.4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4.4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4.4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4.4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4.4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4.4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4.4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4.4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4.4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4.4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4.4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4.4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4.4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4.4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4.4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4.4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4.4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4.4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4.4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4.4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4.4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4.4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4.4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4.4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4.4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4.4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4.4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4.4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4.4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4.4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4.4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4.4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4.4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4.4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4.4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4.4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4.4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4.4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4.4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4.4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4.4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4.4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4.4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4.4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4.4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4.4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4.4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4.4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4.4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4.4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4.4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4.4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4.4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4.4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4.4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4.4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4.4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4.4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4.4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4.4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4.4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4.4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4.4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4.4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4.4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4.4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4.4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4.4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4.4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4.4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4.4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4.4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4.4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4.4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4.4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4.4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4.4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4.4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4.4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4.4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4.4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4.4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4.4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4.4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4.4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4.4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4.4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4.4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4.4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4.4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4.4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4.4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4.4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4.4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4.4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4.4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4.4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4.4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4.4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4.4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4.4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4.4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4.4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4.4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4.4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4.4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4.4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4.4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4.4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4.4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4.4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4.4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4.4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4.4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4.4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4.4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4.4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4.4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4.4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4.4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4.4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4.4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4.4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4.4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4.4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4.4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4.4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4.4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4.4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4.4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4.4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4.4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4.4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4.4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4.4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4.4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4.4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4.4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4.4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4.4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4.4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4.4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4.4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4.4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4.4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4.4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4.4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4.4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4.4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4.4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4.4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4.4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4.4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4.4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4.4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4.4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4.4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4.4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4.4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4.4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4.4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4.4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4.4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4.4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4.4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4.4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4.4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4.4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4.4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4.4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4.4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4.4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4.4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4.4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4.4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4.4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4.4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4.4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4.4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4.4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4.4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4.4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4.4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4.4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4.4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4.4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4.4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4.4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4.4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4.4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4.4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4.4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4.4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4.4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4.4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4.4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4.4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4.4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4.4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4.4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4.4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4.4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4.4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4.4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4.4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4.4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4.4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4.4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4.4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4.4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4.4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4.4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4.4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4.4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4.4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4.4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4.4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4.4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4.4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4.4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4.4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4.4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4.4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4.4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4.4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4.4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4.4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4.4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4.4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4.4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4.4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4.4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4.4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4.4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4.4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4.4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4.4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4.4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4.4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4.4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4.4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4.4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4.4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4.4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4.4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4.4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4.4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4.4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4.4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4.4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4.4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4.4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4.4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4.4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4.4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4.4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4.4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4.4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4.4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4.4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4.4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4.4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4.4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4.4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4.4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4.4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4.4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4.4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4.4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4.4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4.4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4.4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4.4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4.4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4.4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4.4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4.4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4.4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4.4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4.4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4.4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4.4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4.4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4.4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4.4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4.4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4.4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4.4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4.4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4.4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4.4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4.4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4.4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4.4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4.4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4.4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4.4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4.4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4.4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4.4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4.4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4.4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4.4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4.4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4.4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4.4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4.4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4.4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4.4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4.4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4.4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4.4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4.4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4.4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4.4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4.4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4.4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4.4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4.4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4.4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4.4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4.4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4.4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4.4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4.4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4.4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4.4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4.4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4.4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4.4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4.4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4.4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4.4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4.4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4.4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4.4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4.4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4.4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4.4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4.4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4.4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4.4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4.4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4.4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4.4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4.4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4.4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4.4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4.4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4.4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4.4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4.4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4.4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4.4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4.4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4.4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4.4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4.4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4.4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4.4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4.4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4.4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4.4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4.4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4.4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4.4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4.4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4.4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4.4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4.4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4.4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4.4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4.4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4.4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4.4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4.4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4.4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4.4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4.4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4.4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4.4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4.4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4.4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4.4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4.4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4.4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4.4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4.4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4.4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4.4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4.4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4.4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4.4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4.4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4.4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4.4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4.4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4.4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4.4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4.4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4.4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4.4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4.4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4.4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4.4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4.4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4.4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4.4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4.4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4.4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4.4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4.4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4.4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4.4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4.4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4.4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4.4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4.4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4.4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4.4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4.4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4.4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4.4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4.4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4.4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4.4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4.4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4.4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4.4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4.4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4.4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4.4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 ht="14.45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 ht="14.45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 ht="14.45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workbookViewId="0">
      <selection activeCell="O1" sqref="O1"/>
    </sheetView>
  </sheetViews>
  <sheetFormatPr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90" t="s">
        <v>109</v>
      </c>
      <c r="C2" s="991"/>
      <c r="D2" s="991"/>
      <c r="E2" s="991"/>
      <c r="F2" s="992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85" t="s">
        <v>110</v>
      </c>
      <c r="C4" s="986"/>
      <c r="D4" s="986"/>
      <c r="E4" s="986"/>
      <c r="F4" s="987"/>
      <c r="G4" s="159"/>
      <c r="K4" s="33"/>
    </row>
    <row r="5" spans="1:27" ht="12.75" customHeight="1">
      <c r="A5" s="159"/>
      <c r="B5" s="194" t="s">
        <v>111</v>
      </c>
      <c r="C5" s="194" t="s">
        <v>112</v>
      </c>
      <c r="D5" s="194" t="s">
        <v>113</v>
      </c>
      <c r="E5" s="194" t="s">
        <v>114</v>
      </c>
      <c r="F5" s="194" t="s">
        <v>115</v>
      </c>
      <c r="G5" s="159"/>
      <c r="K5" s="33"/>
    </row>
    <row r="6" spans="1:27" ht="12.75" customHeight="1">
      <c r="A6" s="159"/>
      <c r="B6" s="194" t="s">
        <v>116</v>
      </c>
      <c r="C6" s="194">
        <v>1</v>
      </c>
      <c r="D6" s="553">
        <f>770000*InfoInicial!B31</f>
        <v>111650000</v>
      </c>
      <c r="E6" s="553">
        <f>D6*C6</f>
        <v>111650000</v>
      </c>
      <c r="F6" s="286" t="s">
        <v>117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73" t="s">
        <v>118</v>
      </c>
      <c r="C9" s="988"/>
      <c r="D9" s="988"/>
      <c r="E9" s="988"/>
      <c r="F9" s="989"/>
      <c r="G9" t="s">
        <v>119</v>
      </c>
    </row>
    <row r="10" spans="1:27" ht="12.75" customHeight="1">
      <c r="B10" s="319" t="s">
        <v>120</v>
      </c>
      <c r="C10" s="319" t="s">
        <v>112</v>
      </c>
      <c r="D10" s="319" t="s">
        <v>121</v>
      </c>
      <c r="E10" s="319" t="s">
        <v>122</v>
      </c>
      <c r="F10" s="319" t="s">
        <v>123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7" t="s">
        <v>124</v>
      </c>
      <c r="C11" s="288">
        <v>6</v>
      </c>
      <c r="D11" s="289">
        <f>21999</f>
        <v>21999</v>
      </c>
      <c r="E11" s="289">
        <f>C11*D11</f>
        <v>131994</v>
      </c>
      <c r="F11" s="566" t="s">
        <v>125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7" t="s">
        <v>126</v>
      </c>
      <c r="C12" s="288">
        <v>9</v>
      </c>
      <c r="D12" s="289">
        <f>31000</f>
        <v>31000</v>
      </c>
      <c r="E12" s="289">
        <f t="shared" ref="E12:E32" si="0">C12*D12</f>
        <v>279000</v>
      </c>
      <c r="F12" s="286" t="s">
        <v>127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7" t="s">
        <v>128</v>
      </c>
      <c r="C13" s="288">
        <v>4</v>
      </c>
      <c r="D13" s="289">
        <f>148999</f>
        <v>148999</v>
      </c>
      <c r="E13" s="289">
        <f t="shared" si="0"/>
        <v>595996</v>
      </c>
      <c r="F13" s="290" t="s">
        <v>129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7" t="s">
        <v>130</v>
      </c>
      <c r="C14" s="288">
        <v>9</v>
      </c>
      <c r="D14" s="289">
        <v>179999</v>
      </c>
      <c r="E14" s="289">
        <f t="shared" si="0"/>
        <v>1619991</v>
      </c>
      <c r="F14" s="286" t="s">
        <v>131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7" t="s">
        <v>132</v>
      </c>
      <c r="C15" s="288">
        <v>11</v>
      </c>
      <c r="D15" s="289">
        <f>101290</f>
        <v>101290</v>
      </c>
      <c r="E15" s="289">
        <f t="shared" si="0"/>
        <v>1114190</v>
      </c>
      <c r="F15" s="566" t="s">
        <v>133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7" t="s">
        <v>134</v>
      </c>
      <c r="C16" s="288">
        <v>3</v>
      </c>
      <c r="D16" s="289">
        <v>35800</v>
      </c>
      <c r="E16" s="289">
        <f t="shared" si="0"/>
        <v>107400</v>
      </c>
      <c r="F16" s="290" t="s">
        <v>135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7" t="s">
        <v>136</v>
      </c>
      <c r="C17" s="288">
        <v>8</v>
      </c>
      <c r="D17" s="289">
        <v>49000</v>
      </c>
      <c r="E17" s="289">
        <f t="shared" si="0"/>
        <v>392000</v>
      </c>
      <c r="F17" s="290" t="s">
        <v>137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7" t="s">
        <v>138</v>
      </c>
      <c r="C18" s="288">
        <v>1</v>
      </c>
      <c r="D18" s="289">
        <v>24499</v>
      </c>
      <c r="E18" s="289">
        <f t="shared" si="0"/>
        <v>24499</v>
      </c>
      <c r="F18" s="290" t="s">
        <v>139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7" t="s">
        <v>140</v>
      </c>
      <c r="C19" s="288">
        <v>6</v>
      </c>
      <c r="D19" s="289">
        <v>4577</v>
      </c>
      <c r="E19" s="289">
        <f t="shared" si="0"/>
        <v>27462</v>
      </c>
      <c r="F19" s="290" t="s">
        <v>141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7" t="s">
        <v>142</v>
      </c>
      <c r="C20" s="288">
        <v>1</v>
      </c>
      <c r="D20" s="289">
        <v>27999</v>
      </c>
      <c r="E20" s="289">
        <f t="shared" si="0"/>
        <v>27999</v>
      </c>
      <c r="F20" s="290" t="s">
        <v>143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1" t="s">
        <v>144</v>
      </c>
      <c r="C21" s="288">
        <v>1</v>
      </c>
      <c r="D21" s="289">
        <v>44099</v>
      </c>
      <c r="E21" s="289">
        <f t="shared" si="0"/>
        <v>44099</v>
      </c>
      <c r="F21" s="290" t="s">
        <v>145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7" t="s">
        <v>146</v>
      </c>
      <c r="C22" s="288">
        <v>1</v>
      </c>
      <c r="D22" s="289">
        <v>6419</v>
      </c>
      <c r="E22" s="289">
        <f t="shared" si="0"/>
        <v>6419</v>
      </c>
      <c r="F22" s="290" t="s">
        <v>147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7" t="s">
        <v>148</v>
      </c>
      <c r="C23" s="288">
        <v>1</v>
      </c>
      <c r="D23" s="289">
        <v>30299</v>
      </c>
      <c r="E23" s="289">
        <f t="shared" si="0"/>
        <v>30299</v>
      </c>
      <c r="F23" s="290" t="s">
        <v>149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7" t="s">
        <v>150</v>
      </c>
      <c r="C24" s="288">
        <v>1</v>
      </c>
      <c r="D24" s="289">
        <f>39999</f>
        <v>39999</v>
      </c>
      <c r="E24" s="289">
        <f t="shared" si="0"/>
        <v>39999</v>
      </c>
      <c r="F24" s="290" t="s">
        <v>151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7" t="s">
        <v>152</v>
      </c>
      <c r="C25" s="288">
        <v>1</v>
      </c>
      <c r="D25" s="289">
        <v>52799</v>
      </c>
      <c r="E25" s="289">
        <f t="shared" si="0"/>
        <v>52799</v>
      </c>
      <c r="F25" s="290" t="s">
        <v>153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7" t="s">
        <v>154</v>
      </c>
      <c r="C26" s="288">
        <v>1</v>
      </c>
      <c r="D26" s="289">
        <v>2757</v>
      </c>
      <c r="E26" s="289">
        <f t="shared" si="0"/>
        <v>2757</v>
      </c>
      <c r="F26" s="290" t="s">
        <v>155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7" t="s">
        <v>156</v>
      </c>
      <c r="C27" s="288">
        <v>1</v>
      </c>
      <c r="D27" s="289">
        <v>128752</v>
      </c>
      <c r="E27" s="289">
        <f t="shared" si="0"/>
        <v>128752</v>
      </c>
      <c r="F27" s="286" t="s">
        <v>157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7" t="s">
        <v>158</v>
      </c>
      <c r="C28" s="288">
        <v>11</v>
      </c>
      <c r="D28" s="289">
        <f>122484</f>
        <v>122484</v>
      </c>
      <c r="E28" s="289">
        <f t="shared" si="0"/>
        <v>1347324</v>
      </c>
      <c r="F28" s="286" t="s">
        <v>159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7" t="s">
        <v>160</v>
      </c>
      <c r="C29" s="288">
        <v>4</v>
      </c>
      <c r="D29" s="289">
        <f>3800</f>
        <v>3800</v>
      </c>
      <c r="E29" s="289">
        <f t="shared" si="0"/>
        <v>15200</v>
      </c>
      <c r="F29" s="290" t="s">
        <v>161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7" t="s">
        <v>162</v>
      </c>
      <c r="C30" s="288">
        <v>1</v>
      </c>
      <c r="D30" s="289">
        <f>18100</f>
        <v>18100</v>
      </c>
      <c r="E30" s="289">
        <f t="shared" si="0"/>
        <v>18100</v>
      </c>
      <c r="F30" s="290" t="s">
        <v>163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7" t="s">
        <v>164</v>
      </c>
      <c r="C31" s="288">
        <v>4</v>
      </c>
      <c r="D31" s="289">
        <f>17900</f>
        <v>17900</v>
      </c>
      <c r="E31" s="289">
        <f t="shared" si="0"/>
        <v>71600</v>
      </c>
      <c r="F31" s="290" t="s">
        <v>165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69" t="s">
        <v>166</v>
      </c>
      <c r="C32" s="292">
        <v>10</v>
      </c>
      <c r="D32" s="293">
        <f>1615</f>
        <v>1615</v>
      </c>
      <c r="E32" s="293">
        <f t="shared" si="0"/>
        <v>16150</v>
      </c>
      <c r="F32" s="570" t="s">
        <v>167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67" t="s">
        <v>168</v>
      </c>
      <c r="C33" s="568">
        <v>2</v>
      </c>
      <c r="D33" s="289">
        <v>59900</v>
      </c>
      <c r="E33" s="289">
        <f>C33*D33</f>
        <v>119800</v>
      </c>
      <c r="F33" s="294" t="s">
        <v>169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67" t="s">
        <v>170</v>
      </c>
      <c r="C34" s="568">
        <v>1</v>
      </c>
      <c r="D34" s="289">
        <v>137000</v>
      </c>
      <c r="E34" s="289">
        <f>D34*C34</f>
        <v>137000</v>
      </c>
      <c r="F34" s="576" t="s">
        <v>171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67" t="s">
        <v>172</v>
      </c>
      <c r="C35" s="568">
        <v>3</v>
      </c>
      <c r="D35" s="289">
        <v>62000</v>
      </c>
      <c r="E35" s="289">
        <f>D35*C35</f>
        <v>186000</v>
      </c>
      <c r="F35" s="576" t="s">
        <v>173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67" t="s">
        <v>174</v>
      </c>
      <c r="C36" s="568">
        <v>3</v>
      </c>
      <c r="D36" s="289">
        <v>45000</v>
      </c>
      <c r="E36" s="289">
        <f>D36*C36</f>
        <v>135000</v>
      </c>
      <c r="F36" s="576" t="s">
        <v>175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1" t="s">
        <v>176</v>
      </c>
      <c r="C37" s="572">
        <f>SUM(C11:C33)</f>
        <v>97</v>
      </c>
      <c r="D37" s="573">
        <f>SUM(D11:D33)</f>
        <v>1154085</v>
      </c>
      <c r="E37" s="574">
        <f>SUM(E11:E36)</f>
        <v>6671829</v>
      </c>
      <c r="F37" s="575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0" t="s">
        <v>177</v>
      </c>
      <c r="C40" s="321" t="s">
        <v>112</v>
      </c>
      <c r="D40" s="322" t="s">
        <v>113</v>
      </c>
      <c r="E40" s="321" t="s">
        <v>114</v>
      </c>
      <c r="F40" s="322" t="s">
        <v>115</v>
      </c>
    </row>
    <row r="41" spans="1:27" ht="12.75" customHeight="1">
      <c r="B41" s="295" t="s">
        <v>178</v>
      </c>
      <c r="C41" s="288">
        <f>6</f>
        <v>6</v>
      </c>
      <c r="D41" s="296">
        <f>5500*InfoInicial!B31</f>
        <v>797500</v>
      </c>
      <c r="E41" s="297">
        <f>C41*D41+(0.05*D41*C41)</f>
        <v>5024250</v>
      </c>
      <c r="F41" s="298" t="s">
        <v>179</v>
      </c>
      <c r="G41" t="s">
        <v>180</v>
      </c>
    </row>
    <row r="42" spans="1:27" ht="12.75" customHeight="1">
      <c r="B42" s="295" t="s">
        <v>181</v>
      </c>
      <c r="C42" s="288">
        <f>21</f>
        <v>21</v>
      </c>
      <c r="D42" s="296">
        <f>45*InfoInicial!B31</f>
        <v>6525</v>
      </c>
      <c r="E42" s="297">
        <f>C42*D42</f>
        <v>137025</v>
      </c>
      <c r="F42" s="299" t="s">
        <v>179</v>
      </c>
    </row>
    <row r="43" spans="1:27" ht="12.75" customHeight="1">
      <c r="B43" s="295" t="s">
        <v>182</v>
      </c>
      <c r="C43" s="288">
        <f>3</f>
        <v>3</v>
      </c>
      <c r="D43" s="296">
        <f>6200*InfoInicial!B31</f>
        <v>899000</v>
      </c>
      <c r="E43" s="297">
        <f>C43*D43+(0.05*D43*C43)</f>
        <v>2831850</v>
      </c>
      <c r="F43" s="299" t="s">
        <v>179</v>
      </c>
      <c r="G43" t="s">
        <v>180</v>
      </c>
    </row>
    <row r="44" spans="1:27" ht="12.75" customHeight="1">
      <c r="B44" s="295" t="s">
        <v>183</v>
      </c>
      <c r="C44" s="288">
        <f>6</f>
        <v>6</v>
      </c>
      <c r="D44" s="296">
        <f>6000*InfoInicial!B31</f>
        <v>870000</v>
      </c>
      <c r="E44" s="297">
        <f t="shared" ref="E44" si="1">C44*D44+(0.05*D44*C44)</f>
        <v>5481000</v>
      </c>
      <c r="F44" s="299" t="s">
        <v>179</v>
      </c>
      <c r="G44" t="s">
        <v>180</v>
      </c>
    </row>
    <row r="45" spans="1:27" ht="12.75" customHeight="1">
      <c r="B45" s="295" t="s">
        <v>184</v>
      </c>
      <c r="C45" s="288">
        <f>4</f>
        <v>4</v>
      </c>
      <c r="D45" s="296">
        <f>4780*InfoInicial!B31</f>
        <v>693100</v>
      </c>
      <c r="E45" s="297">
        <f>C45*D45+(0.05*D45*C45)</f>
        <v>2911020</v>
      </c>
      <c r="F45" s="299" t="s">
        <v>179</v>
      </c>
      <c r="G45" t="s">
        <v>180</v>
      </c>
    </row>
    <row r="46" spans="1:27" ht="12.75" customHeight="1">
      <c r="A46" s="159"/>
      <c r="B46" s="300" t="s">
        <v>176</v>
      </c>
      <c r="C46" s="300">
        <f>SUM(C41:C45)</f>
        <v>40</v>
      </c>
      <c r="D46" s="301">
        <f>SUM(D41:D45)</f>
        <v>3266125</v>
      </c>
      <c r="E46" s="302">
        <f>SUM(E41:E45)</f>
        <v>16385145</v>
      </c>
      <c r="F46" s="180"/>
    </row>
    <row r="47" spans="1:27" ht="12.75" customHeight="1">
      <c r="A47" s="159"/>
      <c r="B47" s="203"/>
      <c r="C47" s="203"/>
      <c r="D47" s="204"/>
      <c r="E47" s="204"/>
      <c r="F47" s="205"/>
      <c r="G47" s="206"/>
    </row>
    <row r="48" spans="1:27" ht="12.75" customHeight="1">
      <c r="A48" s="159"/>
      <c r="B48" s="323" t="s">
        <v>185</v>
      </c>
      <c r="C48" s="321" t="s">
        <v>112</v>
      </c>
      <c r="D48" s="322" t="s">
        <v>113</v>
      </c>
      <c r="E48" s="321" t="s">
        <v>114</v>
      </c>
      <c r="F48" s="322" t="s">
        <v>115</v>
      </c>
      <c r="G48" s="206"/>
    </row>
    <row r="49" spans="1:7" ht="12.75" customHeight="1">
      <c r="A49" s="159"/>
      <c r="B49" s="303" t="s">
        <v>186</v>
      </c>
      <c r="C49" s="304">
        <v>1</v>
      </c>
      <c r="D49" s="305">
        <f>17000*1.21*InfoInicial!B31</f>
        <v>2982650</v>
      </c>
      <c r="E49" s="306">
        <f>D49*C49+0.05*(C49*D49)</f>
        <v>3131782.5</v>
      </c>
      <c r="F49" s="299" t="s">
        <v>179</v>
      </c>
      <c r="G49" s="229" t="s">
        <v>180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93" t="s">
        <v>187</v>
      </c>
      <c r="C51" s="994"/>
      <c r="D51" s="994"/>
      <c r="E51" s="994"/>
      <c r="F51" s="995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73" t="s">
        <v>188</v>
      </c>
      <c r="C53" s="988"/>
      <c r="D53" s="988"/>
      <c r="E53" s="988"/>
      <c r="F53" s="989"/>
      <c r="G53" s="159"/>
    </row>
    <row r="54" spans="1:7" ht="12.75" customHeight="1">
      <c r="B54" s="159"/>
      <c r="C54" s="192"/>
      <c r="D54" s="324" t="s">
        <v>189</v>
      </c>
      <c r="E54" s="325" t="s">
        <v>123</v>
      </c>
      <c r="F54" s="159"/>
    </row>
    <row r="55" spans="1:7" ht="12.75" customHeight="1">
      <c r="C55" s="307" t="s">
        <v>188</v>
      </c>
      <c r="D55" s="308">
        <v>44640</v>
      </c>
      <c r="E55" s="309" t="s">
        <v>190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73" t="s">
        <v>191</v>
      </c>
      <c r="C57" s="988"/>
      <c r="D57" s="988"/>
      <c r="E57" s="988"/>
      <c r="F57" s="989"/>
      <c r="G57" s="159"/>
    </row>
    <row r="58" spans="1:7" ht="13.15">
      <c r="B58" s="324" t="s">
        <v>192</v>
      </c>
      <c r="C58" s="324" t="s">
        <v>193</v>
      </c>
      <c r="D58" s="326" t="s">
        <v>189</v>
      </c>
      <c r="E58" s="326" t="s">
        <v>123</v>
      </c>
      <c r="F58" s="159"/>
    </row>
    <row r="59" spans="1:7" ht="12.75" customHeight="1">
      <c r="B59" s="310">
        <v>1865</v>
      </c>
      <c r="C59" s="310">
        <v>200</v>
      </c>
      <c r="D59" s="310">
        <f>B59*C59</f>
        <v>373000</v>
      </c>
      <c r="E59" s="311" t="s">
        <v>194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73" t="s">
        <v>195</v>
      </c>
      <c r="C62" s="988"/>
      <c r="D62" s="988"/>
      <c r="E62" s="988"/>
      <c r="F62" s="989"/>
      <c r="G62" s="159"/>
    </row>
    <row r="63" spans="1:7" ht="12.75" customHeight="1">
      <c r="B63" s="319" t="s">
        <v>196</v>
      </c>
      <c r="C63" s="319" t="s">
        <v>112</v>
      </c>
      <c r="D63" s="319" t="s">
        <v>113</v>
      </c>
      <c r="E63" s="319" t="s">
        <v>123</v>
      </c>
      <c r="F63" s="159"/>
    </row>
    <row r="64" spans="1:7" ht="12.75" customHeight="1">
      <c r="B64" s="312" t="s">
        <v>197</v>
      </c>
      <c r="C64" s="287">
        <v>1</v>
      </c>
      <c r="D64" s="313">
        <f>2210+1020000</f>
        <v>1022210</v>
      </c>
      <c r="E64" s="314" t="s">
        <v>198</v>
      </c>
      <c r="F64" t="s">
        <v>199</v>
      </c>
    </row>
    <row r="65" spans="1:7" ht="12.75" customHeight="1">
      <c r="B65" s="312" t="s">
        <v>200</v>
      </c>
      <c r="C65" s="287">
        <v>1</v>
      </c>
      <c r="D65" s="313">
        <v>9750</v>
      </c>
      <c r="E65" s="315" t="s">
        <v>201</v>
      </c>
      <c r="F65" t="s">
        <v>202</v>
      </c>
    </row>
    <row r="66" spans="1:7" ht="12.75" customHeight="1">
      <c r="B66" s="312" t="s">
        <v>203</v>
      </c>
      <c r="C66" s="287">
        <v>1</v>
      </c>
      <c r="D66" s="313">
        <f>54700</f>
        <v>54700</v>
      </c>
      <c r="E66" s="316" t="s">
        <v>201</v>
      </c>
      <c r="F66" t="s">
        <v>204</v>
      </c>
    </row>
    <row r="67" spans="1:7" ht="12.75" customHeight="1">
      <c r="B67" s="312" t="s">
        <v>205</v>
      </c>
      <c r="C67" s="287">
        <v>1</v>
      </c>
      <c r="D67" s="313">
        <v>1563</v>
      </c>
      <c r="E67" s="315" t="s">
        <v>201</v>
      </c>
      <c r="F67" t="s">
        <v>204</v>
      </c>
    </row>
    <row r="68" spans="1:7" ht="12.75" customHeight="1">
      <c r="B68" s="312" t="s">
        <v>206</v>
      </c>
      <c r="C68" s="287">
        <v>1</v>
      </c>
      <c r="D68" s="313">
        <f>SUM(D66:D67)</f>
        <v>56263</v>
      </c>
      <c r="E68" s="314" t="s">
        <v>207</v>
      </c>
      <c r="F68" t="s">
        <v>208</v>
      </c>
    </row>
    <row r="69" spans="1:7" ht="12.75" customHeight="1">
      <c r="B69" s="312" t="s">
        <v>189</v>
      </c>
      <c r="C69" s="312" t="s">
        <v>201</v>
      </c>
      <c r="D69" s="317">
        <v>59900</v>
      </c>
      <c r="E69" s="318"/>
    </row>
    <row r="70" spans="1:7" ht="12.75" customHeight="1"/>
    <row r="71" spans="1:7" ht="12.75" customHeight="1">
      <c r="B71" s="985" t="s">
        <v>209</v>
      </c>
      <c r="C71" s="986"/>
      <c r="D71" s="986"/>
      <c r="E71" s="986"/>
      <c r="F71" s="987"/>
    </row>
    <row r="72" spans="1:7" ht="12.75" customHeight="1">
      <c r="A72" s="159"/>
      <c r="B72" s="194" t="s">
        <v>210</v>
      </c>
      <c r="C72" s="194" t="s">
        <v>113</v>
      </c>
      <c r="D72" s="194" t="s">
        <v>211</v>
      </c>
      <c r="E72" s="194" t="s">
        <v>114</v>
      </c>
      <c r="F72" s="554" t="s">
        <v>114</v>
      </c>
      <c r="G72" s="554"/>
    </row>
    <row r="73" spans="1:7" ht="12.75" customHeight="1">
      <c r="A73" s="159"/>
      <c r="B73" s="194" t="s">
        <v>212</v>
      </c>
      <c r="C73" s="555">
        <v>110000</v>
      </c>
      <c r="D73" s="194" t="s">
        <v>213</v>
      </c>
      <c r="E73" s="555">
        <f>C73*'InfoInicial-CálcAux'!C27</f>
        <v>18394200</v>
      </c>
      <c r="F73" s="556" t="s">
        <v>214</v>
      </c>
    </row>
    <row r="74" spans="1:7" ht="12.75" customHeight="1">
      <c r="A74" s="159"/>
      <c r="B74" s="194" t="s">
        <v>215</v>
      </c>
      <c r="C74" s="194"/>
      <c r="D74" s="194"/>
      <c r="E74" s="555">
        <v>1700000</v>
      </c>
      <c r="F74" s="556" t="s">
        <v>216</v>
      </c>
    </row>
    <row r="75" spans="1:7" ht="12.75" customHeight="1">
      <c r="A75" s="159"/>
      <c r="B75" s="194" t="s">
        <v>217</v>
      </c>
      <c r="C75" s="194">
        <v>7323</v>
      </c>
      <c r="D75" s="194" t="s">
        <v>218</v>
      </c>
      <c r="E75" s="555">
        <f>C75*'InfoInicial-CálcAux'!G31</f>
        <v>3515040</v>
      </c>
      <c r="F75" s="556" t="s">
        <v>219</v>
      </c>
    </row>
    <row r="76" spans="1:7" ht="12.75" customHeight="1">
      <c r="A76" s="159"/>
      <c r="B76" s="194" t="s">
        <v>220</v>
      </c>
      <c r="C76" s="194"/>
      <c r="D76" s="194"/>
      <c r="E76" s="555">
        <v>140600</v>
      </c>
      <c r="F76" s="556" t="s">
        <v>221</v>
      </c>
    </row>
    <row r="77" spans="1:7" ht="12.75" customHeight="1">
      <c r="A77" s="159"/>
      <c r="B77" s="194" t="s">
        <v>222</v>
      </c>
      <c r="C77" s="194"/>
      <c r="D77" s="194"/>
      <c r="E77" s="555">
        <v>1800000</v>
      </c>
      <c r="F77" s="556" t="s">
        <v>221</v>
      </c>
    </row>
    <row r="78" spans="1:7" ht="12.75" customHeight="1">
      <c r="A78" s="159"/>
      <c r="B78" s="194" t="s">
        <v>223</v>
      </c>
      <c r="C78" s="194" t="s">
        <v>224</v>
      </c>
      <c r="D78" s="194" t="s">
        <v>224</v>
      </c>
      <c r="E78" s="555">
        <f>E87</f>
        <v>808420</v>
      </c>
      <c r="F78" s="556"/>
    </row>
    <row r="79" spans="1:7" ht="12.75" customHeight="1">
      <c r="B79" s="559" t="s">
        <v>225</v>
      </c>
      <c r="C79" s="159"/>
      <c r="D79" s="159"/>
      <c r="E79" s="560">
        <f>SUM(E73:E78)</f>
        <v>26358260</v>
      </c>
    </row>
    <row r="80" spans="1:7" ht="12.75" customHeight="1"/>
    <row r="81" spans="2:6" ht="12.75" customHeight="1"/>
    <row r="82" spans="2:6" ht="12.75" customHeight="1">
      <c r="B82" s="985" t="s">
        <v>223</v>
      </c>
      <c r="C82" s="986"/>
      <c r="D82" s="986"/>
      <c r="E82" s="986"/>
      <c r="F82" s="987"/>
    </row>
    <row r="83" spans="2:6" ht="12.75" customHeight="1">
      <c r="B83" s="194" t="s">
        <v>210</v>
      </c>
      <c r="C83" s="194" t="s">
        <v>113</v>
      </c>
      <c r="D83" s="194" t="s">
        <v>112</v>
      </c>
      <c r="E83" s="194" t="s">
        <v>114</v>
      </c>
      <c r="F83" s="208" t="s">
        <v>114</v>
      </c>
    </row>
    <row r="84" spans="2:6" ht="12.75" customHeight="1">
      <c r="B84" s="194" t="s">
        <v>226</v>
      </c>
      <c r="C84" s="555">
        <f>12138</f>
        <v>12138</v>
      </c>
      <c r="D84" s="194">
        <f>20</f>
        <v>20</v>
      </c>
      <c r="E84" s="555">
        <f>C84*D84</f>
        <v>242760</v>
      </c>
      <c r="F84" s="558" t="s">
        <v>227</v>
      </c>
    </row>
    <row r="85" spans="2:6" ht="12.75" customHeight="1">
      <c r="B85" s="194" t="s">
        <v>228</v>
      </c>
      <c r="C85" s="555">
        <f>275000</f>
        <v>275000</v>
      </c>
      <c r="D85" s="194">
        <f>2</f>
        <v>2</v>
      </c>
      <c r="E85" s="555">
        <f>C85*D85</f>
        <v>550000</v>
      </c>
      <c r="F85" s="558" t="s">
        <v>229</v>
      </c>
    </row>
    <row r="86" spans="2:6" ht="12.75" customHeight="1">
      <c r="B86" s="194" t="s">
        <v>230</v>
      </c>
      <c r="C86" s="555">
        <f>522</f>
        <v>522</v>
      </c>
      <c r="D86" s="194">
        <f>30</f>
        <v>30</v>
      </c>
      <c r="E86" s="555">
        <f>C86*D86</f>
        <v>15660</v>
      </c>
      <c r="F86" s="558" t="s">
        <v>231</v>
      </c>
    </row>
    <row r="87" spans="2:6" ht="12.75" customHeight="1">
      <c r="B87" s="561" t="s">
        <v>225</v>
      </c>
      <c r="E87" s="562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F17" sqref="F17"/>
    </sheetView>
  </sheetViews>
  <sheetFormatPr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232</v>
      </c>
      <c r="E1" s="16" t="s">
        <v>233</v>
      </c>
    </row>
    <row r="2" spans="1:7" ht="12.75" customHeight="1">
      <c r="A2" s="4" t="s">
        <v>234</v>
      </c>
      <c r="B2" s="4">
        <f>234</f>
        <v>234</v>
      </c>
      <c r="C2" s="4" t="s">
        <v>235</v>
      </c>
    </row>
    <row r="3" spans="1:7" ht="12.75" customHeight="1">
      <c r="A3" s="37" t="s">
        <v>236</v>
      </c>
      <c r="D3" s="38"/>
    </row>
    <row r="4" spans="1:7" ht="12.75" customHeight="1">
      <c r="A4" s="16" t="s">
        <v>237</v>
      </c>
      <c r="D4" s="239">
        <f>(209.1*1000)/2.5</f>
        <v>83640</v>
      </c>
      <c r="E4" s="171" t="s">
        <v>21</v>
      </c>
      <c r="F4" s="182">
        <f>B2*D4</f>
        <v>19571760</v>
      </c>
    </row>
    <row r="5" spans="1:7" ht="12.75" customHeight="1">
      <c r="A5" s="16" t="s">
        <v>238</v>
      </c>
      <c r="D5" s="239">
        <f>(1407.45*1000)/2.5</f>
        <v>562980</v>
      </c>
      <c r="E5" s="171" t="s">
        <v>239</v>
      </c>
      <c r="F5" s="182">
        <f>D5*B2</f>
        <v>131737320</v>
      </c>
    </row>
    <row r="6" spans="1:7" ht="12.75" customHeight="1">
      <c r="D6" s="199"/>
      <c r="E6" s="199"/>
      <c r="F6" s="182"/>
    </row>
    <row r="7" spans="1:7" ht="12.75" customHeight="1">
      <c r="A7" s="16" t="s">
        <v>240</v>
      </c>
      <c r="D7" s="239">
        <f>SUM(D4:D5)</f>
        <v>646620</v>
      </c>
      <c r="E7" s="171" t="s">
        <v>21</v>
      </c>
      <c r="F7" s="182">
        <f>SUM(F4:F5)</f>
        <v>151309080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241</v>
      </c>
      <c r="B10" s="4"/>
      <c r="C10" s="4">
        <f>'InfoInicial-CálcAux'!K19*'CA Inv AT'!B2</f>
        <v>378273.44646000001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A70" zoomScale="70" zoomScaleNormal="70" workbookViewId="0">
      <selection activeCell="C84" sqref="C84"/>
    </sheetView>
  </sheetViews>
  <sheetFormatPr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26.8554687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6" width="22.85546875" customWidth="1"/>
    <col min="17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2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24" ht="12.75" customHeight="1" thickBot="1">
      <c r="B2" s="997" t="s">
        <v>242</v>
      </c>
      <c r="C2" s="998"/>
      <c r="D2" s="998"/>
      <c r="E2" s="998"/>
      <c r="F2" s="998"/>
      <c r="G2" s="998"/>
      <c r="H2" s="998"/>
      <c r="I2" s="998"/>
      <c r="J2" s="998"/>
      <c r="K2" s="999"/>
      <c r="L2" s="159"/>
      <c r="M2" s="159"/>
    </row>
    <row r="3" spans="1:24" ht="17.25" customHeight="1" thickBot="1">
      <c r="B3" s="165" t="s">
        <v>243</v>
      </c>
      <c r="C3" s="167" t="s">
        <v>244</v>
      </c>
      <c r="D3" s="193"/>
      <c r="E3" s="167" t="s">
        <v>112</v>
      </c>
      <c r="F3" s="166" t="s">
        <v>245</v>
      </c>
      <c r="G3" s="168" t="s">
        <v>246</v>
      </c>
      <c r="H3" s="168" t="s">
        <v>247</v>
      </c>
      <c r="I3" s="168" t="s">
        <v>248</v>
      </c>
      <c r="J3" s="169" t="s">
        <v>249</v>
      </c>
      <c r="K3" s="168" t="s">
        <v>123</v>
      </c>
      <c r="L3" s="958" t="s">
        <v>250</v>
      </c>
      <c r="M3" s="159"/>
    </row>
    <row r="4" spans="1:24" ht="13.5" customHeight="1" thickBot="1">
      <c r="B4" s="327" t="s">
        <v>251</v>
      </c>
      <c r="C4" s="328" t="s">
        <v>252</v>
      </c>
      <c r="D4" s="329"/>
      <c r="E4" s="330">
        <v>1</v>
      </c>
      <c r="F4" s="331">
        <v>1</v>
      </c>
      <c r="G4" s="332" t="s">
        <v>239</v>
      </c>
      <c r="H4" s="333">
        <f>18930/50</f>
        <v>378.6</v>
      </c>
      <c r="I4" s="334">
        <f>H4*'InfoInicial-CálcAux'!$C$7</f>
        <v>204444000</v>
      </c>
      <c r="J4" s="335">
        <f>H4*'InfoInicial-CálcAux'!$D$7</f>
        <v>286221600</v>
      </c>
      <c r="K4" s="960" t="s">
        <v>253</v>
      </c>
      <c r="L4" s="959">
        <f>H4*'InfoInicial-CálcAux'!$E$7</f>
        <v>200355120</v>
      </c>
      <c r="M4" s="159"/>
    </row>
    <row r="5" spans="1:24" ht="13.5" customHeight="1" thickBot="1">
      <c r="B5" s="327" t="s">
        <v>254</v>
      </c>
      <c r="C5" s="336" t="s">
        <v>255</v>
      </c>
      <c r="D5" s="337"/>
      <c r="E5" s="330">
        <v>1</v>
      </c>
      <c r="F5" s="331">
        <v>2</v>
      </c>
      <c r="G5" s="338" t="s">
        <v>239</v>
      </c>
      <c r="H5" s="339">
        <f>(3600/6)/100</f>
        <v>6</v>
      </c>
      <c r="I5" s="334">
        <f>H5*'InfoInicial-CálcAux'!$C$7</f>
        <v>3240000</v>
      </c>
      <c r="J5" s="340">
        <f>H5*'InfoInicial-CálcAux'!$D$7</f>
        <v>4536000</v>
      </c>
      <c r="K5" s="961" t="s">
        <v>256</v>
      </c>
      <c r="L5" s="959">
        <f>H5*'InfoInicial-CálcAux'!$E$7</f>
        <v>3175200</v>
      </c>
      <c r="M5" s="159"/>
    </row>
    <row r="6" spans="1:24" ht="12.75" customHeight="1" thickBot="1">
      <c r="B6" s="327" t="s">
        <v>257</v>
      </c>
      <c r="C6" s="328" t="s">
        <v>258</v>
      </c>
      <c r="D6" s="329"/>
      <c r="E6" s="330">
        <v>4</v>
      </c>
      <c r="F6" s="331">
        <v>2.5</v>
      </c>
      <c r="G6" s="338" t="s">
        <v>259</v>
      </c>
      <c r="H6" s="341">
        <v>500</v>
      </c>
      <c r="I6" s="334">
        <f>H6*'InfoInicial-CálcAux'!$C$7+('InfoInicial-CálcAux'!$L$17/2.5)*H6</f>
        <v>601800000</v>
      </c>
      <c r="J6" s="340">
        <f>H6*'InfoInicial-CálcAux'!$D$7</f>
        <v>378000000</v>
      </c>
      <c r="K6" s="961" t="s">
        <v>260</v>
      </c>
      <c r="L6" s="959">
        <f>H6*'InfoInicial-CálcAux'!$E$7</f>
        <v>264600000</v>
      </c>
      <c r="M6" s="159"/>
    </row>
    <row r="7" spans="1:24" ht="12.75" customHeight="1" thickBot="1">
      <c r="B7" s="343" t="s">
        <v>261</v>
      </c>
      <c r="C7" s="344" t="s">
        <v>262</v>
      </c>
      <c r="D7" s="345"/>
      <c r="E7" s="331">
        <v>4</v>
      </c>
      <c r="F7" s="331">
        <v>4</v>
      </c>
      <c r="G7" s="338" t="s">
        <v>259</v>
      </c>
      <c r="H7" s="339">
        <f>'CA Inv AT'!B2</f>
        <v>234</v>
      </c>
      <c r="I7" s="342">
        <f>H7*'InfoInicial-CálcAux'!L17</f>
        <v>388206000</v>
      </c>
      <c r="J7" s="346">
        <f>H7*'InfoInicial-CálcAux'!D5*1000</f>
        <v>442260000</v>
      </c>
      <c r="K7" s="962" t="s">
        <v>263</v>
      </c>
      <c r="L7" s="959">
        <f>H7*'InfoInicial-CálcAux'!$E$5*1000</f>
        <v>309582000</v>
      </c>
      <c r="M7" s="159"/>
    </row>
    <row r="8" spans="1:24" ht="12.75" customHeight="1" thickBot="1">
      <c r="B8" s="343" t="s">
        <v>264</v>
      </c>
      <c r="C8" s="328" t="s">
        <v>265</v>
      </c>
      <c r="D8" s="347"/>
      <c r="E8" s="348">
        <v>1</v>
      </c>
      <c r="F8" s="348">
        <v>1</v>
      </c>
      <c r="G8" s="349" t="s">
        <v>239</v>
      </c>
      <c r="H8" s="350">
        <v>13.7</v>
      </c>
      <c r="I8" s="351">
        <f>H8*'InfoInicial-CálcAux'!C7</f>
        <v>7398000</v>
      </c>
      <c r="J8" s="352">
        <f>H8*'InfoInicial-CálcAux'!$D$7</f>
        <v>10357200</v>
      </c>
      <c r="K8" s="963" t="s">
        <v>266</v>
      </c>
      <c r="L8" s="959">
        <f>H8*'InfoInicial-CálcAux'!$E$7</f>
        <v>7250040</v>
      </c>
      <c r="M8" s="159"/>
    </row>
    <row r="9" spans="1:24" ht="12.75" customHeight="1" thickBot="1">
      <c r="D9" s="159"/>
      <c r="E9" s="353" t="s">
        <v>267</v>
      </c>
      <c r="F9" s="354"/>
      <c r="G9" s="355" t="s">
        <v>225</v>
      </c>
      <c r="H9" s="565">
        <f>SUM(H4:H8)</f>
        <v>1132.3</v>
      </c>
      <c r="I9" s="356">
        <f>SUM(I4:I8)</f>
        <v>1205088000</v>
      </c>
      <c r="J9" s="357">
        <f>SUM(J4:J8)</f>
        <v>1121374800</v>
      </c>
      <c r="K9" s="159"/>
      <c r="L9" s="357">
        <f>SUM(L4:L8)</f>
        <v>784962360</v>
      </c>
      <c r="M9" s="159"/>
    </row>
    <row r="10" spans="1:24" ht="12.75" customHeight="1">
      <c r="H10" s="159"/>
      <c r="I10" s="159"/>
      <c r="J10" s="159"/>
      <c r="K10" s="159"/>
      <c r="L10" s="159"/>
    </row>
    <row r="11" spans="1:24" ht="12.75" customHeight="1">
      <c r="B11">
        <f>'CA COSTOS'!H5</f>
        <v>6</v>
      </c>
      <c r="E11" s="23"/>
      <c r="I11" s="198"/>
      <c r="O11" s="957" t="s">
        <v>268</v>
      </c>
      <c r="P11" s="957"/>
      <c r="Q11" s="251">
        <f>50%</f>
        <v>0.5</v>
      </c>
    </row>
    <row r="12" spans="1:24" ht="12.75" customHeight="1">
      <c r="B12" s="170" t="s">
        <v>269</v>
      </c>
      <c r="E12" s="23"/>
      <c r="O12" s="170" t="s">
        <v>269</v>
      </c>
      <c r="R12" s="23"/>
    </row>
    <row r="13" spans="1:24" ht="12.75" customHeight="1" thickBot="1">
      <c r="B13" s="159"/>
      <c r="C13" s="159"/>
      <c r="E13" s="23"/>
      <c r="G13" s="159"/>
      <c r="H13" s="159"/>
      <c r="K13" s="159"/>
      <c r="O13" s="159"/>
      <c r="P13" s="159"/>
      <c r="R13" s="23"/>
      <c r="T13" s="159"/>
      <c r="U13" s="159"/>
      <c r="X13" s="159"/>
    </row>
    <row r="14" spans="1:24" ht="14.45" thickBot="1">
      <c r="A14" s="159"/>
      <c r="B14" s="1004" t="s">
        <v>270</v>
      </c>
      <c r="C14" s="1005"/>
      <c r="D14" s="187" t="s">
        <v>271</v>
      </c>
      <c r="E14" s="188" t="s">
        <v>272</v>
      </c>
      <c r="F14" s="189" t="s">
        <v>112</v>
      </c>
      <c r="G14" s="190" t="s">
        <v>273</v>
      </c>
      <c r="H14" s="191"/>
      <c r="I14" s="187" t="s">
        <v>274</v>
      </c>
      <c r="J14" s="189" t="s">
        <v>275</v>
      </c>
      <c r="K14" s="190" t="s">
        <v>123</v>
      </c>
      <c r="L14" s="164"/>
      <c r="M14" s="4"/>
      <c r="N14" s="4"/>
      <c r="O14" s="1004" t="s">
        <v>270</v>
      </c>
      <c r="P14" s="1005"/>
      <c r="Q14" s="187" t="s">
        <v>271</v>
      </c>
      <c r="R14" s="188" t="s">
        <v>272</v>
      </c>
      <c r="S14" s="189" t="s">
        <v>112</v>
      </c>
      <c r="T14" s="190" t="s">
        <v>273</v>
      </c>
      <c r="U14" s="191"/>
      <c r="V14" s="187" t="s">
        <v>274</v>
      </c>
      <c r="W14" s="189" t="s">
        <v>275</v>
      </c>
      <c r="X14" s="190" t="s">
        <v>123</v>
      </c>
    </row>
    <row r="15" spans="1:24" ht="12.75" customHeight="1" thickBot="1">
      <c r="A15" s="159"/>
      <c r="B15" s="1006" t="s">
        <v>276</v>
      </c>
      <c r="C15" s="1007"/>
      <c r="D15" s="358">
        <v>451829</v>
      </c>
      <c r="E15" s="359">
        <f>D15*1.43</f>
        <v>646115.47</v>
      </c>
      <c r="F15" s="360">
        <v>1</v>
      </c>
      <c r="G15" s="361">
        <f>E15*F15</f>
        <v>646115.47</v>
      </c>
      <c r="H15" s="1008" t="s">
        <v>277</v>
      </c>
      <c r="I15" s="1011">
        <f>SUM(G15:G24)</f>
        <v>3277058.07</v>
      </c>
      <c r="J15" s="363">
        <f>D15*0.83</f>
        <v>375018.07</v>
      </c>
      <c r="K15" s="364" t="s">
        <v>278</v>
      </c>
      <c r="L15" s="159"/>
      <c r="N15">
        <f>451829*$Q$11</f>
        <v>225914.5</v>
      </c>
      <c r="O15" s="1006" t="s">
        <v>276</v>
      </c>
      <c r="P15" s="1007"/>
      <c r="Q15" s="358">
        <f>N15</f>
        <v>225914.5</v>
      </c>
      <c r="R15" s="359">
        <f>Q15*1.43</f>
        <v>323057.73499999999</v>
      </c>
      <c r="S15" s="360">
        <v>1</v>
      </c>
      <c r="T15" s="361">
        <f>R15*S15</f>
        <v>323057.73499999999</v>
      </c>
      <c r="U15" s="1008" t="s">
        <v>277</v>
      </c>
      <c r="V15" s="1011">
        <f>SUM(T15:T24)</f>
        <v>1638529.0349999999</v>
      </c>
      <c r="W15" s="363">
        <f>Q15*0.83</f>
        <v>187509.035</v>
      </c>
      <c r="X15" s="364" t="s">
        <v>278</v>
      </c>
    </row>
    <row r="16" spans="1:24" ht="12.75" customHeight="1" thickBot="1">
      <c r="A16" s="159"/>
      <c r="B16" s="1000" t="s">
        <v>279</v>
      </c>
      <c r="C16" s="1001"/>
      <c r="D16" s="367">
        <v>285884</v>
      </c>
      <c r="E16" s="361">
        <f>D16*1.43</f>
        <v>408814.12</v>
      </c>
      <c r="F16" s="368">
        <v>1</v>
      </c>
      <c r="G16" s="361">
        <f t="shared" ref="G16:G28" si="0">E16*F16</f>
        <v>408814.12</v>
      </c>
      <c r="H16" s="1009"/>
      <c r="I16" s="1012"/>
      <c r="J16" s="369">
        <f t="shared" ref="J16:J28" si="1">D16*0.83</f>
        <v>237283.72</v>
      </c>
      <c r="K16" s="364" t="s">
        <v>278</v>
      </c>
      <c r="L16" s="159"/>
      <c r="N16">
        <f>285884*Q11</f>
        <v>142942</v>
      </c>
      <c r="O16" s="1000" t="s">
        <v>279</v>
      </c>
      <c r="P16" s="1001"/>
      <c r="Q16" s="358">
        <f t="shared" ref="Q16:Q28" si="2">N16</f>
        <v>142942</v>
      </c>
      <c r="R16" s="361">
        <f>Q16*1.43</f>
        <v>204407.06</v>
      </c>
      <c r="S16" s="368">
        <v>1</v>
      </c>
      <c r="T16" s="361">
        <f t="shared" ref="T16:T28" si="3">R16*S16</f>
        <v>204407.06</v>
      </c>
      <c r="U16" s="1009"/>
      <c r="V16" s="1012"/>
      <c r="W16" s="369">
        <f t="shared" ref="W16:W28" si="4">Q16*0.83</f>
        <v>118641.86</v>
      </c>
      <c r="X16" s="364" t="s">
        <v>278</v>
      </c>
    </row>
    <row r="17" spans="1:24" ht="12.75" customHeight="1" thickBot="1">
      <c r="A17" s="159"/>
      <c r="B17" s="1000" t="s">
        <v>280</v>
      </c>
      <c r="C17" s="1001"/>
      <c r="D17" s="367">
        <v>137602</v>
      </c>
      <c r="E17" s="361">
        <f t="shared" ref="E17:E28" si="5">D17*1.43</f>
        <v>196770.86</v>
      </c>
      <c r="F17" s="368">
        <v>1</v>
      </c>
      <c r="G17" s="361">
        <f t="shared" si="0"/>
        <v>196770.86</v>
      </c>
      <c r="H17" s="1009"/>
      <c r="I17" s="1012"/>
      <c r="J17" s="369">
        <f t="shared" si="1"/>
        <v>114209.65999999999</v>
      </c>
      <c r="K17" s="364" t="s">
        <v>281</v>
      </c>
      <c r="L17" s="159"/>
      <c r="N17">
        <f>137602*Q11</f>
        <v>68801</v>
      </c>
      <c r="O17" s="1014" t="s">
        <v>280</v>
      </c>
      <c r="P17" s="1015"/>
      <c r="Q17" s="358">
        <f t="shared" si="2"/>
        <v>68801</v>
      </c>
      <c r="R17" s="361">
        <f t="shared" ref="R17:R28" si="6">Q17*1.43</f>
        <v>98385.43</v>
      </c>
      <c r="S17" s="368">
        <v>1</v>
      </c>
      <c r="T17" s="361">
        <f t="shared" si="3"/>
        <v>98385.43</v>
      </c>
      <c r="U17" s="1009"/>
      <c r="V17" s="1012"/>
      <c r="W17" s="369">
        <f t="shared" si="4"/>
        <v>57104.829999999994</v>
      </c>
      <c r="X17" s="364" t="s">
        <v>281</v>
      </c>
    </row>
    <row r="18" spans="1:24" ht="12.75" customHeight="1" thickBot="1">
      <c r="A18" s="159"/>
      <c r="B18" s="365" t="s">
        <v>282</v>
      </c>
      <c r="C18" s="366"/>
      <c r="D18" s="367">
        <v>101156</v>
      </c>
      <c r="E18" s="361">
        <f t="shared" ref="E18:E27" si="7">D18*1.43</f>
        <v>144653.07999999999</v>
      </c>
      <c r="F18" s="368">
        <v>1</v>
      </c>
      <c r="G18" s="361">
        <f t="shared" ref="G18:G27" si="8">E18*F18</f>
        <v>144653.07999999999</v>
      </c>
      <c r="H18" s="1009"/>
      <c r="I18" s="1012"/>
      <c r="J18" s="369">
        <f t="shared" ref="J18:J27" si="9">D18*0.83</f>
        <v>83959.48</v>
      </c>
      <c r="K18" s="364" t="s">
        <v>281</v>
      </c>
      <c r="L18" s="159"/>
      <c r="N18">
        <f>101156*Q11</f>
        <v>50578</v>
      </c>
      <c r="O18" s="365" t="s">
        <v>282</v>
      </c>
      <c r="P18" s="366"/>
      <c r="Q18" s="358">
        <f t="shared" si="2"/>
        <v>50578</v>
      </c>
      <c r="R18" s="361">
        <f t="shared" si="6"/>
        <v>72326.539999999994</v>
      </c>
      <c r="S18" s="368">
        <v>1</v>
      </c>
      <c r="T18" s="361">
        <f t="shared" si="3"/>
        <v>72326.539999999994</v>
      </c>
      <c r="U18" s="1009"/>
      <c r="V18" s="1012"/>
      <c r="W18" s="369">
        <f t="shared" si="4"/>
        <v>41979.74</v>
      </c>
      <c r="X18" s="364" t="s">
        <v>281</v>
      </c>
    </row>
    <row r="19" spans="1:24" ht="12.75" customHeight="1" thickBot="1">
      <c r="A19" s="159"/>
      <c r="B19" s="365" t="s">
        <v>283</v>
      </c>
      <c r="C19" s="366"/>
      <c r="D19" s="367">
        <v>90584</v>
      </c>
      <c r="E19" s="361">
        <f t="shared" si="7"/>
        <v>129535.12</v>
      </c>
      <c r="F19" s="368">
        <v>1</v>
      </c>
      <c r="G19" s="361">
        <f t="shared" si="8"/>
        <v>129535.12</v>
      </c>
      <c r="H19" s="1009"/>
      <c r="I19" s="1012"/>
      <c r="J19" s="369">
        <f t="shared" si="9"/>
        <v>75184.72</v>
      </c>
      <c r="K19" s="364" t="s">
        <v>278</v>
      </c>
      <c r="L19" s="159"/>
      <c r="N19">
        <f>90584*Q11</f>
        <v>45292</v>
      </c>
      <c r="O19" s="365" t="s">
        <v>283</v>
      </c>
      <c r="P19" s="366"/>
      <c r="Q19" s="358">
        <f t="shared" si="2"/>
        <v>45292</v>
      </c>
      <c r="R19" s="361">
        <f t="shared" si="6"/>
        <v>64767.56</v>
      </c>
      <c r="S19" s="368">
        <v>1</v>
      </c>
      <c r="T19" s="361">
        <f t="shared" si="3"/>
        <v>64767.56</v>
      </c>
      <c r="U19" s="1009"/>
      <c r="V19" s="1012"/>
      <c r="W19" s="369">
        <f t="shared" si="4"/>
        <v>37592.36</v>
      </c>
      <c r="X19" s="364" t="s">
        <v>278</v>
      </c>
    </row>
    <row r="20" spans="1:24" ht="12.75" customHeight="1" thickBot="1">
      <c r="A20" s="159"/>
      <c r="B20" s="365" t="s">
        <v>284</v>
      </c>
      <c r="C20" s="366"/>
      <c r="D20" s="367">
        <v>108008</v>
      </c>
      <c r="E20" s="361">
        <f t="shared" si="7"/>
        <v>154451.44</v>
      </c>
      <c r="F20" s="368">
        <v>1</v>
      </c>
      <c r="G20" s="361">
        <f t="shared" si="8"/>
        <v>154451.44</v>
      </c>
      <c r="H20" s="1009"/>
      <c r="I20" s="1012"/>
      <c r="J20" s="369">
        <f t="shared" si="9"/>
        <v>89646.64</v>
      </c>
      <c r="K20" s="364" t="s">
        <v>285</v>
      </c>
      <c r="L20" s="159"/>
      <c r="N20">
        <f>108008*Q11</f>
        <v>54004</v>
      </c>
      <c r="O20" s="365" t="s">
        <v>284</v>
      </c>
      <c r="P20" s="366"/>
      <c r="Q20" s="358">
        <f t="shared" si="2"/>
        <v>54004</v>
      </c>
      <c r="R20" s="361">
        <f t="shared" si="6"/>
        <v>77225.72</v>
      </c>
      <c r="S20" s="368">
        <v>1</v>
      </c>
      <c r="T20" s="361">
        <f t="shared" si="3"/>
        <v>77225.72</v>
      </c>
      <c r="U20" s="1009"/>
      <c r="V20" s="1012"/>
      <c r="W20" s="369">
        <f t="shared" si="4"/>
        <v>44823.32</v>
      </c>
      <c r="X20" s="364" t="s">
        <v>285</v>
      </c>
    </row>
    <row r="21" spans="1:24" ht="12.75" customHeight="1" thickBot="1">
      <c r="A21" s="159"/>
      <c r="B21" s="365" t="s">
        <v>286</v>
      </c>
      <c r="C21" s="366"/>
      <c r="D21" s="367">
        <v>90584</v>
      </c>
      <c r="E21" s="361">
        <f t="shared" si="7"/>
        <v>129535.12</v>
      </c>
      <c r="F21" s="368">
        <v>1</v>
      </c>
      <c r="G21" s="361">
        <f t="shared" si="8"/>
        <v>129535.12</v>
      </c>
      <c r="H21" s="1009"/>
      <c r="I21" s="1012"/>
      <c r="J21" s="369">
        <f t="shared" si="9"/>
        <v>75184.72</v>
      </c>
      <c r="K21" s="364" t="s">
        <v>278</v>
      </c>
      <c r="L21" s="159"/>
      <c r="N21">
        <f>90584*Q11</f>
        <v>45292</v>
      </c>
      <c r="O21" s="365" t="s">
        <v>286</v>
      </c>
      <c r="P21" s="366"/>
      <c r="Q21" s="358">
        <f t="shared" si="2"/>
        <v>45292</v>
      </c>
      <c r="R21" s="361">
        <f t="shared" si="6"/>
        <v>64767.56</v>
      </c>
      <c r="S21" s="368">
        <v>1</v>
      </c>
      <c r="T21" s="361">
        <f t="shared" si="3"/>
        <v>64767.56</v>
      </c>
      <c r="U21" s="1009"/>
      <c r="V21" s="1012"/>
      <c r="W21" s="369">
        <f t="shared" si="4"/>
        <v>37592.36</v>
      </c>
      <c r="X21" s="364" t="s">
        <v>278</v>
      </c>
    </row>
    <row r="22" spans="1:24" ht="12.75" customHeight="1" thickBot="1">
      <c r="A22" s="159"/>
      <c r="B22" s="365" t="s">
        <v>287</v>
      </c>
      <c r="C22" s="366"/>
      <c r="D22" s="367">
        <v>106644</v>
      </c>
      <c r="E22" s="361">
        <f t="shared" si="7"/>
        <v>152500.91999999998</v>
      </c>
      <c r="F22" s="368">
        <v>1</v>
      </c>
      <c r="G22" s="361">
        <f t="shared" si="8"/>
        <v>152500.91999999998</v>
      </c>
      <c r="H22" s="1009"/>
      <c r="I22" s="1012"/>
      <c r="J22" s="369">
        <f t="shared" si="9"/>
        <v>88514.51999999999</v>
      </c>
      <c r="K22" s="364" t="s">
        <v>281</v>
      </c>
      <c r="L22" s="159"/>
      <c r="N22">
        <f>106644*Q11</f>
        <v>53322</v>
      </c>
      <c r="O22" s="365" t="s">
        <v>287</v>
      </c>
      <c r="P22" s="366"/>
      <c r="Q22" s="358">
        <f t="shared" si="2"/>
        <v>53322</v>
      </c>
      <c r="R22" s="361">
        <f t="shared" si="6"/>
        <v>76250.459999999992</v>
      </c>
      <c r="S22" s="368">
        <v>1</v>
      </c>
      <c r="T22" s="361">
        <f t="shared" si="3"/>
        <v>76250.459999999992</v>
      </c>
      <c r="U22" s="1009"/>
      <c r="V22" s="1012"/>
      <c r="W22" s="369">
        <f t="shared" si="4"/>
        <v>44257.259999999995</v>
      </c>
      <c r="X22" s="364" t="s">
        <v>281</v>
      </c>
    </row>
    <row r="23" spans="1:24" ht="12.75" customHeight="1" thickBot="1">
      <c r="A23" s="159"/>
      <c r="B23" s="365" t="s">
        <v>288</v>
      </c>
      <c r="C23" s="366"/>
      <c r="D23" s="367">
        <v>106013</v>
      </c>
      <c r="E23" s="361">
        <f t="shared" si="7"/>
        <v>151598.59</v>
      </c>
      <c r="F23" s="368">
        <v>8</v>
      </c>
      <c r="G23" s="361">
        <f t="shared" si="8"/>
        <v>1212788.72</v>
      </c>
      <c r="H23" s="1009"/>
      <c r="I23" s="1012"/>
      <c r="J23" s="369">
        <f t="shared" si="9"/>
        <v>87990.79</v>
      </c>
      <c r="K23" s="364" t="s">
        <v>281</v>
      </c>
      <c r="L23" s="159"/>
      <c r="N23">
        <f>106013*Q11</f>
        <v>53006.5</v>
      </c>
      <c r="O23" s="939" t="s">
        <v>288</v>
      </c>
      <c r="P23" s="366"/>
      <c r="Q23" s="358">
        <f t="shared" si="2"/>
        <v>53006.5</v>
      </c>
      <c r="R23" s="361">
        <f t="shared" si="6"/>
        <v>75799.294999999998</v>
      </c>
      <c r="S23" s="368">
        <v>8</v>
      </c>
      <c r="T23" s="361">
        <f t="shared" si="3"/>
        <v>606394.36</v>
      </c>
      <c r="U23" s="1009"/>
      <c r="V23" s="1012"/>
      <c r="W23" s="369">
        <f t="shared" si="4"/>
        <v>43995.394999999997</v>
      </c>
      <c r="X23" s="364" t="s">
        <v>281</v>
      </c>
    </row>
    <row r="24" spans="1:24" ht="12.75" customHeight="1" thickBot="1">
      <c r="A24" s="159"/>
      <c r="B24" s="1000" t="s">
        <v>289</v>
      </c>
      <c r="C24" s="1001"/>
      <c r="D24" s="367">
        <v>71254</v>
      </c>
      <c r="E24" s="361">
        <f t="shared" si="7"/>
        <v>101893.22</v>
      </c>
      <c r="F24" s="368">
        <v>1</v>
      </c>
      <c r="G24" s="361">
        <f t="shared" si="8"/>
        <v>101893.22</v>
      </c>
      <c r="H24" s="1010"/>
      <c r="I24" s="1013"/>
      <c r="J24" s="369">
        <f t="shared" si="9"/>
        <v>59140.82</v>
      </c>
      <c r="K24" s="371" t="s">
        <v>290</v>
      </c>
      <c r="L24" s="159"/>
      <c r="N24">
        <f>71254*Q11</f>
        <v>35627</v>
      </c>
      <c r="O24" s="1000" t="s">
        <v>289</v>
      </c>
      <c r="P24" s="1001"/>
      <c r="Q24" s="358">
        <f t="shared" si="2"/>
        <v>35627</v>
      </c>
      <c r="R24" s="361">
        <f t="shared" si="6"/>
        <v>50946.61</v>
      </c>
      <c r="S24" s="368">
        <v>1</v>
      </c>
      <c r="T24" s="361">
        <f t="shared" si="3"/>
        <v>50946.61</v>
      </c>
      <c r="U24" s="1010"/>
      <c r="V24" s="1013"/>
      <c r="W24" s="369">
        <f t="shared" si="4"/>
        <v>29570.41</v>
      </c>
      <c r="X24" s="371" t="s">
        <v>290</v>
      </c>
    </row>
    <row r="25" spans="1:24" s="241" customFormat="1" ht="14.25" customHeight="1" thickBot="1">
      <c r="A25" s="240"/>
      <c r="B25" s="1006" t="s">
        <v>291</v>
      </c>
      <c r="C25" s="1007"/>
      <c r="D25" s="362">
        <v>137602</v>
      </c>
      <c r="E25" s="372">
        <f t="shared" si="7"/>
        <v>196770.86</v>
      </c>
      <c r="F25" s="360">
        <v>1</v>
      </c>
      <c r="G25" s="372">
        <f t="shared" si="8"/>
        <v>196770.86</v>
      </c>
      <c r="H25" s="1008" t="s">
        <v>292</v>
      </c>
      <c r="I25" s="1011">
        <f>SUM(G25:G28)</f>
        <v>3884899.59</v>
      </c>
      <c r="J25" s="362">
        <f t="shared" si="9"/>
        <v>114209.65999999999</v>
      </c>
      <c r="K25" s="373" t="s">
        <v>293</v>
      </c>
      <c r="L25" s="240"/>
      <c r="N25" s="241">
        <f>137602*Q11</f>
        <v>68801</v>
      </c>
      <c r="O25" s="1006" t="s">
        <v>291</v>
      </c>
      <c r="P25" s="1007"/>
      <c r="Q25" s="358">
        <f t="shared" si="2"/>
        <v>68801</v>
      </c>
      <c r="R25" s="372">
        <f t="shared" si="6"/>
        <v>98385.43</v>
      </c>
      <c r="S25" s="360">
        <v>1</v>
      </c>
      <c r="T25" s="372">
        <f t="shared" si="3"/>
        <v>98385.43</v>
      </c>
      <c r="U25" s="1008" t="s">
        <v>292</v>
      </c>
      <c r="V25" s="1011">
        <f>SUM(T25:T28)</f>
        <v>1942449.7949999999</v>
      </c>
      <c r="W25" s="362">
        <f t="shared" si="4"/>
        <v>57104.829999999994</v>
      </c>
      <c r="X25" s="373" t="s">
        <v>293</v>
      </c>
    </row>
    <row r="26" spans="1:24" ht="12.75" customHeight="1" thickBot="1">
      <c r="A26" s="159"/>
      <c r="B26" s="1000" t="s">
        <v>294</v>
      </c>
      <c r="C26" s="1001"/>
      <c r="D26" s="367">
        <v>120963</v>
      </c>
      <c r="E26" s="361">
        <f t="shared" si="7"/>
        <v>172977.09</v>
      </c>
      <c r="F26" s="368">
        <v>1</v>
      </c>
      <c r="G26" s="361">
        <f t="shared" si="8"/>
        <v>172977.09</v>
      </c>
      <c r="H26" s="1009"/>
      <c r="I26" s="1012"/>
      <c r="J26" s="367">
        <f t="shared" si="9"/>
        <v>100399.29</v>
      </c>
      <c r="K26" s="374" t="s">
        <v>295</v>
      </c>
      <c r="L26" s="159"/>
      <c r="N26">
        <f>120963*Q11</f>
        <v>60481.5</v>
      </c>
      <c r="O26" s="1000" t="s">
        <v>294</v>
      </c>
      <c r="P26" s="1001"/>
      <c r="Q26" s="358">
        <f t="shared" si="2"/>
        <v>60481.5</v>
      </c>
      <c r="R26" s="361">
        <f t="shared" si="6"/>
        <v>86488.544999999998</v>
      </c>
      <c r="S26" s="368">
        <v>1</v>
      </c>
      <c r="T26" s="361">
        <f t="shared" si="3"/>
        <v>86488.544999999998</v>
      </c>
      <c r="U26" s="1009"/>
      <c r="V26" s="1012"/>
      <c r="W26" s="367">
        <f t="shared" si="4"/>
        <v>50199.644999999997</v>
      </c>
      <c r="X26" s="374" t="s">
        <v>295</v>
      </c>
    </row>
    <row r="27" spans="1:24" ht="12.75" customHeight="1" thickBot="1">
      <c r="A27" s="159"/>
      <c r="B27" s="1000" t="s">
        <v>296</v>
      </c>
      <c r="C27" s="1001"/>
      <c r="D27" s="367">
        <v>118340</v>
      </c>
      <c r="E27" s="361">
        <f t="shared" si="7"/>
        <v>169226.19999999998</v>
      </c>
      <c r="F27" s="368">
        <v>1</v>
      </c>
      <c r="G27" s="361">
        <f t="shared" si="8"/>
        <v>169226.19999999998</v>
      </c>
      <c r="H27" s="1009"/>
      <c r="I27" s="1012"/>
      <c r="J27" s="367">
        <f t="shared" si="9"/>
        <v>98222.2</v>
      </c>
      <c r="K27" s="375" t="s">
        <v>295</v>
      </c>
      <c r="L27" s="159"/>
      <c r="N27">
        <f>118340*Q11</f>
        <v>59170</v>
      </c>
      <c r="O27" s="1000" t="s">
        <v>296</v>
      </c>
      <c r="P27" s="1001"/>
      <c r="Q27" s="358">
        <f t="shared" si="2"/>
        <v>59170</v>
      </c>
      <c r="R27" s="361">
        <f t="shared" si="6"/>
        <v>84613.099999999991</v>
      </c>
      <c r="S27" s="368">
        <v>1</v>
      </c>
      <c r="T27" s="361">
        <f t="shared" si="3"/>
        <v>84613.099999999991</v>
      </c>
      <c r="U27" s="1009"/>
      <c r="V27" s="1012"/>
      <c r="W27" s="367">
        <f t="shared" si="4"/>
        <v>49111.1</v>
      </c>
      <c r="X27" s="375" t="s">
        <v>295</v>
      </c>
    </row>
    <row r="28" spans="1:24" ht="12.75" customHeight="1" thickBot="1">
      <c r="A28" s="159"/>
      <c r="B28" s="1002" t="s">
        <v>297</v>
      </c>
      <c r="C28" s="1003"/>
      <c r="D28" s="376">
        <v>97492</v>
      </c>
      <c r="E28" s="377">
        <f t="shared" si="5"/>
        <v>139413.56</v>
      </c>
      <c r="F28" s="370">
        <v>24</v>
      </c>
      <c r="G28" s="377">
        <f t="shared" si="0"/>
        <v>3345925.44</v>
      </c>
      <c r="H28" s="1010"/>
      <c r="I28" s="1013"/>
      <c r="J28" s="376">
        <f t="shared" si="1"/>
        <v>80918.36</v>
      </c>
      <c r="K28" s="378"/>
      <c r="L28" s="159"/>
      <c r="N28">
        <f>97492*Q11</f>
        <v>48746</v>
      </c>
      <c r="O28" s="1002" t="s">
        <v>297</v>
      </c>
      <c r="P28" s="1003"/>
      <c r="Q28" s="940">
        <f t="shared" si="2"/>
        <v>48746</v>
      </c>
      <c r="R28" s="377">
        <f t="shared" si="6"/>
        <v>69706.78</v>
      </c>
      <c r="S28" s="370">
        <v>24</v>
      </c>
      <c r="T28" s="377">
        <f>R28*S28</f>
        <v>1672962.72</v>
      </c>
      <c r="U28" s="1010"/>
      <c r="V28" s="1013"/>
      <c r="W28" s="376">
        <f t="shared" si="4"/>
        <v>40459.18</v>
      </c>
      <c r="X28" s="378"/>
    </row>
    <row r="29" spans="1:24" ht="12.75" customHeight="1" thickBot="1">
      <c r="B29" s="159"/>
      <c r="C29" s="159"/>
      <c r="D29" s="159"/>
      <c r="E29" s="159"/>
      <c r="F29" s="159"/>
      <c r="G29" s="376">
        <f>SUM(G15:G28)</f>
        <v>7161957.6600000001</v>
      </c>
      <c r="H29" s="159"/>
      <c r="I29" s="159"/>
      <c r="J29" s="379">
        <f>SUM(J15:J28)</f>
        <v>1679882.6500000001</v>
      </c>
      <c r="K29" s="159"/>
      <c r="O29" s="159"/>
      <c r="P29" s="159"/>
      <c r="Q29" s="159"/>
      <c r="R29" s="159"/>
      <c r="S29" s="159"/>
      <c r="T29" s="376">
        <f>SUM(T15:T28)</f>
        <v>3580978.83</v>
      </c>
      <c r="U29" s="159"/>
      <c r="V29" s="936">
        <f>V25</f>
        <v>1942449.7949999999</v>
      </c>
      <c r="W29" s="379">
        <f>SUM(W15:W28)</f>
        <v>839941.32500000007</v>
      </c>
      <c r="X29" s="159"/>
    </row>
    <row r="30" spans="1:24" ht="12.75" customHeight="1"/>
    <row r="31" spans="1:24" ht="12.75" customHeight="1">
      <c r="C31" s="36" t="s">
        <v>298</v>
      </c>
    </row>
    <row r="32" spans="1:24" ht="12.75" customHeight="1"/>
    <row r="33" spans="3:32" ht="12.75" customHeight="1">
      <c r="C33" s="172" t="s">
        <v>299</v>
      </c>
      <c r="D33" s="172"/>
      <c r="E33" s="172"/>
      <c r="F33" s="173"/>
      <c r="K33" s="172" t="s">
        <v>300</v>
      </c>
      <c r="L33" s="172"/>
      <c r="M33" s="37"/>
      <c r="N33" s="37" t="s">
        <v>301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302</v>
      </c>
      <c r="E35" s="39">
        <f>'E-Inv AF y Am'!D57*0.95</f>
        <v>65071020.517284892</v>
      </c>
      <c r="G35" s="4" t="s">
        <v>303</v>
      </c>
      <c r="H35" s="39">
        <f>E35/E40</f>
        <v>157.34550547638136</v>
      </c>
      <c r="I35" s="4" t="s">
        <v>304</v>
      </c>
      <c r="K35" s="4" t="s">
        <v>302</v>
      </c>
      <c r="L35" s="39">
        <f>'E-Inv AF y Am'!D57*0.025</f>
        <v>1712395.2767706551</v>
      </c>
      <c r="N35" s="4" t="s">
        <v>302</v>
      </c>
      <c r="O35" s="39">
        <f>L35</f>
        <v>1712395.2767706551</v>
      </c>
      <c r="P35" s="4"/>
      <c r="Q35" s="4"/>
    </row>
    <row r="36" spans="3:32" ht="12.75" customHeight="1">
      <c r="C36" s="4" t="s">
        <v>305</v>
      </c>
      <c r="E36" s="39">
        <f>'E-Inv AF y Am'!E57*0.95</f>
        <v>65071020.517284892</v>
      </c>
      <c r="G36" s="4" t="s">
        <v>306</v>
      </c>
      <c r="H36" s="39">
        <f>E35/E38</f>
        <v>134.61781411837759</v>
      </c>
      <c r="I36" s="4" t="s">
        <v>307</v>
      </c>
      <c r="K36" s="4" t="s">
        <v>305</v>
      </c>
      <c r="L36" s="39">
        <f>'E-Inv AF y Am'!E57*0.025</f>
        <v>1712395.2767706551</v>
      </c>
      <c r="N36" s="4" t="s">
        <v>305</v>
      </c>
      <c r="O36" s="39">
        <f>L36</f>
        <v>1712395.2767706551</v>
      </c>
      <c r="P36" s="4"/>
      <c r="Q36" s="4"/>
    </row>
    <row r="37" spans="3:32" ht="12.75" customHeight="1">
      <c r="C37" s="4" t="s">
        <v>308</v>
      </c>
      <c r="E37" s="380">
        <f>1890*1000</f>
        <v>1890000</v>
      </c>
      <c r="F37" s="16" t="s">
        <v>309</v>
      </c>
      <c r="G37" s="16"/>
      <c r="L37" s="39"/>
    </row>
    <row r="38" spans="3:32" ht="12.75" customHeight="1">
      <c r="C38" s="4" t="s">
        <v>308</v>
      </c>
      <c r="E38" s="16">
        <f>ROUNDUP(E37/3.91,0)</f>
        <v>483376</v>
      </c>
      <c r="F38" s="16" t="s">
        <v>310</v>
      </c>
      <c r="R38" t="s">
        <v>311</v>
      </c>
      <c r="S38" t="s">
        <v>312</v>
      </c>
    </row>
    <row r="39" spans="3:32" ht="12.75" customHeight="1">
      <c r="C39" s="4" t="s">
        <v>313</v>
      </c>
      <c r="E39" s="380">
        <f>1617*1000</f>
        <v>1617000</v>
      </c>
      <c r="F39" s="16" t="s">
        <v>309</v>
      </c>
      <c r="R39" t="s">
        <v>314</v>
      </c>
      <c r="S39">
        <v>2989.49</v>
      </c>
    </row>
    <row r="40" spans="3:32" ht="12.75" customHeight="1">
      <c r="C40" s="4" t="s">
        <v>313</v>
      </c>
      <c r="E40" s="16">
        <f>ROUNDUP(E39/3.91,0)</f>
        <v>413555</v>
      </c>
      <c r="F40" t="s">
        <v>315</v>
      </c>
      <c r="R40" t="s">
        <v>316</v>
      </c>
      <c r="S40">
        <v>206.14</v>
      </c>
    </row>
    <row r="41" spans="3:32" ht="12.75" customHeight="1">
      <c r="C41" s="4" t="s">
        <v>317</v>
      </c>
      <c r="E41" s="39">
        <f>E36/E38</f>
        <v>134.61781411837759</v>
      </c>
      <c r="R41" t="s">
        <v>318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3"/>
      <c r="D43" s="414" t="s">
        <v>2</v>
      </c>
      <c r="E43" s="415" t="s">
        <v>3</v>
      </c>
      <c r="F43" s="414" t="s">
        <v>4</v>
      </c>
      <c r="G43" s="414" t="s">
        <v>5</v>
      </c>
      <c r="H43" s="416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17" t="s">
        <v>319</v>
      </c>
      <c r="D44" s="381">
        <f>E35</f>
        <v>65071020.517284892</v>
      </c>
      <c r="E44" s="381">
        <f>D44</f>
        <v>65071020.517284892</v>
      </c>
      <c r="F44" s="381">
        <f>E44</f>
        <v>65071020.517284892</v>
      </c>
      <c r="G44" s="381">
        <f>E36</f>
        <v>65071020.517284892</v>
      </c>
      <c r="H44" s="382">
        <f>G44</f>
        <v>65071020.517284892</v>
      </c>
      <c r="T44" s="225"/>
    </row>
    <row r="45" spans="3:32" ht="12.75" customHeight="1"/>
    <row r="46" spans="3:32" ht="12.75" customHeight="1">
      <c r="C46" s="49" t="s">
        <v>320</v>
      </c>
      <c r="D46" s="37"/>
      <c r="E46" s="37"/>
      <c r="O46" s="175"/>
      <c r="S46" s="249"/>
      <c r="T46" s="251"/>
    </row>
    <row r="47" spans="3:32" ht="12.75" customHeight="1">
      <c r="S47" s="250" t="s">
        <v>321</v>
      </c>
      <c r="T47" s="247">
        <f>T85</f>
        <v>0.2177429925981724</v>
      </c>
      <c r="U47" s="225">
        <f>SUM(U54:U66)/U73</f>
        <v>0.78225700740182746</v>
      </c>
    </row>
    <row r="48" spans="3:32" ht="12.75" customHeight="1">
      <c r="C48" s="4" t="s">
        <v>303</v>
      </c>
      <c r="D48" s="50">
        <f>H35*'InfoInicial-CálcAux'!L16</f>
        <v>6608511.2300080173</v>
      </c>
      <c r="E48" s="51"/>
      <c r="S48" s="250" t="s">
        <v>322</v>
      </c>
      <c r="T48" s="177">
        <v>0.38</v>
      </c>
      <c r="U48" s="225">
        <f>SUM(U67:U72)/U73</f>
        <v>0.2177429925981724</v>
      </c>
    </row>
    <row r="49" spans="3:24" ht="12.75" customHeight="1">
      <c r="C49" s="4" t="s">
        <v>306</v>
      </c>
      <c r="D49" s="39">
        <f>H36*'InfoInicial-CálcAux'!M16</f>
        <v>5653948.1929718591</v>
      </c>
      <c r="S49" s="227" t="s">
        <v>323</v>
      </c>
      <c r="T49" s="248">
        <v>244</v>
      </c>
    </row>
    <row r="50" spans="3:24" ht="12.75" customHeight="1">
      <c r="C50" s="4" t="s">
        <v>324</v>
      </c>
      <c r="D50" s="39">
        <f>E41*'InfoInicial-CálcAux'!M16</f>
        <v>5653948.1929718591</v>
      </c>
    </row>
    <row r="51" spans="3:24" ht="12.75" customHeight="1">
      <c r="C51" s="4"/>
    </row>
    <row r="52" spans="3:24" ht="12.75" customHeight="1" thickBot="1">
      <c r="L52" s="223"/>
      <c r="M52" s="222"/>
      <c r="V52" s="208">
        <v>12</v>
      </c>
    </row>
    <row r="53" spans="3:24" ht="12.75" customHeight="1" thickBot="1">
      <c r="C53" s="985" t="s">
        <v>325</v>
      </c>
      <c r="D53" s="1088"/>
      <c r="E53" s="1088"/>
      <c r="F53" s="1088"/>
      <c r="G53" s="1088"/>
      <c r="H53" s="1089"/>
      <c r="I53" s="222" t="s">
        <v>326</v>
      </c>
      <c r="K53" s="421" t="s">
        <v>111</v>
      </c>
      <c r="L53" s="422" t="s">
        <v>112</v>
      </c>
      <c r="M53" s="423" t="s">
        <v>327</v>
      </c>
      <c r="N53" s="422" t="s">
        <v>328</v>
      </c>
      <c r="O53" s="422" t="s">
        <v>329</v>
      </c>
      <c r="P53" s="422" t="s">
        <v>330</v>
      </c>
      <c r="Q53" s="422" t="s">
        <v>331</v>
      </c>
      <c r="R53" s="422" t="s">
        <v>332</v>
      </c>
      <c r="S53" s="422" t="s">
        <v>333</v>
      </c>
      <c r="T53" s="543" t="s">
        <v>334</v>
      </c>
      <c r="U53" s="544" t="s">
        <v>335</v>
      </c>
      <c r="V53" s="423" t="s">
        <v>336</v>
      </c>
      <c r="X53" s="159"/>
    </row>
    <row r="54" spans="3:24" ht="12.75" customHeight="1">
      <c r="C54" s="4"/>
      <c r="D54" s="4" t="s">
        <v>337</v>
      </c>
      <c r="E54" s="16" t="s">
        <v>338</v>
      </c>
      <c r="F54" s="16" t="s">
        <v>339</v>
      </c>
      <c r="G54" s="16" t="s">
        <v>340</v>
      </c>
      <c r="H54" s="3" t="s">
        <v>123</v>
      </c>
      <c r="K54" s="400" t="s">
        <v>341</v>
      </c>
      <c r="L54" s="401">
        <v>2</v>
      </c>
      <c r="M54" s="401">
        <f>6.048/12</f>
        <v>0.504</v>
      </c>
      <c r="N54" s="401">
        <f>L54*M54</f>
        <v>1.008</v>
      </c>
      <c r="O54" s="401">
        <f t="shared" ref="O54:O66" si="10">N54*$T$49*T54</f>
        <v>1475.712</v>
      </c>
      <c r="P54" s="401">
        <f t="shared" ref="P54:P66" si="11">L54*$T$48*M54</f>
        <v>0.38303999999999999</v>
      </c>
      <c r="Q54" s="401">
        <f t="shared" ref="Q54:Q67" si="12">P54*T54*$T$49</f>
        <v>560.77055999999993</v>
      </c>
      <c r="R54" s="401">
        <f t="shared" ref="R54:R66" si="13">M54*$T$48*L54</f>
        <v>0.38303999999999999</v>
      </c>
      <c r="S54" s="401">
        <f t="shared" ref="S54:S67" si="14">R54*T54*$T$49</f>
        <v>560.77055999999993</v>
      </c>
      <c r="T54" s="401">
        <v>6</v>
      </c>
      <c r="U54" s="408">
        <f>O54+Q54+S54</f>
        <v>2597.2531199999999</v>
      </c>
      <c r="V54" s="402">
        <f t="shared" ref="V54:V72" si="15">U54/$V$52</f>
        <v>216.43776</v>
      </c>
      <c r="X54" s="159"/>
    </row>
    <row r="55" spans="3:24" ht="15" customHeight="1">
      <c r="C55" s="4" t="s">
        <v>26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342</v>
      </c>
      <c r="K55" s="403" t="s">
        <v>134</v>
      </c>
      <c r="L55" s="404">
        <v>5</v>
      </c>
      <c r="M55" s="404">
        <v>34.200000000000003</v>
      </c>
      <c r="N55" s="404">
        <f t="shared" ref="N55:N66" si="16">L55*M55</f>
        <v>171</v>
      </c>
      <c r="O55" s="404">
        <f t="shared" si="10"/>
        <v>83448</v>
      </c>
      <c r="P55" s="404">
        <f t="shared" si="11"/>
        <v>64.98</v>
      </c>
      <c r="Q55" s="404">
        <f t="shared" si="12"/>
        <v>31710.240000000002</v>
      </c>
      <c r="R55" s="404">
        <f t="shared" si="13"/>
        <v>64.98</v>
      </c>
      <c r="S55" s="404">
        <f t="shared" si="14"/>
        <v>31710.240000000002</v>
      </c>
      <c r="T55" s="404">
        <v>2</v>
      </c>
      <c r="U55" s="408">
        <f t="shared" ref="U55:U72" si="17">O55+Q55+S55</f>
        <v>146868.48000000001</v>
      </c>
      <c r="V55" s="405">
        <f t="shared" si="15"/>
        <v>12239.04</v>
      </c>
      <c r="X55" s="159"/>
    </row>
    <row r="56" spans="3:24" ht="12.75" customHeight="1">
      <c r="C56" s="4" t="s">
        <v>343</v>
      </c>
      <c r="D56" s="52">
        <f>S73</f>
        <v>887573.43024640006</v>
      </c>
      <c r="E56" s="52">
        <f>D56/12*E61</f>
        <v>121301.70213367465</v>
      </c>
      <c r="F56" s="52">
        <f t="shared" ref="F56:F57" si="18">$D$61/3+E56</f>
        <v>122298.19880034133</v>
      </c>
      <c r="G56" s="52">
        <f t="shared" ref="G56:G57" si="19">F56*12</f>
        <v>1467578.3856040959</v>
      </c>
      <c r="H56" s="3" t="s">
        <v>342</v>
      </c>
      <c r="K56" s="403" t="s">
        <v>344</v>
      </c>
      <c r="L56" s="404">
        <v>2</v>
      </c>
      <c r="M56" s="404">
        <f>147.84/12</f>
        <v>12.32</v>
      </c>
      <c r="N56" s="404">
        <f t="shared" si="16"/>
        <v>24.64</v>
      </c>
      <c r="O56" s="404">
        <f t="shared" si="10"/>
        <v>12024.32</v>
      </c>
      <c r="P56" s="404">
        <f t="shared" si="11"/>
        <v>9.3632000000000009</v>
      </c>
      <c r="Q56" s="404">
        <f t="shared" si="12"/>
        <v>4569.2416000000003</v>
      </c>
      <c r="R56" s="404">
        <f t="shared" si="13"/>
        <v>9.3632000000000009</v>
      </c>
      <c r="S56" s="404">
        <f t="shared" si="14"/>
        <v>4569.2416000000003</v>
      </c>
      <c r="T56" s="404">
        <v>2</v>
      </c>
      <c r="U56" s="408">
        <f>O56+Q56+S56</f>
        <v>21162.803200000002</v>
      </c>
      <c r="V56" s="405">
        <f t="shared" si="15"/>
        <v>1763.5669333333335</v>
      </c>
      <c r="X56" s="159"/>
    </row>
    <row r="57" spans="3:24" ht="12.75" customHeight="1">
      <c r="C57" s="4" t="s">
        <v>345</v>
      </c>
      <c r="D57" s="52">
        <f>Q73</f>
        <v>887573.43024640006</v>
      </c>
      <c r="E57" s="52">
        <f>D57/12*E61</f>
        <v>121301.70213367465</v>
      </c>
      <c r="F57" s="52">
        <f t="shared" si="18"/>
        <v>122298.19880034133</v>
      </c>
      <c r="G57" s="52">
        <f t="shared" si="19"/>
        <v>1467578.3856040959</v>
      </c>
      <c r="H57" s="3" t="s">
        <v>342</v>
      </c>
      <c r="K57" s="403" t="s">
        <v>346</v>
      </c>
      <c r="L57" s="404">
        <v>1</v>
      </c>
      <c r="M57" s="404">
        <f>777.6/12</f>
        <v>64.8</v>
      </c>
      <c r="N57" s="404">
        <f t="shared" si="16"/>
        <v>64.8</v>
      </c>
      <c r="O57" s="404">
        <f t="shared" si="10"/>
        <v>63244.799999999996</v>
      </c>
      <c r="P57" s="404">
        <f t="shared" si="11"/>
        <v>24.623999999999999</v>
      </c>
      <c r="Q57" s="404">
        <f t="shared" si="12"/>
        <v>24033.023999999998</v>
      </c>
      <c r="R57" s="404">
        <f t="shared" si="13"/>
        <v>24.623999999999999</v>
      </c>
      <c r="S57" s="404">
        <f t="shared" si="14"/>
        <v>24033.023999999998</v>
      </c>
      <c r="T57" s="404">
        <v>4</v>
      </c>
      <c r="U57" s="408">
        <f t="shared" si="17"/>
        <v>111310.848</v>
      </c>
      <c r="V57" s="405">
        <f t="shared" si="15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3" t="s">
        <v>347</v>
      </c>
      <c r="L58" s="404">
        <v>2</v>
      </c>
      <c r="M58" s="404">
        <f>2304/12</f>
        <v>192</v>
      </c>
      <c r="N58" s="404">
        <f t="shared" si="16"/>
        <v>384</v>
      </c>
      <c r="O58" s="404">
        <f t="shared" si="10"/>
        <v>281088</v>
      </c>
      <c r="P58" s="404">
        <f t="shared" si="11"/>
        <v>145.92000000000002</v>
      </c>
      <c r="Q58" s="404">
        <f t="shared" si="12"/>
        <v>106813.44000000002</v>
      </c>
      <c r="R58" s="404">
        <f t="shared" si="13"/>
        <v>145.92000000000002</v>
      </c>
      <c r="S58" s="404">
        <f t="shared" si="14"/>
        <v>106813.44000000002</v>
      </c>
      <c r="T58" s="404">
        <v>3</v>
      </c>
      <c r="U58" s="408">
        <f t="shared" si="17"/>
        <v>494714.88</v>
      </c>
      <c r="V58" s="405">
        <f t="shared" si="15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3" t="s">
        <v>348</v>
      </c>
      <c r="L59" s="404">
        <v>4</v>
      </c>
      <c r="M59" s="404">
        <f>2557.44/12</f>
        <v>213.12</v>
      </c>
      <c r="N59" s="404">
        <f t="shared" si="16"/>
        <v>852.48</v>
      </c>
      <c r="O59" s="404">
        <f t="shared" si="10"/>
        <v>1664040.96</v>
      </c>
      <c r="P59" s="404">
        <f t="shared" si="11"/>
        <v>323.94240000000002</v>
      </c>
      <c r="Q59" s="404">
        <f t="shared" si="12"/>
        <v>632335.56480000005</v>
      </c>
      <c r="R59" s="404">
        <f t="shared" si="13"/>
        <v>323.94240000000002</v>
      </c>
      <c r="S59" s="404">
        <f t="shared" si="14"/>
        <v>632335.56480000005</v>
      </c>
      <c r="T59" s="404">
        <v>8</v>
      </c>
      <c r="U59" s="408">
        <f t="shared" si="17"/>
        <v>2928712.0895999996</v>
      </c>
      <c r="V59" s="405">
        <f t="shared" si="15"/>
        <v>244059.34079999998</v>
      </c>
      <c r="X59" s="159"/>
    </row>
    <row r="60" spans="3:24" ht="12.75" customHeight="1">
      <c r="C60" s="4" t="s">
        <v>337</v>
      </c>
      <c r="D60" s="163" t="s">
        <v>349</v>
      </c>
      <c r="E60" s="163" t="s">
        <v>338</v>
      </c>
      <c r="F60" s="16" t="s">
        <v>339</v>
      </c>
      <c r="G60" s="16"/>
      <c r="K60" s="403" t="s">
        <v>130</v>
      </c>
      <c r="L60" s="404">
        <v>2</v>
      </c>
      <c r="M60" s="404">
        <f>15.84/12</f>
        <v>1.32</v>
      </c>
      <c r="N60" s="404">
        <f t="shared" si="16"/>
        <v>2.64</v>
      </c>
      <c r="O60" s="404">
        <f t="shared" si="10"/>
        <v>5797.4400000000005</v>
      </c>
      <c r="P60" s="404">
        <f t="shared" si="11"/>
        <v>1.0032000000000001</v>
      </c>
      <c r="Q60" s="404">
        <f t="shared" si="12"/>
        <v>2203.0272</v>
      </c>
      <c r="R60" s="404">
        <f t="shared" si="13"/>
        <v>1.0032000000000001</v>
      </c>
      <c r="S60" s="404">
        <f t="shared" si="14"/>
        <v>2203.0272</v>
      </c>
      <c r="T60" s="404">
        <v>9</v>
      </c>
      <c r="U60" s="408">
        <f t="shared" si="17"/>
        <v>10203.494400000001</v>
      </c>
      <c r="V60" s="405">
        <f t="shared" si="15"/>
        <v>850.29120000000012</v>
      </c>
      <c r="X60" s="159"/>
    </row>
    <row r="61" spans="3:24" ht="12.75" customHeight="1">
      <c r="C61" s="383">
        <f>U73</f>
        <v>5271222.4812512007</v>
      </c>
      <c r="D61" s="64">
        <f>S39</f>
        <v>2989.49</v>
      </c>
      <c r="E61" s="63">
        <f>S41</f>
        <v>1.64</v>
      </c>
      <c r="F61" s="577">
        <f>D61+((C61/12)*E61)</f>
        <v>723389.89577099739</v>
      </c>
      <c r="K61" s="403" t="s">
        <v>350</v>
      </c>
      <c r="L61" s="404">
        <v>1</v>
      </c>
      <c r="M61" s="404">
        <v>0.13824</v>
      </c>
      <c r="N61" s="404">
        <f t="shared" si="16"/>
        <v>0.13824</v>
      </c>
      <c r="O61" s="404">
        <f t="shared" si="10"/>
        <v>67.461119999999994</v>
      </c>
      <c r="P61" s="404">
        <f t="shared" si="11"/>
        <v>5.25312E-2</v>
      </c>
      <c r="Q61" s="404">
        <f t="shared" si="12"/>
        <v>25.635225599999998</v>
      </c>
      <c r="R61" s="404">
        <f t="shared" si="13"/>
        <v>5.25312E-2</v>
      </c>
      <c r="S61" s="404">
        <f t="shared" si="14"/>
        <v>25.635225599999998</v>
      </c>
      <c r="T61" s="404">
        <v>2</v>
      </c>
      <c r="U61" s="408">
        <f t="shared" si="17"/>
        <v>118.73157119999999</v>
      </c>
      <c r="V61" s="405">
        <f t="shared" si="15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351</v>
      </c>
      <c r="E62" s="150" t="s">
        <v>352</v>
      </c>
      <c r="K62" s="403" t="s">
        <v>353</v>
      </c>
      <c r="L62" s="404">
        <v>1</v>
      </c>
      <c r="M62" s="404">
        <v>0.7</v>
      </c>
      <c r="N62" s="404">
        <f>L62*M62</f>
        <v>0.7</v>
      </c>
      <c r="O62" s="404">
        <f t="shared" si="10"/>
        <v>1024.8</v>
      </c>
      <c r="P62" s="404">
        <f t="shared" si="11"/>
        <v>0.26599999999999996</v>
      </c>
      <c r="Q62" s="404">
        <f t="shared" si="12"/>
        <v>389.42399999999992</v>
      </c>
      <c r="R62" s="404">
        <f t="shared" si="13"/>
        <v>0.26599999999999996</v>
      </c>
      <c r="S62" s="404">
        <f t="shared" si="14"/>
        <v>389.42399999999992</v>
      </c>
      <c r="T62" s="404">
        <v>6</v>
      </c>
      <c r="U62" s="408">
        <f t="shared" si="17"/>
        <v>1803.6479999999999</v>
      </c>
      <c r="V62" s="405">
        <f t="shared" si="15"/>
        <v>150.304</v>
      </c>
      <c r="X62" s="159"/>
    </row>
    <row r="63" spans="3:24" ht="12.75" customHeight="1">
      <c r="C63" s="3" t="s">
        <v>354</v>
      </c>
      <c r="D63" s="384">
        <f>C62*E61/F61</f>
        <v>0.995867387673678</v>
      </c>
      <c r="K63" s="403" t="s">
        <v>152</v>
      </c>
      <c r="L63" s="404">
        <v>1</v>
      </c>
      <c r="M63" s="404">
        <v>0.20735999999999999</v>
      </c>
      <c r="N63" s="404">
        <f t="shared" si="16"/>
        <v>0.20735999999999999</v>
      </c>
      <c r="O63" s="404">
        <f t="shared" si="10"/>
        <v>1214.3001599999998</v>
      </c>
      <c r="P63" s="404">
        <f t="shared" si="11"/>
        <v>7.87968E-2</v>
      </c>
      <c r="Q63" s="404">
        <f t="shared" si="12"/>
        <v>461.4340608</v>
      </c>
      <c r="R63" s="404">
        <f t="shared" si="13"/>
        <v>7.87968E-2</v>
      </c>
      <c r="S63" s="404">
        <f t="shared" si="14"/>
        <v>461.4340608</v>
      </c>
      <c r="T63" s="404">
        <v>24</v>
      </c>
      <c r="U63" s="408">
        <f t="shared" si="17"/>
        <v>2137.1682815999998</v>
      </c>
      <c r="V63" s="405">
        <f t="shared" si="15"/>
        <v>178.09735679999997</v>
      </c>
      <c r="X63" s="159"/>
    </row>
    <row r="64" spans="3:24" ht="12.75" customHeight="1">
      <c r="C64" s="3" t="s">
        <v>355</v>
      </c>
      <c r="D64" s="384">
        <f>D61/F61</f>
        <v>4.132612326321985E-3</v>
      </c>
      <c r="K64" s="403" t="s">
        <v>144</v>
      </c>
      <c r="L64" s="404">
        <v>1</v>
      </c>
      <c r="M64" s="404">
        <v>37</v>
      </c>
      <c r="N64" s="404">
        <f>L64*M64</f>
        <v>37</v>
      </c>
      <c r="O64" s="404">
        <f t="shared" si="10"/>
        <v>216672</v>
      </c>
      <c r="P64" s="404">
        <f t="shared" si="11"/>
        <v>14.06</v>
      </c>
      <c r="Q64" s="404">
        <f t="shared" si="12"/>
        <v>82335.360000000001</v>
      </c>
      <c r="R64" s="404">
        <f t="shared" si="13"/>
        <v>14.06</v>
      </c>
      <c r="S64" s="404">
        <f t="shared" si="14"/>
        <v>82335.360000000001</v>
      </c>
      <c r="T64" s="404">
        <v>24</v>
      </c>
      <c r="U64" s="408">
        <f>O64+Q64+S64</f>
        <v>381342.71999999997</v>
      </c>
      <c r="V64" s="405">
        <f t="shared" si="15"/>
        <v>31778.559999999998</v>
      </c>
      <c r="X64" s="159"/>
    </row>
    <row r="65" spans="3:24" ht="12.75" customHeight="1">
      <c r="C65" s="3"/>
      <c r="H65" s="33"/>
      <c r="K65" s="403" t="s">
        <v>356</v>
      </c>
      <c r="L65" s="404">
        <v>1</v>
      </c>
      <c r="M65" s="404">
        <v>0.96</v>
      </c>
      <c r="N65" s="404">
        <f t="shared" si="16"/>
        <v>0.96</v>
      </c>
      <c r="O65" s="404">
        <f t="shared" si="10"/>
        <v>5621.7599999999993</v>
      </c>
      <c r="P65" s="404">
        <f t="shared" si="11"/>
        <v>0.36480000000000001</v>
      </c>
      <c r="Q65" s="404">
        <f t="shared" si="12"/>
        <v>2136.2688000000003</v>
      </c>
      <c r="R65" s="404">
        <f t="shared" si="13"/>
        <v>0.36480000000000001</v>
      </c>
      <c r="S65" s="404">
        <f t="shared" si="14"/>
        <v>2136.2688000000003</v>
      </c>
      <c r="T65" s="404">
        <v>24</v>
      </c>
      <c r="U65" s="408">
        <f t="shared" si="17"/>
        <v>9894.2975999999999</v>
      </c>
      <c r="V65" s="405">
        <f t="shared" si="15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06" t="s">
        <v>357</v>
      </c>
      <c r="L66" s="404">
        <v>111</v>
      </c>
      <c r="M66" s="404">
        <v>1.0999999999999999E-2</v>
      </c>
      <c r="N66" s="404">
        <f t="shared" si="16"/>
        <v>1.2209999999999999</v>
      </c>
      <c r="O66" s="404">
        <f t="shared" si="10"/>
        <v>7150.1759999999995</v>
      </c>
      <c r="P66" s="404">
        <f t="shared" si="11"/>
        <v>0.46397999999999995</v>
      </c>
      <c r="Q66" s="404">
        <f t="shared" si="12"/>
        <v>2717.0668799999999</v>
      </c>
      <c r="R66" s="404">
        <f t="shared" si="13"/>
        <v>0.46397999999999995</v>
      </c>
      <c r="S66" s="404">
        <f t="shared" si="14"/>
        <v>2717.0668799999999</v>
      </c>
      <c r="T66" s="404">
        <v>24</v>
      </c>
      <c r="U66" s="408">
        <f t="shared" si="17"/>
        <v>12584.30976</v>
      </c>
      <c r="V66" s="405">
        <f t="shared" si="15"/>
        <v>1048.6924799999999</v>
      </c>
      <c r="X66" s="159"/>
    </row>
    <row r="67" spans="3:24" ht="12.75" customHeight="1">
      <c r="C67" s="164"/>
      <c r="D67" s="385" t="s">
        <v>189</v>
      </c>
      <c r="E67" s="64" t="s">
        <v>358</v>
      </c>
      <c r="F67" s="386" t="s">
        <v>359</v>
      </c>
      <c r="G67" s="385" t="s">
        <v>360</v>
      </c>
      <c r="H67" s="159"/>
      <c r="I67" s="33"/>
      <c r="J67" s="159"/>
      <c r="K67" s="545" t="s">
        <v>178</v>
      </c>
      <c r="L67" s="546">
        <v>1</v>
      </c>
      <c r="M67" s="546">
        <v>1794.666667</v>
      </c>
      <c r="N67" s="546">
        <f t="shared" ref="N67:N72" si="20">L67*M67/30</f>
        <v>59.822222233333335</v>
      </c>
      <c r="O67" s="546">
        <f>N67*$T$49*T67</f>
        <v>350318.93339839997</v>
      </c>
      <c r="P67" s="546">
        <v>0</v>
      </c>
      <c r="Q67" s="546">
        <f t="shared" si="12"/>
        <v>0</v>
      </c>
      <c r="R67" s="546">
        <v>0</v>
      </c>
      <c r="S67" s="546">
        <f t="shared" si="14"/>
        <v>0</v>
      </c>
      <c r="T67" s="546">
        <v>24</v>
      </c>
      <c r="U67" s="547">
        <f>O67+Q67+S67</f>
        <v>350318.93339839997</v>
      </c>
      <c r="V67" s="407">
        <f t="shared" si="15"/>
        <v>29193.244449866663</v>
      </c>
      <c r="X67" s="159"/>
    </row>
    <row r="68" spans="3:24" ht="12.75" customHeight="1">
      <c r="C68" s="4" t="s">
        <v>361</v>
      </c>
      <c r="D68" s="387">
        <f>F61*11.5</f>
        <v>8318983.8013664698</v>
      </c>
      <c r="E68" s="387">
        <f>D68*$D$63</f>
        <v>8284604.66636647</v>
      </c>
      <c r="F68" s="387">
        <f>D68*$D$64</f>
        <v>34379.134999999995</v>
      </c>
      <c r="G68" s="387"/>
      <c r="I68" s="33"/>
      <c r="J68" s="178"/>
      <c r="K68" s="548" t="s">
        <v>181</v>
      </c>
      <c r="L68" s="404">
        <v>1</v>
      </c>
      <c r="M68" s="404">
        <v>3390</v>
      </c>
      <c r="N68" s="404">
        <f t="shared" si="20"/>
        <v>113</v>
      </c>
      <c r="O68" s="404">
        <f>N68*$T$49*T68</f>
        <v>661728</v>
      </c>
      <c r="P68" s="404">
        <v>0</v>
      </c>
      <c r="Q68" s="404">
        <f t="shared" ref="Q68:Q72" si="21">P68*T68*$T$49</f>
        <v>0</v>
      </c>
      <c r="R68" s="404">
        <v>0</v>
      </c>
      <c r="S68" s="404">
        <f t="shared" ref="S68:S72" si="22">R68*T68*$T$49</f>
        <v>0</v>
      </c>
      <c r="T68" s="404">
        <v>24</v>
      </c>
      <c r="U68" s="549">
        <f>O68+Q68+S68</f>
        <v>661728</v>
      </c>
      <c r="V68" s="407">
        <f t="shared" si="15"/>
        <v>55144</v>
      </c>
      <c r="X68" s="159"/>
    </row>
    <row r="69" spans="3:24" ht="12.75" customHeight="1">
      <c r="C69" s="3" t="s">
        <v>362</v>
      </c>
      <c r="D69" s="387">
        <f>D68*0.95</f>
        <v>7903034.6112981457</v>
      </c>
      <c r="E69" s="387">
        <f t="shared" ref="E69:E72" si="23">D69*$D$63</f>
        <v>7870374.4330481458</v>
      </c>
      <c r="F69" s="387">
        <f t="shared" ref="F69:F70" si="24">D69*$D$64</f>
        <v>32660.178249999994</v>
      </c>
      <c r="G69" s="387"/>
      <c r="H69" s="164"/>
      <c r="I69" s="33"/>
      <c r="J69" s="178"/>
      <c r="K69" s="548" t="s">
        <v>182</v>
      </c>
      <c r="L69" s="404">
        <v>1</v>
      </c>
      <c r="M69" s="404">
        <v>61.02</v>
      </c>
      <c r="N69" s="404">
        <f t="shared" si="20"/>
        <v>2.0340000000000003</v>
      </c>
      <c r="O69" s="404">
        <f t="shared" ref="O69:O71" si="25">N69*$T$49*T69</f>
        <v>11911.104000000001</v>
      </c>
      <c r="P69" s="404">
        <v>0</v>
      </c>
      <c r="Q69" s="404">
        <f t="shared" si="21"/>
        <v>0</v>
      </c>
      <c r="R69" s="404">
        <v>0</v>
      </c>
      <c r="S69" s="404">
        <f t="shared" si="22"/>
        <v>0</v>
      </c>
      <c r="T69" s="404">
        <v>24</v>
      </c>
      <c r="U69" s="549">
        <f t="shared" si="17"/>
        <v>11911.104000000001</v>
      </c>
      <c r="V69" s="407">
        <f t="shared" si="15"/>
        <v>992.5920000000001</v>
      </c>
      <c r="X69" s="159"/>
    </row>
    <row r="70" spans="3:24" ht="12.75" customHeight="1">
      <c r="C70" s="3" t="s">
        <v>363</v>
      </c>
      <c r="D70" s="387">
        <f>D68*0.025</f>
        <v>207974.59503416176</v>
      </c>
      <c r="E70" s="387">
        <f t="shared" si="23"/>
        <v>207115.11665916175</v>
      </c>
      <c r="F70" s="387">
        <f t="shared" si="24"/>
        <v>859.47837499999991</v>
      </c>
      <c r="G70" s="387"/>
      <c r="H70" s="4"/>
      <c r="I70" s="33"/>
      <c r="J70" s="178"/>
      <c r="K70" s="548" t="s">
        <v>183</v>
      </c>
      <c r="L70" s="404">
        <v>1</v>
      </c>
      <c r="M70" s="404">
        <f>44748/12</f>
        <v>3729</v>
      </c>
      <c r="N70" s="404">
        <f t="shared" si="20"/>
        <v>124.3</v>
      </c>
      <c r="O70" s="404">
        <f>N70*$T$49*T70/30</f>
        <v>24263.360000000001</v>
      </c>
      <c r="P70" s="404">
        <v>0</v>
      </c>
      <c r="Q70" s="404">
        <f>P70*T70*$T$49</f>
        <v>0</v>
      </c>
      <c r="R70" s="404">
        <v>0</v>
      </c>
      <c r="S70" s="404">
        <f>R70*T70*$T$49</f>
        <v>0</v>
      </c>
      <c r="T70" s="404">
        <v>24</v>
      </c>
      <c r="U70" s="549">
        <f t="shared" si="17"/>
        <v>24263.360000000001</v>
      </c>
      <c r="V70" s="407">
        <f t="shared" si="15"/>
        <v>2021.9466666666667</v>
      </c>
      <c r="X70" s="159"/>
    </row>
    <row r="71" spans="3:24" ht="12.75" customHeight="1">
      <c r="C71" s="3" t="s">
        <v>364</v>
      </c>
      <c r="D71" s="387">
        <f>D68*0.025</f>
        <v>207974.59503416176</v>
      </c>
      <c r="E71" s="387">
        <f>D71*$D$63</f>
        <v>207115.11665916175</v>
      </c>
      <c r="F71" s="387">
        <f>D71*$D$64</f>
        <v>859.47837499999991</v>
      </c>
      <c r="G71" s="387"/>
      <c r="H71" s="4"/>
      <c r="I71" s="53"/>
      <c r="J71" s="178"/>
      <c r="K71" s="548" t="s">
        <v>184</v>
      </c>
      <c r="L71" s="404">
        <v>1</v>
      </c>
      <c r="M71" s="404">
        <v>508.5</v>
      </c>
      <c r="N71" s="404">
        <f t="shared" si="20"/>
        <v>16.95</v>
      </c>
      <c r="O71" s="404">
        <f t="shared" si="25"/>
        <v>99259.200000000012</v>
      </c>
      <c r="P71" s="404">
        <v>0</v>
      </c>
      <c r="Q71" s="404">
        <f t="shared" si="21"/>
        <v>0</v>
      </c>
      <c r="R71" s="404">
        <v>0</v>
      </c>
      <c r="S71" s="404">
        <f>R71*T71*$T$49</f>
        <v>0</v>
      </c>
      <c r="T71" s="404">
        <v>24</v>
      </c>
      <c r="U71" s="549">
        <f>O71+Q71+S71</f>
        <v>99259.200000000012</v>
      </c>
      <c r="V71" s="407">
        <f t="shared" si="15"/>
        <v>8271.6</v>
      </c>
      <c r="X71" s="159"/>
    </row>
    <row r="72" spans="3:24" ht="12.75" customHeight="1" thickBot="1">
      <c r="C72" s="4" t="s">
        <v>365</v>
      </c>
      <c r="D72" s="387">
        <f>D69*M92</f>
        <v>200076.82560248469</v>
      </c>
      <c r="E72" s="387">
        <f t="shared" si="23"/>
        <v>199249.9856467885</v>
      </c>
      <c r="F72" s="387">
        <f>D72*$D$64</f>
        <v>826.83995569620231</v>
      </c>
      <c r="G72" s="387"/>
      <c r="H72" s="4"/>
      <c r="I72" s="53"/>
      <c r="J72" s="178"/>
      <c r="K72" s="550" t="s">
        <v>186</v>
      </c>
      <c r="L72" s="551">
        <v>1</v>
      </c>
      <c r="M72" s="551">
        <v>44.747999999999998</v>
      </c>
      <c r="N72" s="551">
        <f t="shared" si="20"/>
        <v>1.4915999999999998</v>
      </c>
      <c r="O72" s="551">
        <f>N72*$T$49*T72/30</f>
        <v>291.16031999999996</v>
      </c>
      <c r="P72" s="551">
        <v>0</v>
      </c>
      <c r="Q72" s="551">
        <f t="shared" si="21"/>
        <v>0</v>
      </c>
      <c r="R72" s="551">
        <v>0</v>
      </c>
      <c r="S72" s="551">
        <f t="shared" si="22"/>
        <v>0</v>
      </c>
      <c r="T72" s="551">
        <v>24</v>
      </c>
      <c r="U72" s="552">
        <f t="shared" si="17"/>
        <v>291.16031999999996</v>
      </c>
      <c r="V72" s="407">
        <f t="shared" si="15"/>
        <v>24.263359999999995</v>
      </c>
      <c r="X72" s="159"/>
    </row>
    <row r="73" spans="3:24" ht="12.75" customHeight="1" thickBot="1">
      <c r="C73" s="164"/>
      <c r="E73" s="33"/>
      <c r="F73" s="219"/>
      <c r="H73" s="4"/>
      <c r="I73" s="53"/>
      <c r="J73" s="33"/>
      <c r="K73" s="159"/>
      <c r="L73" s="220"/>
      <c r="M73" s="221"/>
      <c r="N73" s="221"/>
      <c r="O73" s="224">
        <f t="shared" ref="O73:S73" si="26">SUM(O54:O65)</f>
        <v>2335719.5532799996</v>
      </c>
      <c r="P73" s="224">
        <f t="shared" si="26"/>
        <v>585.03796799999975</v>
      </c>
      <c r="Q73" s="224">
        <f t="shared" si="26"/>
        <v>887573.43024640006</v>
      </c>
      <c r="R73" s="224">
        <f t="shared" si="26"/>
        <v>585.03796799999975</v>
      </c>
      <c r="S73" s="224">
        <f t="shared" si="26"/>
        <v>887573.43024640006</v>
      </c>
      <c r="T73" s="224"/>
      <c r="U73" s="428">
        <f>+SUM(U54:U72)</f>
        <v>5271222.4812512007</v>
      </c>
      <c r="V73" s="429">
        <f>SUM(V54:V72)</f>
        <v>439268.54010426661</v>
      </c>
      <c r="X73" s="159"/>
    </row>
    <row r="74" spans="3:24" ht="12.75" customHeight="1">
      <c r="C74" s="242"/>
      <c r="E74" s="33"/>
      <c r="F74" s="219"/>
      <c r="H74" s="4"/>
      <c r="I74" s="53"/>
      <c r="J74" s="33"/>
      <c r="K74" s="219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85" t="s">
        <v>366</v>
      </c>
      <c r="D76" s="1088"/>
      <c r="E76" s="1088"/>
      <c r="F76" s="1088"/>
      <c r="G76" s="1088"/>
      <c r="H76" s="1089"/>
      <c r="I76" s="4"/>
      <c r="J76" s="4"/>
      <c r="K76" s="33" t="e">
        <f>#REF!/12*3</f>
        <v>#REF!</v>
      </c>
      <c r="M76" s="216"/>
      <c r="N76" s="217"/>
      <c r="O76" s="217"/>
      <c r="P76" s="217"/>
      <c r="Q76" s="217"/>
      <c r="R76" s="217"/>
      <c r="S76" s="217"/>
      <c r="T76" s="217"/>
      <c r="U76" s="217"/>
      <c r="V76" s="221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367</v>
      </c>
      <c r="M77" s="218">
        <v>1969134.7334373901</v>
      </c>
      <c r="N77" s="217"/>
      <c r="O77" s="228"/>
      <c r="P77" s="217"/>
      <c r="Q77" s="217"/>
      <c r="R77" s="217"/>
      <c r="S77" s="217"/>
      <c r="T77" s="217"/>
      <c r="U77" s="217"/>
      <c r="V77" s="217"/>
    </row>
    <row r="78" spans="3:24" ht="12.75" customHeight="1">
      <c r="C78" s="16" t="s">
        <v>368</v>
      </c>
      <c r="E78" s="56">
        <v>736</v>
      </c>
      <c r="G78" s="4"/>
      <c r="H78" s="4"/>
      <c r="I78" s="4"/>
      <c r="J78" s="4"/>
      <c r="L78" s="4" t="s">
        <v>369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218</v>
      </c>
      <c r="F79" s="4"/>
      <c r="H79" s="4"/>
      <c r="I79" s="4"/>
      <c r="J79" s="55"/>
      <c r="L79" s="4" t="s">
        <v>370</v>
      </c>
      <c r="M79" s="4">
        <v>178238.72</v>
      </c>
    </row>
    <row r="80" spans="3:24" ht="12.75" customHeight="1">
      <c r="C80" s="58" t="s">
        <v>371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372</v>
      </c>
      <c r="F81" s="3" t="s">
        <v>373</v>
      </c>
      <c r="G81" s="4" t="s">
        <v>374</v>
      </c>
      <c r="H81" s="3" t="s">
        <v>375</v>
      </c>
      <c r="I81" s="4" t="s">
        <v>376</v>
      </c>
      <c r="J81" s="4" t="s">
        <v>377</v>
      </c>
      <c r="L81" s="974" t="s">
        <v>13</v>
      </c>
      <c r="M81" s="1090"/>
      <c r="N81" s="1090"/>
      <c r="O81" s="1090"/>
      <c r="P81" s="1091"/>
      <c r="S81" s="163" t="s">
        <v>378</v>
      </c>
      <c r="T81" s="216">
        <f>SUM(U67:U72)</f>
        <v>1147771.7577184001</v>
      </c>
      <c r="V81" s="159"/>
    </row>
    <row r="82" spans="2:22" ht="12.75" customHeight="1">
      <c r="C82" s="16" t="s">
        <v>379</v>
      </c>
      <c r="D82" s="388" t="s">
        <v>380</v>
      </c>
      <c r="E82" s="16" t="s">
        <v>381</v>
      </c>
      <c r="F82" s="4">
        <f>'E-Inv AF y Am'!B21*0.01</f>
        <v>1783735.4863125</v>
      </c>
      <c r="G82" s="4">
        <f>'E-Inv AF y Am'!$B$21*0.01</f>
        <v>1783735.4863125</v>
      </c>
      <c r="H82" s="4">
        <f>'E-Inv AF y Am'!$B$21*0.01</f>
        <v>1783735.4863125</v>
      </c>
      <c r="I82" s="4">
        <f>'E-Inv AF y Am'!$B$21*0.01</f>
        <v>1783735.4863125</v>
      </c>
      <c r="J82" s="55">
        <f>'E-Inv AF y Am'!$B$21*'CA COSTOS'!D82</f>
        <v>1783735.4863125</v>
      </c>
      <c r="L82" s="265"/>
      <c r="M82" s="266" t="s">
        <v>14</v>
      </c>
      <c r="N82" s="266" t="s">
        <v>15</v>
      </c>
      <c r="O82" s="266" t="s">
        <v>16</v>
      </c>
      <c r="P82" s="267" t="s">
        <v>17</v>
      </c>
      <c r="S82" s="163" t="s">
        <v>382</v>
      </c>
      <c r="T82" s="216">
        <f>SUM(U54:U66)</f>
        <v>4123450.7235328001</v>
      </c>
    </row>
    <row r="83" spans="2:22" ht="12.75" customHeight="1">
      <c r="C83" s="16" t="s">
        <v>383</v>
      </c>
      <c r="D83" s="388" t="s">
        <v>384</v>
      </c>
      <c r="E83" s="16" t="s">
        <v>381</v>
      </c>
      <c r="F83" s="389">
        <f>'E-Inv AF y Am'!$B$21*0.016</f>
        <v>2853976.7780999998</v>
      </c>
      <c r="G83" s="4">
        <f>'E-Inv AF y Am'!$B$21*0.016</f>
        <v>2853976.7780999998</v>
      </c>
      <c r="H83" s="4">
        <f>'E-Inv AF y Am'!$B$21*0.016</f>
        <v>2853976.7780999998</v>
      </c>
      <c r="I83" s="4">
        <f>'E-Inv AF y Am'!$B$21*0.016</f>
        <v>2853976.7780999998</v>
      </c>
      <c r="J83" s="55">
        <f>'E-Inv AF y Am'!$B$21*'CA COSTOS'!D83</f>
        <v>2853976.7780999998</v>
      </c>
      <c r="L83" s="257" t="s">
        <v>385</v>
      </c>
      <c r="M83" s="409">
        <v>0</v>
      </c>
      <c r="N83" s="410">
        <v>1598</v>
      </c>
      <c r="O83" s="280">
        <v>1890</v>
      </c>
      <c r="P83" s="281" t="s">
        <v>386</v>
      </c>
      <c r="S83" s="163" t="s">
        <v>387</v>
      </c>
      <c r="T83" s="216">
        <f>SUM(T81:T82)</f>
        <v>5271222.4812512007</v>
      </c>
      <c r="V83" s="159"/>
    </row>
    <row r="84" spans="2:22" ht="12.75" customHeight="1">
      <c r="C84" s="16" t="s">
        <v>26</v>
      </c>
      <c r="D84" s="388" t="s">
        <v>388</v>
      </c>
      <c r="E84" s="16" t="s">
        <v>389</v>
      </c>
      <c r="F84" s="196">
        <f>I9*0.015</f>
        <v>18076320</v>
      </c>
      <c r="G84" s="4">
        <f>$J$9*0.015</f>
        <v>16820622</v>
      </c>
      <c r="H84" s="948">
        <f>$L$9*0.015</f>
        <v>11774435.4</v>
      </c>
      <c r="I84" s="4">
        <f>$J$9*0.015</f>
        <v>16820622</v>
      </c>
      <c r="J84" s="390">
        <f>J9*0.015</f>
        <v>16820622</v>
      </c>
      <c r="L84" s="424" t="s">
        <v>390</v>
      </c>
      <c r="M84" s="409">
        <v>0</v>
      </c>
      <c r="N84" s="279">
        <v>37.058824000000001</v>
      </c>
      <c r="O84" s="283">
        <v>37.058823500000003</v>
      </c>
      <c r="P84" s="281" t="s">
        <v>386</v>
      </c>
      <c r="S84" s="226"/>
      <c r="V84" s="159"/>
    </row>
    <row r="85" spans="2:22" ht="12.75" customHeight="1">
      <c r="C85" s="16" t="s">
        <v>270</v>
      </c>
      <c r="D85" s="388" t="s">
        <v>391</v>
      </c>
      <c r="E85" s="16" t="s">
        <v>392</v>
      </c>
      <c r="F85" s="196">
        <f>$G$29*0.03</f>
        <v>214858.7298</v>
      </c>
      <c r="G85" s="4">
        <f t="shared" ref="G85:I85" si="27">$G$29*0.03</f>
        <v>214858.7298</v>
      </c>
      <c r="H85" s="1070">
        <f>$G$29*0.03</f>
        <v>214858.7298</v>
      </c>
      <c r="I85" s="4">
        <f t="shared" si="27"/>
        <v>214858.7298</v>
      </c>
      <c r="J85" s="391">
        <f>$G$29*D85</f>
        <v>214858.7298</v>
      </c>
      <c r="L85" s="425" t="s">
        <v>393</v>
      </c>
      <c r="M85" s="409">
        <v>0</v>
      </c>
      <c r="N85" s="279">
        <v>1617</v>
      </c>
      <c r="O85" s="284">
        <v>1890</v>
      </c>
      <c r="P85" s="281" t="s">
        <v>386</v>
      </c>
      <c r="S85" s="163" t="s">
        <v>321</v>
      </c>
      <c r="T85" s="225">
        <f>T81/T83</f>
        <v>0.2177429925981724</v>
      </c>
      <c r="V85" s="159"/>
    </row>
    <row r="86" spans="2:22" ht="12.75" customHeight="1">
      <c r="E86" s="392" t="s">
        <v>225</v>
      </c>
      <c r="F86" s="393">
        <f>SUM(F82:F85)</f>
        <v>22928890.994212501</v>
      </c>
      <c r="G86" s="393">
        <f>SUM(G82:G85)</f>
        <v>21673192.994212501</v>
      </c>
      <c r="H86" s="393">
        <f>SUM(H82:H85)</f>
        <v>16627006.394212501</v>
      </c>
      <c r="I86" s="393">
        <f t="shared" ref="H86:I86" si="28">SUM(I82:I85)</f>
        <v>21673192.994212501</v>
      </c>
      <c r="J86" s="394">
        <f>SUM(J82:J85)</f>
        <v>21673192.994212501</v>
      </c>
      <c r="K86" t="s">
        <v>394</v>
      </c>
      <c r="L86" s="425" t="s">
        <v>395</v>
      </c>
      <c r="M86" s="409">
        <v>0</v>
      </c>
      <c r="N86" s="279">
        <v>0</v>
      </c>
      <c r="O86" s="283">
        <v>0</v>
      </c>
      <c r="P86" s="281" t="s">
        <v>386</v>
      </c>
      <c r="S86" s="163" t="s">
        <v>322</v>
      </c>
      <c r="T86" s="225">
        <f>T82/T83</f>
        <v>0.78225700740182746</v>
      </c>
      <c r="U86" s="225"/>
      <c r="V86" s="159"/>
    </row>
    <row r="87" spans="2:22" ht="12.75" customHeight="1">
      <c r="D87" s="395" t="s">
        <v>396</v>
      </c>
      <c r="E87" s="396">
        <v>0.9</v>
      </c>
      <c r="F87" s="4">
        <f>F$86*E87</f>
        <v>20636001.894791253</v>
      </c>
      <c r="G87" s="4">
        <f t="shared" ref="G87:G89" si="29">$G$86*E87</f>
        <v>19505873.69479125</v>
      </c>
      <c r="H87" s="4">
        <f>H86*E87</f>
        <v>14964305.75479125</v>
      </c>
      <c r="I87" s="4">
        <f t="shared" ref="I87:I89" si="30">$I$86*E87</f>
        <v>19505873.69479125</v>
      </c>
      <c r="J87" s="4">
        <f>J86*E87</f>
        <v>19505873.69479125</v>
      </c>
      <c r="K87" s="397">
        <f>J87/12</f>
        <v>1625489.4745659374</v>
      </c>
      <c r="L87" s="425" t="s">
        <v>397</v>
      </c>
      <c r="M87" s="409">
        <v>0</v>
      </c>
      <c r="N87" s="279">
        <v>42</v>
      </c>
      <c r="O87" s="283">
        <v>42</v>
      </c>
      <c r="P87" s="281" t="s">
        <v>386</v>
      </c>
      <c r="S87" s="163"/>
      <c r="V87" s="159"/>
    </row>
    <row r="88" spans="2:22" ht="12.75" customHeight="1">
      <c r="D88" s="398" t="s">
        <v>398</v>
      </c>
      <c r="E88" s="399">
        <v>0.05</v>
      </c>
      <c r="F88" s="4">
        <f t="shared" ref="F88:F89" si="31">$F$86*E88</f>
        <v>1146444.5497106251</v>
      </c>
      <c r="G88" s="4">
        <f t="shared" si="29"/>
        <v>1083659.6497106252</v>
      </c>
      <c r="H88" s="4">
        <f>H86*E88</f>
        <v>831350.3197106251</v>
      </c>
      <c r="I88" s="4">
        <f t="shared" si="30"/>
        <v>1083659.6497106252</v>
      </c>
      <c r="J88" s="4">
        <f>J86*E88</f>
        <v>1083659.6497106252</v>
      </c>
      <c r="K88" s="397">
        <f>J88/12</f>
        <v>90304.970809218765</v>
      </c>
      <c r="L88" s="425" t="s">
        <v>399</v>
      </c>
      <c r="M88" s="409">
        <v>0</v>
      </c>
      <c r="N88" s="278">
        <v>1659</v>
      </c>
      <c r="O88" s="278">
        <v>1890</v>
      </c>
      <c r="P88" s="281" t="s">
        <v>386</v>
      </c>
      <c r="S88" s="163" t="s">
        <v>400</v>
      </c>
      <c r="V88" s="159"/>
    </row>
    <row r="89" spans="2:22" ht="12.75" customHeight="1">
      <c r="D89" s="398" t="s">
        <v>401</v>
      </c>
      <c r="E89" s="399">
        <v>0.05</v>
      </c>
      <c r="F89" s="4">
        <f t="shared" si="31"/>
        <v>1146444.5497106251</v>
      </c>
      <c r="G89" s="4">
        <f t="shared" si="29"/>
        <v>1083659.6497106252</v>
      </c>
      <c r="H89" s="4">
        <f>H86*E89</f>
        <v>831350.3197106251</v>
      </c>
      <c r="I89" s="4">
        <f t="shared" si="30"/>
        <v>1083659.6497106252</v>
      </c>
      <c r="J89" s="4">
        <f>J86*E89</f>
        <v>1083659.6497106252</v>
      </c>
      <c r="K89" s="397">
        <f>J89/12</f>
        <v>90304.970809218765</v>
      </c>
      <c r="L89" s="425" t="s">
        <v>402</v>
      </c>
      <c r="M89" s="409">
        <v>0</v>
      </c>
      <c r="N89" s="278">
        <v>165</v>
      </c>
      <c r="O89" s="278">
        <v>165</v>
      </c>
      <c r="P89" s="281" t="s">
        <v>386</v>
      </c>
      <c r="Q89" s="412"/>
      <c r="S89" s="163" t="s">
        <v>403</v>
      </c>
      <c r="V89" s="159"/>
    </row>
    <row r="90" spans="2:22" ht="12.75" customHeight="1">
      <c r="J90" t="s">
        <v>225</v>
      </c>
      <c r="K90" s="397">
        <f>SUM(K87:K89)</f>
        <v>1806099.4161843748</v>
      </c>
      <c r="L90" s="426" t="s">
        <v>404</v>
      </c>
      <c r="M90" s="411">
        <v>1616.5531900000001</v>
      </c>
      <c r="N90" s="278">
        <v>208</v>
      </c>
      <c r="O90" s="278">
        <v>1682</v>
      </c>
      <c r="P90" s="281" t="s">
        <v>386</v>
      </c>
      <c r="V90" s="159"/>
    </row>
    <row r="91" spans="2:22" ht="12.75" customHeight="1">
      <c r="D91" s="197"/>
      <c r="O91" s="195"/>
      <c r="V91" s="159"/>
    </row>
    <row r="92" spans="2:22" ht="12.75" customHeight="1">
      <c r="F92" s="213"/>
      <c r="J92" s="196"/>
      <c r="L92" s="427" t="s">
        <v>44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73" t="s">
        <v>405</v>
      </c>
      <c r="D94" s="1071"/>
      <c r="E94" s="1071"/>
      <c r="F94" s="1071"/>
      <c r="G94" s="1071"/>
      <c r="H94" s="1072"/>
      <c r="I94" s="159"/>
      <c r="V94" s="159"/>
    </row>
    <row r="95" spans="2:22" ht="12.75" customHeight="1">
      <c r="C95" s="418" t="s">
        <v>406</v>
      </c>
      <c r="D95" s="419" t="s">
        <v>123</v>
      </c>
      <c r="E95" s="159"/>
      <c r="F95" s="159"/>
      <c r="G95" s="159"/>
      <c r="H95" s="159"/>
      <c r="J95" s="198">
        <f>J10*0.015</f>
        <v>0</v>
      </c>
      <c r="M95" s="266" t="s">
        <v>15</v>
      </c>
      <c r="N95" s="266" t="s">
        <v>3</v>
      </c>
      <c r="O95" s="266" t="s">
        <v>4</v>
      </c>
      <c r="P95" s="266" t="s">
        <v>5</v>
      </c>
      <c r="Q95" s="266" t="s">
        <v>6</v>
      </c>
      <c r="V95" s="159"/>
    </row>
    <row r="96" spans="2:22" ht="12.75" customHeight="1">
      <c r="C96" s="60">
        <v>8600</v>
      </c>
      <c r="D96" s="160" t="s">
        <v>407</v>
      </c>
      <c r="L96" s="424" t="s">
        <v>390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408</v>
      </c>
      <c r="M97" s="62">
        <f>M96*'E-Costos'!C128</f>
        <v>1388447.4194900237</v>
      </c>
      <c r="N97" s="62">
        <f>$N$96*'E-Costos'!$D$128</f>
        <v>1173216.7239891114</v>
      </c>
      <c r="O97" s="62">
        <f>O96*'E-Costos'!E128</f>
        <v>1205403.2074097844</v>
      </c>
      <c r="P97" s="62">
        <f>$P$96*'E-Costos'!$F$128</f>
        <v>1172161.6212416114</v>
      </c>
      <c r="Q97" s="62">
        <f>$P$96*'E-Costos'!$F$128</f>
        <v>1172161.6212416114</v>
      </c>
    </row>
    <row r="98" spans="2:32" ht="12.75" customHeight="1">
      <c r="B98" s="159"/>
      <c r="C98" s="973" t="s">
        <v>409</v>
      </c>
      <c r="D98" s="1071"/>
      <c r="E98" s="1071"/>
      <c r="F98" s="1071"/>
      <c r="G98" s="1071"/>
      <c r="H98" s="1072"/>
      <c r="I98" s="159"/>
      <c r="L98" s="16" t="s">
        <v>410</v>
      </c>
      <c r="M98" s="62"/>
      <c r="N98" s="62">
        <f>M97</f>
        <v>1388447.4194900237</v>
      </c>
      <c r="O98" s="62">
        <f>N97</f>
        <v>1173216.7239891114</v>
      </c>
      <c r="P98" s="62">
        <f t="shared" ref="O98:Q98" si="32">O97</f>
        <v>1205403.2074097844</v>
      </c>
      <c r="Q98" s="62">
        <f t="shared" si="32"/>
        <v>1172161.6212416114</v>
      </c>
    </row>
    <row r="99" spans="2:32" ht="12.75" customHeight="1">
      <c r="C99" s="419" t="s">
        <v>189</v>
      </c>
      <c r="D99" s="419" t="s">
        <v>340</v>
      </c>
      <c r="E99" s="420" t="s">
        <v>123</v>
      </c>
      <c r="F99" s="159"/>
      <c r="G99" s="159"/>
      <c r="H99" s="159"/>
      <c r="L99" s="16" t="s">
        <v>411</v>
      </c>
      <c r="M99" s="62">
        <f>M97-M98</f>
        <v>1388447.4194900237</v>
      </c>
      <c r="N99" s="62">
        <f t="shared" ref="N99:Q99" si="33">N97-N98</f>
        <v>-215230.69550091238</v>
      </c>
      <c r="O99" s="62">
        <f>O97-O98</f>
        <v>32186.483420673059</v>
      </c>
      <c r="P99" s="62">
        <f t="shared" si="33"/>
        <v>-33241.586168173002</v>
      </c>
      <c r="Q99" s="62">
        <f t="shared" si="33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412</v>
      </c>
      <c r="D103" s="234">
        <v>8.0000000000000002E-3</v>
      </c>
      <c r="E103" s="16" t="s">
        <v>413</v>
      </c>
      <c r="F103" s="30">
        <v>0.1</v>
      </c>
      <c r="G103" s="16" t="s">
        <v>414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415</v>
      </c>
      <c r="D104" s="30">
        <v>0.01</v>
      </c>
      <c r="E104" s="16" t="s">
        <v>201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416</v>
      </c>
      <c r="D105" s="16"/>
      <c r="E105" s="38">
        <v>113575000</v>
      </c>
      <c r="F105" s="16"/>
      <c r="G105" s="16" t="s">
        <v>189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73" t="s">
        <v>417</v>
      </c>
      <c r="D107" s="1071"/>
      <c r="E107" s="1071"/>
      <c r="F107" s="1071"/>
      <c r="G107" s="1071"/>
      <c r="H107" s="1072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19" t="s">
        <v>339</v>
      </c>
      <c r="D108" s="419" t="s">
        <v>340</v>
      </c>
      <c r="E108" s="420" t="s">
        <v>123</v>
      </c>
      <c r="F108" s="179"/>
      <c r="G108" s="179"/>
      <c r="H108" s="179"/>
    </row>
    <row r="109" spans="2:32" ht="12.75" customHeight="1">
      <c r="C109" s="181">
        <f>'CA Inv AF y Am'!D64</f>
        <v>1022210</v>
      </c>
      <c r="D109" s="243">
        <f>C109</f>
        <v>1022210</v>
      </c>
      <c r="E109" s="162" t="s">
        <v>418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419</v>
      </c>
      <c r="D124" s="4" t="s">
        <v>420</v>
      </c>
    </row>
    <row r="125" spans="3:5" ht="12.75" customHeight="1">
      <c r="C125" s="237" t="s">
        <v>421</v>
      </c>
      <c r="D125" s="207">
        <f>209100</f>
        <v>209100</v>
      </c>
      <c r="E125" s="176" t="s">
        <v>422</v>
      </c>
    </row>
    <row r="126" spans="3:5" ht="12.75" customHeight="1">
      <c r="C126" s="4" t="s">
        <v>367</v>
      </c>
      <c r="D126" s="174">
        <f>'InfoInicial-CálcAux'!L17</f>
        <v>1659000</v>
      </c>
      <c r="E126" s="16" t="s">
        <v>21</v>
      </c>
    </row>
    <row r="127" spans="3:5" ht="12.75" customHeight="1">
      <c r="C127" s="4" t="s">
        <v>369</v>
      </c>
      <c r="D127" s="207">
        <v>42300</v>
      </c>
      <c r="E127" s="151" t="s">
        <v>21</v>
      </c>
    </row>
    <row r="128" spans="3:5" ht="12.75" customHeight="1">
      <c r="C128" s="4" t="s">
        <v>370</v>
      </c>
      <c r="D128" s="207">
        <f>'InfoInicial-CálcAux'!M17</f>
        <v>1890000</v>
      </c>
      <c r="E128" s="16" t="s">
        <v>21</v>
      </c>
    </row>
    <row r="129" spans="3:7" ht="12.75" customHeight="1">
      <c r="C129" s="164" t="s">
        <v>423</v>
      </c>
      <c r="D129" s="176">
        <f>'CA Inv AT'!B2</f>
        <v>234</v>
      </c>
      <c r="E129" s="163" t="s">
        <v>235</v>
      </c>
    </row>
    <row r="130" spans="3:7" ht="12.75" customHeight="1">
      <c r="D130" s="159"/>
    </row>
    <row r="131" spans="3:7" ht="12.75" customHeight="1">
      <c r="C131" s="65" t="s">
        <v>424</v>
      </c>
      <c r="D131" s="210">
        <f>D126*D129</f>
        <v>388206000</v>
      </c>
    </row>
    <row r="132" spans="3:7" ht="12.75" customHeight="1">
      <c r="C132" s="209" t="s">
        <v>425</v>
      </c>
      <c r="D132" s="210">
        <f>D127*D129</f>
        <v>9898200</v>
      </c>
      <c r="E132" s="159"/>
    </row>
    <row r="133" spans="3:7" ht="12.75" customHeight="1">
      <c r="C133" s="65" t="s">
        <v>426</v>
      </c>
      <c r="D133" s="210">
        <f>D128*D129</f>
        <v>442260000</v>
      </c>
    </row>
    <row r="134" spans="3:7" ht="12.75" customHeight="1"/>
    <row r="135" spans="3:7" ht="12.75" customHeight="1"/>
    <row r="136" spans="3:7" ht="12.75" customHeight="1">
      <c r="C136" s="66" t="s">
        <v>427</v>
      </c>
    </row>
    <row r="137" spans="3:7" ht="12.75" customHeight="1">
      <c r="C137" s="4" t="s">
        <v>428</v>
      </c>
      <c r="D137" s="200">
        <f>D140/'InfoInicial-CálcAux'!M14</f>
        <v>7.3763788359788363E-2</v>
      </c>
      <c r="F137" s="67" t="s">
        <v>2</v>
      </c>
    </row>
    <row r="138" spans="3:7" ht="12.75" customHeight="1">
      <c r="C138" s="4" t="s">
        <v>429</v>
      </c>
      <c r="D138" s="201">
        <f>E28</f>
        <v>139413.56</v>
      </c>
      <c r="F138" s="16" t="s">
        <v>430</v>
      </c>
      <c r="G138" s="201">
        <f>D140</f>
        <v>139413.56</v>
      </c>
    </row>
    <row r="139" spans="3:7" ht="12.75" customHeight="1">
      <c r="C139" s="65" t="s">
        <v>431</v>
      </c>
      <c r="D139" s="201">
        <f>D138</f>
        <v>139413.56</v>
      </c>
      <c r="F139" s="16" t="s">
        <v>432</v>
      </c>
      <c r="G139" s="200">
        <f>'InfoInicial-CálcAux'!L14*D137</f>
        <v>119276.04577777778</v>
      </c>
    </row>
    <row r="140" spans="3:7" ht="12.75" customHeight="1">
      <c r="C140" s="65" t="s">
        <v>433</v>
      </c>
      <c r="D140" s="201">
        <f>D139</f>
        <v>139413.56</v>
      </c>
      <c r="E140" s="4" t="s">
        <v>224</v>
      </c>
      <c r="F140" s="16" t="s">
        <v>434</v>
      </c>
      <c r="G140" s="200">
        <f>'InfoInicial-CálcAux'!L13*D137/3</f>
        <v>911.19975013288195</v>
      </c>
    </row>
    <row r="141" spans="3:7" ht="12.75" customHeight="1">
      <c r="C141" s="65" t="s">
        <v>435</v>
      </c>
      <c r="D141" s="202">
        <f>D137*'InfoInicial-CálcAux'!L16</f>
        <v>3098.0791111111112</v>
      </c>
      <c r="E141" s="4">
        <f>D140/D140</f>
        <v>1</v>
      </c>
      <c r="F141" s="40" t="s">
        <v>436</v>
      </c>
      <c r="G141" s="200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437</v>
      </c>
      <c r="D145" s="164" t="s">
        <v>438</v>
      </c>
      <c r="E145" s="68" t="s">
        <v>439</v>
      </c>
      <c r="F145" s="4" t="s">
        <v>440</v>
      </c>
      <c r="G145" s="4"/>
    </row>
    <row r="146" spans="3:7" ht="12.75" customHeight="1">
      <c r="C146" s="164" t="s">
        <v>441</v>
      </c>
      <c r="D146" s="211">
        <f>I25-G28</f>
        <v>538974.14999999991</v>
      </c>
      <c r="E146" s="211">
        <f>D146/'InfoInicial-CálcAux'!L14</f>
        <v>0.33331734693877546</v>
      </c>
      <c r="F146" s="212">
        <f>E146*'InfoInicial-CálcAux'!L16</f>
        <v>13999.328571428568</v>
      </c>
      <c r="G146" s="4"/>
    </row>
    <row r="147" spans="3:7" ht="12.75" customHeight="1">
      <c r="C147" s="164" t="s">
        <v>442</v>
      </c>
      <c r="D147" s="211">
        <f>D146</f>
        <v>538974.14999999991</v>
      </c>
      <c r="E147" s="211">
        <f>D147/'InfoInicial-CálcAux'!M14</f>
        <v>0.28517150793650786</v>
      </c>
      <c r="F147" s="212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443</v>
      </c>
      <c r="D149" s="4" t="s">
        <v>438</v>
      </c>
      <c r="E149" s="68" t="s">
        <v>439</v>
      </c>
      <c r="F149" s="4" t="s">
        <v>440</v>
      </c>
    </row>
    <row r="150" spans="3:7" ht="12.75" customHeight="1">
      <c r="C150" s="4" t="s">
        <v>441</v>
      </c>
      <c r="D150" s="214">
        <f>F87</f>
        <v>20636001.894791253</v>
      </c>
      <c r="E150" s="214">
        <f>D150/'InfoInicial-CálcAux'!L14</f>
        <v>12.761905933698982</v>
      </c>
      <c r="F150" s="214">
        <f>E150*'InfoInicial-CálcAux'!L16</f>
        <v>536000.04921535728</v>
      </c>
    </row>
    <row r="151" spans="3:7" ht="12.75" customHeight="1">
      <c r="C151" s="4" t="s">
        <v>442</v>
      </c>
      <c r="D151" s="214">
        <f>G87</f>
        <v>19505873.69479125</v>
      </c>
      <c r="E151" s="214">
        <f>D151/'InfoInicial-CálcAux'!M14</f>
        <v>10.320568092482143</v>
      </c>
      <c r="F151" s="214">
        <f>E151*'InfoInicial-CálcAux'!M16</f>
        <v>433463.85988424998</v>
      </c>
    </row>
    <row r="152" spans="3:7" ht="12.75" customHeight="1"/>
    <row r="153" spans="3:7" ht="12.75" customHeight="1">
      <c r="C153" s="40" t="s">
        <v>436</v>
      </c>
      <c r="D153" s="214">
        <f>F86-(D154*E150)-('InfoInicial-CálcAux'!L13*'CA COSTOS'!E151/3)</f>
        <v>2165399.7272481439</v>
      </c>
    </row>
    <row r="154" spans="3:7" ht="12.75" customHeight="1">
      <c r="C154" s="16" t="s">
        <v>444</v>
      </c>
      <c r="D154" s="215">
        <f>'InfoInicial-CálcAux'!L14</f>
        <v>1617000</v>
      </c>
    </row>
    <row r="155" spans="3:7" ht="12.75" customHeight="1">
      <c r="C155" s="16" t="s">
        <v>445</v>
      </c>
      <c r="D155" s="215">
        <f>'InfoInicial-CálcAux'!M16</f>
        <v>42000</v>
      </c>
    </row>
    <row r="156" spans="3:7" ht="12.75" customHeight="1"/>
    <row r="157" spans="3:7" ht="12.75" customHeight="1">
      <c r="C157" s="66" t="s">
        <v>446</v>
      </c>
      <c r="D157" s="4" t="s">
        <v>438</v>
      </c>
      <c r="E157" s="68" t="s">
        <v>439</v>
      </c>
      <c r="F157" s="4" t="s">
        <v>440</v>
      </c>
    </row>
    <row r="158" spans="3:7" ht="12.75" customHeight="1">
      <c r="C158" s="4" t="s">
        <v>441</v>
      </c>
      <c r="D158" s="214">
        <f>G55</f>
        <v>3842538.0273791989</v>
      </c>
      <c r="E158" s="214">
        <f>D158/'InfoInicial-CálcAux'!L14</f>
        <v>2.3763376792697581</v>
      </c>
      <c r="F158" s="214">
        <f>E158*'InfoInicial-CálcAux'!L16</f>
        <v>99806.182529329846</v>
      </c>
    </row>
    <row r="159" spans="3:7" ht="12.75" customHeight="1">
      <c r="C159" s="4" t="s">
        <v>442</v>
      </c>
      <c r="D159" s="214">
        <f>D158</f>
        <v>3842538.0273791989</v>
      </c>
      <c r="E159" s="214">
        <f>D159/'InfoInicial-CálcAux'!M14</f>
        <v>2.0330889033752375</v>
      </c>
      <c r="F159" s="214">
        <f>E159*'InfoInicial-CálcAux'!M16</f>
        <v>85389.733941759972</v>
      </c>
    </row>
    <row r="160" spans="3:7" ht="12.75" customHeight="1"/>
    <row r="161" spans="3:9" ht="12.75" customHeight="1">
      <c r="C161" s="65" t="s">
        <v>436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996" t="s">
        <v>447</v>
      </c>
      <c r="D163" s="1092"/>
      <c r="E163" s="1092"/>
      <c r="F163" s="1092"/>
      <c r="G163" s="1092"/>
      <c r="H163" s="1093"/>
    </row>
    <row r="164" spans="3:9" ht="12.75" customHeight="1">
      <c r="C164" s="6" t="s">
        <v>448</v>
      </c>
      <c r="D164" s="63" t="s">
        <v>441</v>
      </c>
      <c r="E164" s="63" t="s">
        <v>449</v>
      </c>
      <c r="F164" s="63" t="s">
        <v>450</v>
      </c>
      <c r="G164" s="63" t="s">
        <v>451</v>
      </c>
      <c r="H164" s="63" t="s">
        <v>452</v>
      </c>
    </row>
    <row r="165" spans="3:9" ht="12.75" customHeight="1">
      <c r="C165" s="6" t="s">
        <v>453</v>
      </c>
      <c r="D165" s="69">
        <f>(('E-Costos'!C7-'E-Costos'!C33-'E-Costos'!H33)/'InfoInicial-CálcAux'!L14)*'InfoInicial-CálcAux'!L13</f>
        <v>26270163.504211109</v>
      </c>
      <c r="E165" s="69">
        <f>('E-Costos'!D7-'E-Costos'!D33)*'InfoInicial-CálcAux'!M13/'InfoInicial-CálcAux'!M14</f>
        <v>21793548.734562259</v>
      </c>
      <c r="F165" s="69">
        <f>('E-Costos'!E7-'E-Costos'!E33)*'InfoInicial-CálcAux'!M13/'InfoInicial-CálcAux'!M14</f>
        <v>15197226.386856262</v>
      </c>
      <c r="G165" s="69">
        <f>('E-Costos'!F7-'E-Costos'!F33)*'InfoInicial-CálcAux'!M13/'InfoInicial-CálcAux'!M14</f>
        <v>21793548.734562259</v>
      </c>
      <c r="H165" s="69">
        <f>G165</f>
        <v>21793548.734562259</v>
      </c>
      <c r="I165" s="70"/>
    </row>
    <row r="166" spans="3:9" ht="12.75" customHeight="1">
      <c r="C166" s="152" t="s">
        <v>454</v>
      </c>
      <c r="D166" s="71">
        <f>('E-Costos'!C8-'E-Costos'!C34-'E-Costos'!H34)*'InfoInicial-CálcAux'!L13/'InfoInicial-CálcAux'!L14</f>
        <v>74300.8142138619</v>
      </c>
      <c r="E166" s="69">
        <f>('E-Costos'!D8-'E-Costos'!D34)*'InfoInicial-CálcAux'!M13/'InfoInicial-CálcAux'!M14</f>
        <v>63945.46008327794</v>
      </c>
      <c r="F166" s="69">
        <f t="shared" ref="F166:H166" si="34">E166</f>
        <v>63945.46008327794</v>
      </c>
      <c r="G166" s="69">
        <f t="shared" si="34"/>
        <v>63945.46008327794</v>
      </c>
      <c r="H166" s="69">
        <f t="shared" si="34"/>
        <v>63945.46008327794</v>
      </c>
      <c r="I166" s="72"/>
    </row>
    <row r="167" spans="3:9" ht="12.75" customHeight="1">
      <c r="C167" s="73" t="s">
        <v>455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456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457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458</v>
      </c>
      <c r="D170" s="71">
        <f>('E-Costos'!C12-'E-Costos'!C38-'E-Costos'!H38)*'InfoInicial-CálcAux'!L13/'InfoInicial-CálcAux'!L14</f>
        <v>411029.8475034851</v>
      </c>
      <c r="E170" s="71">
        <f>('E-Costos'!D12-'E-Costos'!D38)*'InfoInicial-CálcAux'!M13/'InfoInicial-CálcAux'!M14</f>
        <v>373968.81999549351</v>
      </c>
      <c r="F170" s="71">
        <f t="shared" ref="F170:H170" si="35">E170</f>
        <v>373968.81999549351</v>
      </c>
      <c r="G170" s="71">
        <f t="shared" si="35"/>
        <v>373968.81999549351</v>
      </c>
      <c r="H170" s="71">
        <f t="shared" si="35"/>
        <v>373968.81999549351</v>
      </c>
      <c r="I170" s="70"/>
    </row>
    <row r="171" spans="3:9" ht="12.75" customHeight="1">
      <c r="C171" s="6" t="s">
        <v>459</v>
      </c>
      <c r="D171" s="71">
        <f>('E-Costos'!C13-'E-Costos'!C39-'E-Costos'!H39)*'InfoInicial-CálcAux'!M13/'InfoInicial-CálcAux'!M14</f>
        <v>151022.17528680715</v>
      </c>
      <c r="E171" s="71">
        <f>('E-Costos'!D13-'E-Costos'!D39)*'InfoInicial-CálcAux'!M13/'InfoInicial-CálcAux'!M14</f>
        <v>151038.38783494517</v>
      </c>
      <c r="F171" s="71">
        <f t="shared" ref="F171:H171" si="36">E171</f>
        <v>151038.38783494517</v>
      </c>
      <c r="G171" s="71">
        <f t="shared" si="36"/>
        <v>151038.38783494517</v>
      </c>
      <c r="H171" s="71">
        <f t="shared" si="36"/>
        <v>151038.38783494517</v>
      </c>
      <c r="I171" s="75"/>
    </row>
    <row r="172" spans="3:9" ht="12.75" customHeight="1">
      <c r="C172" s="6" t="s">
        <v>460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461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462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463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464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465</v>
      </c>
      <c r="D179" t="s">
        <v>466</v>
      </c>
      <c r="E179" t="s">
        <v>100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4">
    <mergeCell ref="O25:P25"/>
    <mergeCell ref="U25:U28"/>
    <mergeCell ref="V25:V28"/>
    <mergeCell ref="O26:P26"/>
    <mergeCell ref="O27:P27"/>
    <mergeCell ref="O28:P28"/>
    <mergeCell ref="O14:P14"/>
    <mergeCell ref="O15:P15"/>
    <mergeCell ref="U15:U24"/>
    <mergeCell ref="V15:V24"/>
    <mergeCell ref="O16:P16"/>
    <mergeCell ref="O17:P17"/>
    <mergeCell ref="O24:P24"/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  <mergeCell ref="C163:H163"/>
    <mergeCell ref="C76:H76"/>
    <mergeCell ref="C94:H94"/>
    <mergeCell ref="C98:H98"/>
    <mergeCell ref="C107:H107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  <hyperlink ref="X26" r:id="rId21" xr:uid="{2F45CEA9-6583-4132-B2F3-7076CD82295A}"/>
    <hyperlink ref="X24" r:id="rId22" xr:uid="{5A8C69E6-D917-43B3-8602-DDDE5A530BC6}"/>
    <hyperlink ref="X27" r:id="rId23" xr:uid="{B5797BDF-3674-4361-8F8B-EBEECB3446CD}"/>
    <hyperlink ref="X25" r:id="rId24" xr:uid="{21334C01-1E94-45F5-85FB-10C50F680C07}"/>
    <hyperlink ref="X15" r:id="rId25" xr:uid="{796FE06A-B0E7-4483-83A2-107A0884974A}"/>
    <hyperlink ref="X16" r:id="rId26" xr:uid="{BB2488B8-993D-4112-9D62-D4CB185F33D3}"/>
    <hyperlink ref="X19" r:id="rId27" xr:uid="{29189761-B697-4312-BD9F-6F4DE1C6FF1E}"/>
    <hyperlink ref="X21" r:id="rId28" xr:uid="{E1928C0D-53CE-4835-AE31-5CA8E10CD109}"/>
    <hyperlink ref="X17" r:id="rId29" xr:uid="{2EE236C8-85FC-499F-BB68-5BAEE81766E6}"/>
    <hyperlink ref="X18" r:id="rId30" xr:uid="{4556D2F9-C115-4082-85AE-A73BD65D6DCB}"/>
    <hyperlink ref="X20" r:id="rId31" xr:uid="{4D6017DE-409D-4DD8-A60F-F78E64D5A3B9}"/>
    <hyperlink ref="X22" r:id="rId32" xr:uid="{42C04B6A-D22F-4CDB-B349-E1D1FEF7BA02}"/>
    <hyperlink ref="X23" r:id="rId33" xr:uid="{018838B5-0CBD-411F-9E91-D1658AAABA2C}"/>
  </hyperlinks>
  <pageMargins left="0.7" right="0.7" top="0.75" bottom="0.75" header="0" footer="0"/>
  <pageSetup orientation="landscape"/>
  <drawing r:id="rId34"/>
  <legacyDrawing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showGridLines="0" workbookViewId="0">
      <selection activeCell="H31" sqref="H31"/>
    </sheetView>
  </sheetViews>
  <sheetFormatPr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467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4" t="s">
        <v>468</v>
      </c>
      <c r="B3" s="1016" t="s">
        <v>469</v>
      </c>
      <c r="C3" s="1094"/>
      <c r="D3" s="1016" t="s">
        <v>470</v>
      </c>
      <c r="E3" s="1095"/>
      <c r="F3" s="445" t="s">
        <v>471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46"/>
      <c r="B4" s="430" t="s">
        <v>14</v>
      </c>
      <c r="C4" s="430" t="s">
        <v>2</v>
      </c>
      <c r="D4" s="430" t="s">
        <v>14</v>
      </c>
      <c r="E4" s="431" t="s">
        <v>2</v>
      </c>
      <c r="F4" s="43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47"/>
      <c r="C5" s="447"/>
      <c r="D5" s="447"/>
      <c r="E5" s="447"/>
      <c r="F5" s="44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8" t="s">
        <v>472</v>
      </c>
      <c r="B6" s="449" t="s">
        <v>201</v>
      </c>
      <c r="C6" s="450"/>
      <c r="D6" s="450"/>
      <c r="E6" s="450"/>
      <c r="F6" s="4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1" t="s">
        <v>473</v>
      </c>
      <c r="B7" s="452" t="s">
        <v>474</v>
      </c>
      <c r="C7" s="453">
        <v>0</v>
      </c>
      <c r="D7" s="453">
        <v>0</v>
      </c>
      <c r="E7" s="453">
        <v>0</v>
      </c>
      <c r="F7" s="4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1" t="s">
        <v>110</v>
      </c>
      <c r="B8" s="454">
        <f>'CA Inv AF y Am'!E6</f>
        <v>111650000</v>
      </c>
      <c r="C8" s="453">
        <f>'CA Inv AF y Am'!E6</f>
        <v>111650000</v>
      </c>
      <c r="D8" s="453">
        <v>0</v>
      </c>
      <c r="E8" s="453">
        <v>0</v>
      </c>
      <c r="F8" s="45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1" t="s">
        <v>475</v>
      </c>
      <c r="B9" s="455">
        <f>'CA Inv AF y Am'!E79</f>
        <v>26358260</v>
      </c>
      <c r="C9" s="453">
        <v>0</v>
      </c>
      <c r="D9" s="453">
        <v>0</v>
      </c>
      <c r="E9" s="453">
        <v>0</v>
      </c>
      <c r="F9" s="456" t="s">
        <v>476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1" t="s">
        <v>477</v>
      </c>
      <c r="B10" s="452" t="s">
        <v>201</v>
      </c>
      <c r="C10" s="453"/>
      <c r="D10" s="453"/>
      <c r="E10" s="453"/>
      <c r="F10" s="450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1" t="s">
        <v>478</v>
      </c>
      <c r="B11" s="455">
        <f>'CA Inv AF y Am'!E46</f>
        <v>16385145</v>
      </c>
      <c r="C11" s="453">
        <v>0</v>
      </c>
      <c r="D11" s="453">
        <v>0</v>
      </c>
      <c r="E11" s="453">
        <v>0</v>
      </c>
      <c r="F11" s="45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1" t="s">
        <v>479</v>
      </c>
      <c r="B12" s="455">
        <f>'CA Inv AF y Am'!E49</f>
        <v>3131782.5</v>
      </c>
      <c r="C12" s="453"/>
      <c r="D12" s="453"/>
      <c r="E12" s="453"/>
      <c r="F12" s="45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1" t="s">
        <v>480</v>
      </c>
      <c r="B13" s="455">
        <f>B11*0.1</f>
        <v>1638514.5</v>
      </c>
      <c r="C13" s="453">
        <v>0</v>
      </c>
      <c r="D13" s="453">
        <v>0</v>
      </c>
      <c r="E13" s="453">
        <v>0</v>
      </c>
      <c r="F13" s="456" t="s">
        <v>481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1" t="s">
        <v>482</v>
      </c>
      <c r="B14" s="455">
        <f>SUM(B11:B12)*0.15</f>
        <v>2927539.125</v>
      </c>
      <c r="C14" s="453"/>
      <c r="D14" s="453"/>
      <c r="E14" s="453"/>
      <c r="F14" s="456" t="s">
        <v>483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1" t="s">
        <v>484</v>
      </c>
      <c r="B15" s="452" t="s">
        <v>474</v>
      </c>
      <c r="C15" s="453">
        <v>0</v>
      </c>
      <c r="D15" s="453">
        <v>0</v>
      </c>
      <c r="E15" s="453">
        <v>0</v>
      </c>
      <c r="F15" s="45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1" t="s">
        <v>485</v>
      </c>
      <c r="B16" s="455">
        <f>'CA Inv AF y Am'!E37</f>
        <v>6671829</v>
      </c>
      <c r="C16" s="453"/>
      <c r="D16" s="453"/>
      <c r="E16" s="453"/>
      <c r="F16" s="45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1" t="s">
        <v>486</v>
      </c>
      <c r="B17" s="455">
        <f>'CA Inv AF y Am'!E6*0.01</f>
        <v>1116500</v>
      </c>
      <c r="C17" s="453"/>
      <c r="D17" s="453"/>
      <c r="E17" s="453"/>
      <c r="F17" s="456" t="s">
        <v>487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1" t="s">
        <v>488</v>
      </c>
      <c r="B18" s="452" t="s">
        <v>474</v>
      </c>
      <c r="C18" s="453">
        <v>0</v>
      </c>
      <c r="D18" s="453">
        <v>0</v>
      </c>
      <c r="E18" s="453">
        <v>0</v>
      </c>
      <c r="F18" s="45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1" t="s">
        <v>77</v>
      </c>
      <c r="B19" s="455">
        <f>SUM(B7:B18)*InfoInicial!B14</f>
        <v>8493978.5062499996</v>
      </c>
      <c r="C19" s="453">
        <v>0</v>
      </c>
      <c r="D19" s="453">
        <v>0</v>
      </c>
      <c r="E19" s="453">
        <v>0</v>
      </c>
      <c r="F19" s="45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1" t="s">
        <v>201</v>
      </c>
      <c r="B20" s="452" t="s">
        <v>201</v>
      </c>
      <c r="C20" s="453"/>
      <c r="D20" s="453"/>
      <c r="E20" s="453"/>
      <c r="F20" s="45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57" t="s">
        <v>489</v>
      </c>
      <c r="B21" s="455">
        <f>SUM(B7:B19)</f>
        <v>178373548.63124999</v>
      </c>
      <c r="C21" s="453">
        <v>0</v>
      </c>
      <c r="D21" s="453">
        <v>0</v>
      </c>
      <c r="E21" s="453">
        <v>0</v>
      </c>
      <c r="F21" s="45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1" t="s">
        <v>201</v>
      </c>
      <c r="B22" s="452" t="s">
        <v>201</v>
      </c>
      <c r="C22" s="453"/>
      <c r="D22" s="453"/>
      <c r="E22" s="453"/>
      <c r="F22" s="45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8" t="s">
        <v>490</v>
      </c>
      <c r="B23" s="449" t="s">
        <v>201</v>
      </c>
      <c r="C23" s="453"/>
      <c r="D23" s="453"/>
      <c r="E23" s="453"/>
      <c r="F23" s="45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1" t="s">
        <v>491</v>
      </c>
      <c r="B24" s="455">
        <v>1620000</v>
      </c>
      <c r="C24" s="453">
        <v>0</v>
      </c>
      <c r="D24" s="453"/>
      <c r="E24" s="453"/>
      <c r="F24" s="45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1" t="s">
        <v>188</v>
      </c>
      <c r="B25" s="455">
        <f>'CA Inv AF y Am'!D55</f>
        <v>44640</v>
      </c>
      <c r="C25" s="453">
        <v>0</v>
      </c>
      <c r="D25" s="453"/>
      <c r="E25" s="453"/>
      <c r="F25" s="458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1" t="s">
        <v>191</v>
      </c>
      <c r="B26" s="455">
        <f>'CA Inv AF y Am'!D59</f>
        <v>373000</v>
      </c>
      <c r="C26" s="453">
        <v>0</v>
      </c>
      <c r="D26" s="453"/>
      <c r="E26" s="453"/>
      <c r="F26" s="45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1" t="s">
        <v>492</v>
      </c>
      <c r="B27" s="452" t="s">
        <v>474</v>
      </c>
      <c r="C27" s="455">
        <f>'E-Costos'!H45</f>
        <v>53670595.525759727</v>
      </c>
      <c r="D27" s="453"/>
      <c r="E27" s="453"/>
      <c r="F27" s="45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1" t="s">
        <v>206</v>
      </c>
      <c r="B28" s="455">
        <f>'CA Inv AF y Am'!D68</f>
        <v>56263</v>
      </c>
      <c r="C28" s="453">
        <v>0</v>
      </c>
      <c r="D28" s="453">
        <v>0</v>
      </c>
      <c r="E28" s="453">
        <v>0</v>
      </c>
      <c r="F28" s="45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1" t="s">
        <v>197</v>
      </c>
      <c r="B29" s="452" t="s">
        <v>474</v>
      </c>
      <c r="C29" s="453">
        <f>'CA Inv AF y Am'!D64</f>
        <v>1022210</v>
      </c>
      <c r="D29" s="453"/>
      <c r="E29" s="453"/>
      <c r="F29" s="456" t="s">
        <v>493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1" t="s">
        <v>494</v>
      </c>
      <c r="B30" s="452" t="s">
        <v>474</v>
      </c>
      <c r="C30" s="453">
        <v>0</v>
      </c>
      <c r="D30" s="453">
        <v>0</v>
      </c>
      <c r="E30" s="453">
        <v>0</v>
      </c>
      <c r="F30" s="45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1" t="s">
        <v>77</v>
      </c>
      <c r="B31" s="455">
        <f>SUM(B24:B30)*InfoInicial!B14</f>
        <v>104695.15000000001</v>
      </c>
      <c r="C31" s="455">
        <f>SUM(C24:C30)*InfoInicial!B14</f>
        <v>2734640.2762879864</v>
      </c>
      <c r="D31" s="453"/>
      <c r="E31" s="453"/>
      <c r="F31" s="45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"/>
      <c r="B32" s="459" t="s">
        <v>495</v>
      </c>
      <c r="C32" s="453"/>
      <c r="D32" s="453"/>
      <c r="E32" s="453"/>
      <c r="F32" s="45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2" t="s">
        <v>496</v>
      </c>
      <c r="B33" s="453">
        <f>SUM(B24:B31)+B8</f>
        <v>113848598.15000001</v>
      </c>
      <c r="C33" s="453">
        <f>SUM(C24:C31) +C8</f>
        <v>169077445.80204773</v>
      </c>
      <c r="D33" s="453"/>
      <c r="E33" s="453"/>
      <c r="F33" s="45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"/>
      <c r="B34" s="453"/>
      <c r="C34" s="453"/>
      <c r="D34" s="453"/>
      <c r="E34" s="453"/>
      <c r="F34" s="45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2" t="s">
        <v>497</v>
      </c>
      <c r="B35" s="453">
        <f>B21+B33</f>
        <v>292222146.78125</v>
      </c>
      <c r="C35" s="453">
        <f>C21+C33</f>
        <v>169077445.80204773</v>
      </c>
      <c r="D35" s="453">
        <f t="shared" ref="D35" si="0">D21+D33</f>
        <v>0</v>
      </c>
      <c r="E35" s="453"/>
      <c r="F35" s="4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498</v>
      </c>
      <c r="B36" s="453">
        <f>(B35)*InfoInicial!B3</f>
        <v>61366650.824062496</v>
      </c>
      <c r="C36" s="453">
        <f>InfoInicial!B3*C35</f>
        <v>35506263.618430018</v>
      </c>
      <c r="D36" s="453"/>
      <c r="E36" s="453"/>
      <c r="F36" s="45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3"/>
      <c r="B37" s="453"/>
      <c r="C37" s="453"/>
      <c r="D37" s="453"/>
      <c r="E37" s="453"/>
      <c r="F37" s="4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60" t="s">
        <v>499</v>
      </c>
      <c r="B38" s="461">
        <f>B35+B36</f>
        <v>353588797.60531247</v>
      </c>
      <c r="C38" s="461">
        <f>C35+C36</f>
        <v>204583709.42047775</v>
      </c>
      <c r="D38" s="461">
        <f t="shared" ref="D38" si="1">D35+D36</f>
        <v>0</v>
      </c>
      <c r="E38" s="461"/>
      <c r="F38" s="46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4" t="s">
        <v>500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62" t="s">
        <v>501</v>
      </c>
      <c r="B41" s="463" t="s">
        <v>502</v>
      </c>
      <c r="C41" s="463" t="s">
        <v>503</v>
      </c>
      <c r="D41" s="1016" t="s">
        <v>504</v>
      </c>
      <c r="E41" s="1096"/>
      <c r="F41" s="1094"/>
      <c r="G41" s="464" t="s">
        <v>505</v>
      </c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"/>
      <c r="B42" s="430" t="s">
        <v>506</v>
      </c>
      <c r="C42" s="430"/>
      <c r="D42" s="430" t="s">
        <v>507</v>
      </c>
      <c r="E42" s="430" t="s">
        <v>508</v>
      </c>
      <c r="F42" s="430"/>
      <c r="G42" s="465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66" t="s">
        <v>509</v>
      </c>
      <c r="B43" s="467" t="s">
        <v>201</v>
      </c>
      <c r="C43" s="467" t="s">
        <v>201</v>
      </c>
      <c r="D43" s="467" t="s">
        <v>201</v>
      </c>
      <c r="E43" s="467" t="s">
        <v>201</v>
      </c>
      <c r="F43" s="467" t="s">
        <v>201</v>
      </c>
      <c r="G43" s="468" t="s">
        <v>201</v>
      </c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57" t="s">
        <v>201</v>
      </c>
      <c r="B44" s="452" t="s">
        <v>201</v>
      </c>
      <c r="C44" s="452" t="s">
        <v>201</v>
      </c>
      <c r="D44" s="452" t="s">
        <v>201</v>
      </c>
      <c r="E44" s="452" t="s">
        <v>201</v>
      </c>
      <c r="F44" s="452" t="s">
        <v>201</v>
      </c>
      <c r="G44" s="469" t="s">
        <v>201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1" t="s">
        <v>473</v>
      </c>
      <c r="B45" s="452" t="s">
        <v>474</v>
      </c>
      <c r="C45" s="470">
        <f>1/InfoInicial!B8</f>
        <v>3.3333333333333333E-2</v>
      </c>
      <c r="D45" s="452" t="s">
        <v>510</v>
      </c>
      <c r="E45" s="452" t="s">
        <v>511</v>
      </c>
      <c r="F45" s="452" t="s">
        <v>201</v>
      </c>
      <c r="G45" s="469" t="s">
        <v>474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1" t="s">
        <v>110</v>
      </c>
      <c r="B46" s="455">
        <f>B8</f>
        <v>111650000</v>
      </c>
      <c r="C46" s="470">
        <f>1/InfoInicial!B8</f>
        <v>3.3333333333333333E-2</v>
      </c>
      <c r="D46" s="455">
        <f>B46*C46</f>
        <v>3721666.6666666665</v>
      </c>
      <c r="E46" s="455">
        <f>B46*C46</f>
        <v>3721666.6666666665</v>
      </c>
      <c r="F46" s="452" t="s">
        <v>201</v>
      </c>
      <c r="G46" s="471">
        <f>B46-(3*D46+2*E46)</f>
        <v>93041666.666666672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1" t="s">
        <v>475</v>
      </c>
      <c r="B47" s="455">
        <f>B9+B17</f>
        <v>27474760</v>
      </c>
      <c r="C47" s="452">
        <f>1/InfoInicial!B9</f>
        <v>0.1</v>
      </c>
      <c r="D47" s="455">
        <f t="shared" ref="D47:D51" si="2">B47*C47</f>
        <v>2747476</v>
      </c>
      <c r="E47" s="455">
        <f t="shared" ref="E47:E51" si="3">B47*C47</f>
        <v>2747476</v>
      </c>
      <c r="F47" s="452" t="s">
        <v>201</v>
      </c>
      <c r="G47" s="471">
        <f t="shared" ref="G47:G51" si="4">B47-(3*D47+2*E47)</f>
        <v>13737380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1" t="s">
        <v>477</v>
      </c>
      <c r="B48" s="455">
        <f>SUM(B11:B14)</f>
        <v>24082981.125</v>
      </c>
      <c r="C48" s="452">
        <f>1/InfoInicial!B10</f>
        <v>0.1</v>
      </c>
      <c r="D48" s="455">
        <f t="shared" si="2"/>
        <v>2408298.1125000003</v>
      </c>
      <c r="E48" s="455">
        <f t="shared" si="3"/>
        <v>2408298.1125000003</v>
      </c>
      <c r="F48" s="452" t="s">
        <v>201</v>
      </c>
      <c r="G48" s="471">
        <f t="shared" si="4"/>
        <v>12041490.5625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1" t="s">
        <v>484</v>
      </c>
      <c r="B49" s="452" t="s">
        <v>474</v>
      </c>
      <c r="C49" s="452">
        <f>1/InfoInicial!B11</f>
        <v>0.2</v>
      </c>
      <c r="D49" s="452" t="s">
        <v>474</v>
      </c>
      <c r="E49" s="452" t="s">
        <v>474</v>
      </c>
      <c r="F49" s="452" t="s">
        <v>201</v>
      </c>
      <c r="G49" s="452" t="s">
        <v>474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1" t="s">
        <v>118</v>
      </c>
      <c r="B50" s="455">
        <f>B16</f>
        <v>6671829</v>
      </c>
      <c r="C50" s="452">
        <f>1/InfoInicial!B12</f>
        <v>0.2</v>
      </c>
      <c r="D50" s="455">
        <f>B50*C50</f>
        <v>1334365.8</v>
      </c>
      <c r="E50" s="455">
        <f t="shared" si="3"/>
        <v>1334365.8</v>
      </c>
      <c r="F50" s="452" t="s">
        <v>201</v>
      </c>
      <c r="G50" s="471">
        <f t="shared" si="4"/>
        <v>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1" t="s">
        <v>77</v>
      </c>
      <c r="B51" s="455">
        <f>B19</f>
        <v>8493978.5062499996</v>
      </c>
      <c r="C51" s="452">
        <f>1/InfoInicial!B13</f>
        <v>0.2</v>
      </c>
      <c r="D51" s="455">
        <f t="shared" si="2"/>
        <v>1698795.7012499999</v>
      </c>
      <c r="E51" s="455">
        <f t="shared" si="3"/>
        <v>1698795.7012499999</v>
      </c>
      <c r="F51" s="452" t="s">
        <v>201</v>
      </c>
      <c r="G51" s="471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57" t="s">
        <v>512</v>
      </c>
      <c r="B52" s="472">
        <f>SUM(B45:B51)</f>
        <v>178373548.63124999</v>
      </c>
      <c r="C52" s="473" t="s">
        <v>201</v>
      </c>
      <c r="D52" s="472">
        <f>SUM(D45:D51)</f>
        <v>11910602.280416667</v>
      </c>
      <c r="E52" s="472">
        <f>SUM(E45:E51)</f>
        <v>11910602.280416667</v>
      </c>
      <c r="F52" s="473" t="s">
        <v>201</v>
      </c>
      <c r="G52" s="474">
        <f>SUM(G45:G51)</f>
        <v>118820537.22916667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57" t="s">
        <v>201</v>
      </c>
      <c r="B53" s="452" t="s">
        <v>201</v>
      </c>
      <c r="C53" s="452" t="s">
        <v>201</v>
      </c>
      <c r="D53" s="452" t="s">
        <v>201</v>
      </c>
      <c r="E53" s="452" t="s">
        <v>201</v>
      </c>
      <c r="F53" s="452" t="s">
        <v>201</v>
      </c>
      <c r="G53" s="469" t="s">
        <v>201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57" t="s">
        <v>513</v>
      </c>
      <c r="B54" s="455">
        <f>B33+C33</f>
        <v>282926043.95204771</v>
      </c>
      <c r="C54" s="452">
        <f>1/InfoInicial!B13</f>
        <v>0.2</v>
      </c>
      <c r="D54" s="455">
        <f>B54*C54</f>
        <v>56585208.790409543</v>
      </c>
      <c r="E54" s="455">
        <f>B54*C54</f>
        <v>56585208.790409543</v>
      </c>
      <c r="F54" s="452" t="s">
        <v>201</v>
      </c>
      <c r="G54" s="471">
        <f>B54-(D54*3+E54*2)</f>
        <v>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57" t="s">
        <v>201</v>
      </c>
      <c r="B55" s="452" t="s">
        <v>201</v>
      </c>
      <c r="C55" s="452" t="s">
        <v>201</v>
      </c>
      <c r="D55" s="452" t="s">
        <v>201</v>
      </c>
      <c r="E55" s="452" t="s">
        <v>201</v>
      </c>
      <c r="F55" s="452" t="s">
        <v>201</v>
      </c>
      <c r="G55" s="469" t="s">
        <v>201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57" t="s">
        <v>201</v>
      </c>
      <c r="B56" s="452" t="s">
        <v>201</v>
      </c>
      <c r="C56" s="452" t="s">
        <v>201</v>
      </c>
      <c r="D56" s="475" t="s">
        <v>201</v>
      </c>
      <c r="E56" s="452" t="s">
        <v>201</v>
      </c>
      <c r="F56" s="452" t="s">
        <v>201</v>
      </c>
      <c r="G56" s="469" t="s">
        <v>201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76" t="s">
        <v>514</v>
      </c>
      <c r="B57" s="477">
        <f>B52+B54</f>
        <v>461299592.58329773</v>
      </c>
      <c r="C57" s="477"/>
      <c r="D57" s="477">
        <f>D52+D54</f>
        <v>68495811.070826203</v>
      </c>
      <c r="E57" s="477">
        <f>E52+E54</f>
        <v>68495811.070826203</v>
      </c>
      <c r="F57" s="477"/>
      <c r="G57" s="477">
        <f>G52+G54</f>
        <v>118820537.22916667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181"/>
      <c r="E58" s="3"/>
      <c r="F58" s="3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8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1:F41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5"/>
  <sheetViews>
    <sheetView showGridLines="0" topLeftCell="A41" workbookViewId="0">
      <selection activeCell="E106" sqref="E106"/>
    </sheetView>
  </sheetViews>
  <sheetFormatPr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57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6">
      <c r="B4" s="1017" t="s">
        <v>515</v>
      </c>
      <c r="C4" s="1017"/>
      <c r="D4" s="1017"/>
      <c r="E4" s="1017"/>
      <c r="F4" s="1017"/>
      <c r="G4" s="10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78" t="s">
        <v>516</v>
      </c>
      <c r="D5" s="478"/>
      <c r="E5" s="478"/>
      <c r="F5" s="478"/>
      <c r="G5" s="47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448</v>
      </c>
      <c r="C6" s="430" t="s">
        <v>2</v>
      </c>
      <c r="D6" s="430" t="s">
        <v>3</v>
      </c>
      <c r="E6" s="430" t="s">
        <v>4</v>
      </c>
      <c r="F6" s="430" t="s">
        <v>5</v>
      </c>
      <c r="G6" s="431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453</v>
      </c>
      <c r="C7" s="433">
        <f>'CA COSTOS'!I9</f>
        <v>1205088000</v>
      </c>
      <c r="D7" s="433">
        <f>'CA COSTOS'!$J$9</f>
        <v>1121374800</v>
      </c>
      <c r="E7" s="942">
        <f>'CA COSTOS'!$L$9</f>
        <v>784962360</v>
      </c>
      <c r="F7" s="433">
        <f>'CA COSTOS'!$J$9</f>
        <v>1121374800</v>
      </c>
      <c r="G7" s="433">
        <f>'CA COSTOS'!$J$9</f>
        <v>1121374800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454</v>
      </c>
      <c r="C8" s="480">
        <f>'CA COSTOS'!$G$28</f>
        <v>3345925.44</v>
      </c>
      <c r="D8" s="480">
        <f>'CA COSTOS'!$G$28</f>
        <v>3345925.44</v>
      </c>
      <c r="E8" s="943">
        <f>'CA COSTOS'!$T$28</f>
        <v>1672962.72</v>
      </c>
      <c r="F8" s="480">
        <f>'CA COSTOS'!$G$28</f>
        <v>3345925.44</v>
      </c>
      <c r="G8" s="480">
        <f>'CA COSTOS'!$G$28</f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517</v>
      </c>
      <c r="C9" s="433"/>
      <c r="D9" s="433"/>
      <c r="E9" s="433"/>
      <c r="F9" s="433"/>
      <c r="G9" s="48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298</v>
      </c>
      <c r="C10" s="436">
        <f>'E-Inv AF y Am'!D57</f>
        <v>68495811.070826203</v>
      </c>
      <c r="D10" s="436">
        <f>'E-Inv AF y Am'!D57</f>
        <v>68495811.070826203</v>
      </c>
      <c r="E10" s="938">
        <f>'E-Inv AF y Am'!D57</f>
        <v>68495811.070826203</v>
      </c>
      <c r="F10" s="436">
        <f>'E-Inv AF y Am'!E57</f>
        <v>68495811.070826203</v>
      </c>
      <c r="G10" s="437">
        <f>'E-Inv AF y Am'!E57</f>
        <v>68495811.070826203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518</v>
      </c>
      <c r="C11" s="436">
        <f>'CA COSTOS'!$I$25-C8</f>
        <v>538974.14999999991</v>
      </c>
      <c r="D11" s="436">
        <f>'CA COSTOS'!$I$25-D8</f>
        <v>538974.14999999991</v>
      </c>
      <c r="E11" s="944">
        <f>'CA COSTOS'!V29-'E-Costos'!E8</f>
        <v>269487.07499999995</v>
      </c>
      <c r="F11" s="436">
        <f>'CA COSTOS'!$I$25-F8</f>
        <v>538974.14999999991</v>
      </c>
      <c r="G11" s="436">
        <f>'CA COSTOS'!$I$25-G8</f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519</v>
      </c>
      <c r="C12" s="436">
        <f>'CA COSTOS'!F87</f>
        <v>20636001.894791253</v>
      </c>
      <c r="D12" s="436">
        <f>'CA COSTOS'!G87</f>
        <v>19505873.69479125</v>
      </c>
      <c r="E12" s="436">
        <f>'CA COSTOS'!H87</f>
        <v>14964305.75479125</v>
      </c>
      <c r="F12" s="436">
        <f>'CA COSTOS'!I87</f>
        <v>19505873.69479125</v>
      </c>
      <c r="G12" s="436">
        <f>'CA COSTOS'!J87</f>
        <v>19505873.69479125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325</v>
      </c>
      <c r="C13" s="482">
        <f>'CA COSTOS'!$D$69</f>
        <v>7903034.6112981457</v>
      </c>
      <c r="D13" s="482">
        <f>'CA COSTOS'!$D$69</f>
        <v>7903034.6112981457</v>
      </c>
      <c r="E13" s="482">
        <f>'CA COSTOS'!$D$69</f>
        <v>7903034.6112981457</v>
      </c>
      <c r="F13" s="482">
        <f>'CA COSTOS'!$D$69</f>
        <v>7903034.6112981457</v>
      </c>
      <c r="G13" s="482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520</v>
      </c>
      <c r="C14" s="436">
        <v>0</v>
      </c>
      <c r="D14" s="436">
        <v>0</v>
      </c>
      <c r="E14" s="436">
        <v>0</v>
      </c>
      <c r="F14" s="436">
        <v>0</v>
      </c>
      <c r="G14" s="43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405</v>
      </c>
      <c r="C15" s="436">
        <f>'CA COSTOS'!C96*12</f>
        <v>103200</v>
      </c>
      <c r="D15" s="436">
        <f>'CA COSTOS'!C96*12</f>
        <v>103200</v>
      </c>
      <c r="E15" s="436">
        <f>'CA COSTOS'!C96*12</f>
        <v>103200</v>
      </c>
      <c r="F15" s="436">
        <f>'CA COSTOS'!C96*12</f>
        <v>103200</v>
      </c>
      <c r="G15" s="436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409</v>
      </c>
      <c r="C16" s="436">
        <f>'CA COSTOS'!D100</f>
        <v>2453220</v>
      </c>
      <c r="D16" s="436">
        <f>'CA COSTOS'!D100</f>
        <v>2453220</v>
      </c>
      <c r="E16" s="436">
        <f>'CA COSTOS'!D100</f>
        <v>2453220</v>
      </c>
      <c r="F16" s="436">
        <f>'CA COSTOS'!D100</f>
        <v>2453220</v>
      </c>
      <c r="G16" s="436">
        <f>'CA COSTOS'!D100</f>
        <v>2453220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230" t="s">
        <v>366</v>
      </c>
      <c r="C17" s="483">
        <v>0</v>
      </c>
      <c r="D17" s="484">
        <v>0</v>
      </c>
      <c r="E17" s="436">
        <v>0</v>
      </c>
      <c r="F17" s="484">
        <v>0</v>
      </c>
      <c r="G17" s="437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81" t="s">
        <v>521</v>
      </c>
      <c r="C18" s="436">
        <v>0</v>
      </c>
      <c r="D18" s="436">
        <v>0</v>
      </c>
      <c r="E18" s="436">
        <v>0</v>
      </c>
      <c r="F18" s="436">
        <v>0</v>
      </c>
      <c r="G18" s="437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2" t="s">
        <v>522</v>
      </c>
      <c r="C19" s="436"/>
      <c r="D19" s="436"/>
      <c r="E19" s="436"/>
      <c r="F19" s="436"/>
      <c r="G19" s="437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522</v>
      </c>
      <c r="C20" s="436"/>
      <c r="D20" s="436"/>
      <c r="E20" s="436"/>
      <c r="F20" s="436"/>
      <c r="G20" s="437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522</v>
      </c>
      <c r="C21" s="436"/>
      <c r="D21" s="436"/>
      <c r="E21" s="436"/>
      <c r="F21" s="436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45" t="s">
        <v>77</v>
      </c>
      <c r="C22" s="436">
        <f>SUM(C7:C21)*InfoInicial!$B$14</f>
        <v>65428208.358345799</v>
      </c>
      <c r="D22" s="436">
        <f>SUM(D7:D21)*InfoInicial!$B$14</f>
        <v>61186041.948345795</v>
      </c>
      <c r="E22" s="436">
        <f>SUM(E7:E21)*InfoInicial!$B$14</f>
        <v>44041219.06159579</v>
      </c>
      <c r="F22" s="436">
        <f>SUM(F7:F21)*InfoInicial!$B$14</f>
        <v>61186041.948345795</v>
      </c>
      <c r="G22" s="436">
        <f>SUM(G7:G20)*InfoInicial!$B$14</f>
        <v>61186041.948345795</v>
      </c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2" t="s">
        <v>523</v>
      </c>
      <c r="C23" s="436">
        <f>SUM(C7:C22)</f>
        <v>1373992375.5252616</v>
      </c>
      <c r="D23" s="436">
        <f>SUM(D7:D22)</f>
        <v>1284906880.9152617</v>
      </c>
      <c r="E23" s="436">
        <f>SUM(E7:E22)</f>
        <v>924865600.29351151</v>
      </c>
      <c r="F23" s="436">
        <f t="shared" ref="E23:G23" si="0">SUM(F7:F22)</f>
        <v>1284906880.9152617</v>
      </c>
      <c r="G23" s="436">
        <f t="shared" si="0"/>
        <v>1284906880.9152617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83"/>
      <c r="C24" s="440"/>
      <c r="D24" s="440"/>
      <c r="E24" s="440"/>
      <c r="F24" s="440"/>
      <c r="G24" s="44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4" t="s">
        <v>524</v>
      </c>
      <c r="C25" s="485">
        <f>(C10+C11+C15+C16+'CA COSTOS'!$F$69)/C23</f>
        <v>5.2128284461327681E-2</v>
      </c>
      <c r="D25" s="485">
        <f>(D10+D11+D15+D16+'CA COSTOS'!$F$69)/D23</f>
        <v>5.5742456097719134E-2</v>
      </c>
      <c r="E25" s="485">
        <f>(E10+E11+E15+E16+'CA COSTOS'!$F$69)/E23</f>
        <v>7.7151078277137214E-2</v>
      </c>
      <c r="F25" s="485">
        <f>(F10+F11+F15+F16+'CA COSTOS'!$F$69)/F23</f>
        <v>5.5742456097719134E-2</v>
      </c>
      <c r="G25" s="485">
        <f>(G10+G11+G15+G16+'CA COSTOS'!$F$69)/G23</f>
        <v>5.5742456097719134E-2</v>
      </c>
      <c r="H25" s="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46" t="s">
        <v>525</v>
      </c>
      <c r="C26" s="486">
        <f>(C7+C12+'CA COSTOS'!$E$69+C8+C22)/C23</f>
        <v>0.94787171553867233</v>
      </c>
      <c r="D26" s="486">
        <f>(D7+D12+'CA COSTOS'!$E$69+D8+D22)/D23</f>
        <v>0.94425754390228089</v>
      </c>
      <c r="E26" s="486">
        <f>(E7+E12+'CA COSTOS'!$E$69+E8+E22)/E23</f>
        <v>0.9228489217228627</v>
      </c>
      <c r="F26" s="486">
        <f>(F7+F12+'CA COSTOS'!$E$69+F8+F22)/F23</f>
        <v>0.94425754390228089</v>
      </c>
      <c r="G26" s="486">
        <f>(G7+G12+'CA COSTOS'!$E$69+G8+G22)/G23</f>
        <v>0.94425754390228089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35"/>
      <c r="C27" s="487"/>
      <c r="D27" s="487"/>
      <c r="E27" s="487"/>
      <c r="F27" s="487"/>
      <c r="G27" s="48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3.1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3.15">
      <c r="J29">
        <f>42.3239899795082*1000</f>
        <v>42323.989979508195</v>
      </c>
      <c r="K29" s="3" t="s">
        <v>526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8" customHeight="1">
      <c r="B30" s="1018" t="s">
        <v>527</v>
      </c>
      <c r="C30" s="1018"/>
      <c r="D30" s="1018"/>
      <c r="E30" s="1018"/>
      <c r="F30" s="1018"/>
      <c r="G30" s="1018"/>
      <c r="H30" s="101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1017" t="s">
        <v>528</v>
      </c>
      <c r="C31" s="1017"/>
      <c r="D31" s="1017"/>
      <c r="E31" s="1017"/>
      <c r="F31" s="1017"/>
      <c r="G31" s="1017"/>
      <c r="H31" s="488" t="s">
        <v>360</v>
      </c>
      <c r="U31" s="3"/>
      <c r="V31" s="3"/>
      <c r="W31" s="3"/>
      <c r="X31" s="3"/>
      <c r="Y31" s="3"/>
      <c r="Z31" s="3"/>
      <c r="AA31" s="3"/>
    </row>
    <row r="32" spans="2:27" ht="12.75" customHeight="1">
      <c r="B32" s="79" t="s">
        <v>448</v>
      </c>
      <c r="C32" s="489" t="s">
        <v>2</v>
      </c>
      <c r="D32" s="489" t="s">
        <v>3</v>
      </c>
      <c r="E32" s="489" t="s">
        <v>4</v>
      </c>
      <c r="F32" s="489" t="s">
        <v>5</v>
      </c>
      <c r="G32" s="489" t="s">
        <v>6</v>
      </c>
      <c r="H32" s="490" t="s">
        <v>2</v>
      </c>
      <c r="I32" s="3"/>
      <c r="U32" s="3"/>
      <c r="V32" s="3"/>
      <c r="W32" s="3"/>
      <c r="X32" s="3"/>
      <c r="Y32" s="3"/>
      <c r="Z32" s="3"/>
      <c r="AA32" s="3"/>
    </row>
    <row r="33" spans="2:27" ht="12.75" customHeight="1">
      <c r="B33" s="41" t="s">
        <v>453</v>
      </c>
      <c r="C33" s="433">
        <f>J29*'CA COSTOS'!D129</f>
        <v>9903813.6552049182</v>
      </c>
      <c r="D33" s="433">
        <f>C33</f>
        <v>9903813.6552049182</v>
      </c>
      <c r="E33" s="433">
        <f>D33</f>
        <v>9903813.6552049182</v>
      </c>
      <c r="F33" s="433">
        <f>E33</f>
        <v>9903813.6552049182</v>
      </c>
      <c r="G33" s="433">
        <f>F33</f>
        <v>9903813.6552049182</v>
      </c>
      <c r="H33" s="949">
        <f>'CA COSTOS'!D129*'CA COSTOS'!D125</f>
        <v>48929400</v>
      </c>
      <c r="U33" s="3"/>
      <c r="V33" s="3"/>
      <c r="W33" s="3"/>
      <c r="X33" s="3"/>
      <c r="Y33" s="3"/>
      <c r="Z33" s="3"/>
      <c r="AA33" s="3"/>
    </row>
    <row r="34" spans="2:27" ht="12.75" customHeight="1">
      <c r="B34" s="80" t="s">
        <v>454</v>
      </c>
      <c r="C34" s="480">
        <f>C8*'InfoInicial-CálcAux'!$G$22</f>
        <v>84706.973164556955</v>
      </c>
      <c r="D34" s="480">
        <f>D8*'InfoInicial-CálcAux'!$G$22</f>
        <v>84706.973164556955</v>
      </c>
      <c r="E34" s="943">
        <f>E8*'InfoInicial-CálcAux'!$G$22</f>
        <v>42353.486582278478</v>
      </c>
      <c r="F34" s="480">
        <f>F8*'InfoInicial-CálcAux'!$G$22</f>
        <v>84706.973164556955</v>
      </c>
      <c r="G34" s="480">
        <f>G8*'InfoInicial-CálcAux'!$G$22</f>
        <v>84706.973164556955</v>
      </c>
      <c r="H34" s="1069">
        <f>'CA COSTOS'!G141</f>
        <v>19226.31447208934</v>
      </c>
      <c r="I34" s="153"/>
      <c r="U34" s="3"/>
      <c r="V34" s="3"/>
      <c r="W34" s="3"/>
      <c r="X34" s="3"/>
      <c r="Y34" s="3"/>
      <c r="Z34" s="3"/>
      <c r="AA34" s="3"/>
    </row>
    <row r="35" spans="2:27" ht="12.75" customHeight="1">
      <c r="B35" s="41" t="s">
        <v>517</v>
      </c>
      <c r="C35" s="491"/>
      <c r="D35" s="491"/>
      <c r="E35" s="491"/>
      <c r="F35" s="491"/>
      <c r="G35" s="491"/>
      <c r="H35" s="481"/>
      <c r="I35" s="3"/>
      <c r="U35" s="3"/>
      <c r="V35" s="3"/>
      <c r="W35" s="3"/>
      <c r="X35" s="3"/>
      <c r="Y35" s="3"/>
      <c r="Z35" s="3"/>
      <c r="AA35" s="3"/>
    </row>
    <row r="36" spans="2:27" ht="12.75" customHeight="1">
      <c r="B36" s="81" t="s">
        <v>298</v>
      </c>
      <c r="C36" s="652">
        <f>'CA COSTOS'!D48</f>
        <v>6608511.2300080173</v>
      </c>
      <c r="D36" s="652">
        <f>'CA COSTOS'!D49</f>
        <v>5653948.1929718591</v>
      </c>
      <c r="E36" s="652">
        <f t="shared" ref="E36:E37" si="1">D36</f>
        <v>5653948.1929718591</v>
      </c>
      <c r="F36" s="652">
        <f>'CA COSTOS'!D50</f>
        <v>5653948.1929718591</v>
      </c>
      <c r="G36" s="652">
        <f>F36</f>
        <v>5653948.1929718591</v>
      </c>
      <c r="H36" s="437">
        <v>0</v>
      </c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518</v>
      </c>
      <c r="C37" s="436">
        <f>'CA COSTOS'!F146</f>
        <v>13999.328571428568</v>
      </c>
      <c r="D37" s="436">
        <f>'CA COSTOS'!F147</f>
        <v>11977.203333333331</v>
      </c>
      <c r="E37" s="436">
        <f t="shared" si="1"/>
        <v>11977.203333333331</v>
      </c>
      <c r="F37" s="436">
        <f t="shared" ref="F37:G37" si="2">E37</f>
        <v>11977.203333333331</v>
      </c>
      <c r="G37" s="436">
        <f t="shared" si="2"/>
        <v>11977.203333333331</v>
      </c>
      <c r="H37" s="437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519</v>
      </c>
      <c r="C38" s="436">
        <f>'CA COSTOS'!F150</f>
        <v>536000.04921535728</v>
      </c>
      <c r="D38" s="436">
        <f>'CA COSTOS'!F151</f>
        <v>433463.85988424998</v>
      </c>
      <c r="E38" s="436">
        <f>D38</f>
        <v>433463.85988424998</v>
      </c>
      <c r="F38" s="436">
        <f t="shared" ref="F38" si="3">E38</f>
        <v>433463.85988424998</v>
      </c>
      <c r="G38" s="436">
        <f>F38</f>
        <v>433463.85988424998</v>
      </c>
      <c r="H38" s="437">
        <f>'CA COSTOS'!D153</f>
        <v>2165399.7272481439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529</v>
      </c>
      <c r="C39" s="436">
        <f>'CA COSTOS'!$D$72</f>
        <v>200076.82560248469</v>
      </c>
      <c r="D39" s="436">
        <f>'CA COSTOS'!$D$72</f>
        <v>200076.82560248469</v>
      </c>
      <c r="E39" s="436">
        <f>'CA COSTOS'!$D$72</f>
        <v>200076.82560248469</v>
      </c>
      <c r="F39" s="436">
        <f t="shared" ref="F39:G39" si="4">E39</f>
        <v>200076.82560248469</v>
      </c>
      <c r="G39" s="436">
        <f t="shared" si="4"/>
        <v>200076.82560248469</v>
      </c>
      <c r="H39" s="437">
        <f>'CA COSTOS'!F72</f>
        <v>826.83995569620231</v>
      </c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530</v>
      </c>
      <c r="C40" s="436">
        <v>0</v>
      </c>
      <c r="D40" s="436">
        <v>0</v>
      </c>
      <c r="E40" s="436">
        <v>0</v>
      </c>
      <c r="F40" s="436">
        <v>0</v>
      </c>
      <c r="G40" s="436">
        <v>0</v>
      </c>
      <c r="H40" s="437">
        <v>0</v>
      </c>
      <c r="I40" s="3"/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405</v>
      </c>
      <c r="C41" s="436">
        <v>0</v>
      </c>
      <c r="D41" s="436">
        <v>0</v>
      </c>
      <c r="E41" s="436">
        <v>0</v>
      </c>
      <c r="F41" s="436">
        <v>0</v>
      </c>
      <c r="G41" s="436">
        <v>0</v>
      </c>
      <c r="H41" s="437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531</v>
      </c>
      <c r="C42" s="436">
        <v>0</v>
      </c>
      <c r="D42" s="436"/>
      <c r="E42" s="436"/>
      <c r="F42" s="436"/>
      <c r="G42" s="436"/>
      <c r="H42" s="437"/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532</v>
      </c>
      <c r="C43" s="436">
        <v>0</v>
      </c>
      <c r="D43" s="436">
        <v>0</v>
      </c>
      <c r="E43" s="436">
        <v>0</v>
      </c>
      <c r="F43" s="436">
        <v>0</v>
      </c>
      <c r="G43" s="436">
        <v>0</v>
      </c>
      <c r="H43" s="437">
        <v>0</v>
      </c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43" t="s">
        <v>533</v>
      </c>
      <c r="C44" s="436">
        <f>SUM(C33:C43)*InfoInicial!$B$14</f>
        <v>867355.40308833821</v>
      </c>
      <c r="D44" s="436">
        <f>SUM(D33:D43)*InfoInicial!$B$14</f>
        <v>814399.33550807007</v>
      </c>
      <c r="E44" s="436">
        <f>SUM(E33:E43)*InfoInicial!$B$14</f>
        <v>812281.66117895627</v>
      </c>
      <c r="F44" s="436">
        <f>SUM(F33:F43)*InfoInicial!$B$14</f>
        <v>814399.33550807007</v>
      </c>
      <c r="G44" s="436">
        <f>SUM(G33:G43)*InfoInicial!$B$14</f>
        <v>814399.33550807007</v>
      </c>
      <c r="H44" s="436">
        <f>SUM(H33:H43)*InfoInicial!$B$14</f>
        <v>2555742.6440837965</v>
      </c>
      <c r="I44" s="238"/>
      <c r="U44" s="3"/>
      <c r="V44" s="3"/>
      <c r="W44" s="3"/>
      <c r="X44" s="3"/>
      <c r="Y44" s="3"/>
      <c r="Z44" s="3"/>
      <c r="AA44" s="3"/>
    </row>
    <row r="45" spans="2:27" ht="12.75" customHeight="1">
      <c r="B45" s="46" t="s">
        <v>534</v>
      </c>
      <c r="C45" s="443">
        <f>SUM(C33:C44)</f>
        <v>18214463.464855101</v>
      </c>
      <c r="D45" s="443">
        <f>SUM(D33:D44)</f>
        <v>17102386.04566947</v>
      </c>
      <c r="E45" s="443">
        <f>SUM(E33:E44)</f>
        <v>17057914.884758081</v>
      </c>
      <c r="F45" s="443">
        <f t="shared" ref="E45:G45" si="5">SUM(F33:F44)</f>
        <v>17102386.04566947</v>
      </c>
      <c r="G45" s="443">
        <f t="shared" si="5"/>
        <v>17102386.04566947</v>
      </c>
      <c r="H45" s="492">
        <f>SUM(H33:H44)</f>
        <v>53670595.525759727</v>
      </c>
      <c r="U45" s="3"/>
      <c r="V45" s="3"/>
      <c r="W45" s="3"/>
      <c r="X45" s="3"/>
      <c r="Y45" s="3"/>
      <c r="Z45" s="3"/>
      <c r="AA45" s="3"/>
    </row>
    <row r="46" spans="2:27" ht="12.75" customHeight="1">
      <c r="B46" s="28"/>
      <c r="C46" s="493">
        <f>C45-C36</f>
        <v>11605952.234847084</v>
      </c>
      <c r="D46" s="493">
        <f>D45-D36</f>
        <v>11448437.852697611</v>
      </c>
      <c r="E46" s="493">
        <f t="shared" ref="E46:G46" si="6">E45-E36</f>
        <v>11403966.691786222</v>
      </c>
      <c r="F46" s="493">
        <f t="shared" si="6"/>
        <v>11448437.852697611</v>
      </c>
      <c r="G46" s="493">
        <f t="shared" si="6"/>
        <v>11448437.852697611</v>
      </c>
      <c r="H46" s="493"/>
      <c r="I46" s="3"/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3"/>
      <c r="D47" s="3"/>
      <c r="E47" s="3"/>
      <c r="F47" s="3"/>
      <c r="G47" s="3"/>
      <c r="H47" s="493"/>
      <c r="I47" s="3"/>
      <c r="U47" s="3"/>
      <c r="V47" s="3"/>
      <c r="W47" s="3"/>
      <c r="X47" s="3"/>
      <c r="Y47" s="3"/>
      <c r="Z47" s="3"/>
      <c r="AA47" s="3"/>
    </row>
    <row r="48" spans="2:27" ht="18" customHeight="1">
      <c r="B48" s="1017" t="s">
        <v>535</v>
      </c>
      <c r="C48" s="1017"/>
      <c r="D48" s="1017"/>
      <c r="E48" s="1017"/>
      <c r="F48" s="1017"/>
      <c r="G48" s="101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 customHeight="1">
      <c r="B49" s="46"/>
      <c r="C49" s="430" t="s">
        <v>2</v>
      </c>
      <c r="D49" s="430" t="s">
        <v>3</v>
      </c>
      <c r="E49" s="430" t="s">
        <v>4</v>
      </c>
      <c r="F49" s="430" t="s">
        <v>5</v>
      </c>
      <c r="G49" s="431" t="s">
        <v>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7" t="s">
        <v>523</v>
      </c>
      <c r="C50" s="433">
        <f>C23</f>
        <v>1373992375.5252616</v>
      </c>
      <c r="D50" s="433">
        <f t="shared" ref="D50:G50" si="7">D23</f>
        <v>1284906880.9152617</v>
      </c>
      <c r="E50" s="433">
        <f>E23</f>
        <v>924865600.29351151</v>
      </c>
      <c r="F50" s="433">
        <f t="shared" si="7"/>
        <v>1284906880.9152617</v>
      </c>
      <c r="G50" s="494">
        <f t="shared" si="7"/>
        <v>1284906880.9152617</v>
      </c>
      <c r="H50" s="49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3" t="s">
        <v>536</v>
      </c>
      <c r="C51" s="436"/>
      <c r="D51" s="436"/>
      <c r="E51" s="436"/>
      <c r="F51" s="436"/>
      <c r="G51" s="494"/>
      <c r="H51" s="49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537</v>
      </c>
      <c r="C52" s="436">
        <f>H45</f>
        <v>53670595.525759727</v>
      </c>
      <c r="D52" s="436"/>
      <c r="E52" s="436"/>
      <c r="F52" s="436"/>
      <c r="G52" s="494"/>
      <c r="H52" s="49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538</v>
      </c>
      <c r="C53" s="436">
        <f>C45</f>
        <v>18214463.464855101</v>
      </c>
      <c r="D53" s="436">
        <f>D45</f>
        <v>17102386.04566947</v>
      </c>
      <c r="E53" s="436">
        <f>E45</f>
        <v>17057914.884758081</v>
      </c>
      <c r="F53" s="436">
        <f>F45</f>
        <v>17102386.04566947</v>
      </c>
      <c r="G53" s="436">
        <f t="shared" ref="E53:G53" si="8">G45</f>
        <v>17102386.04566947</v>
      </c>
      <c r="H53" s="49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539</v>
      </c>
      <c r="C54" s="436"/>
      <c r="D54" s="563">
        <f>C53</f>
        <v>18214463.464855101</v>
      </c>
      <c r="E54" s="563">
        <f>D53</f>
        <v>17102386.04566947</v>
      </c>
      <c r="F54" s="563">
        <f>E53</f>
        <v>17057914.884758081</v>
      </c>
      <c r="G54" s="563">
        <f>F53</f>
        <v>17102386.04566947</v>
      </c>
      <c r="H54" s="49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2" t="s">
        <v>540</v>
      </c>
      <c r="C55" s="436">
        <f>C50-C52-(C53-C54)</f>
        <v>1302107316.5346467</v>
      </c>
      <c r="D55" s="436">
        <f>D50-D52-(D53-D54)</f>
        <v>1286018958.3344474</v>
      </c>
      <c r="E55" s="436">
        <f>E50-E52-(E53-E54)</f>
        <v>924910071.45442295</v>
      </c>
      <c r="F55" s="436">
        <f>F50-F52-(F53-F54)</f>
        <v>1284862409.7543504</v>
      </c>
      <c r="G55" s="436">
        <f>G50-G52-(G53-G54)</f>
        <v>1284906880.9152617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84" t="s">
        <v>541</v>
      </c>
      <c r="C56" s="578">
        <f>C55/'InfoInicial-CálcAux'!L14</f>
        <v>805.26117287238515</v>
      </c>
      <c r="D56" s="578">
        <f>D55/'InfoInicial-CálcAux'!$M$14</f>
        <v>680.43331128806744</v>
      </c>
      <c r="E56" s="578">
        <f>E55/'InfoInicial-CálcAux'!$M$14</f>
        <v>489.37040817694339</v>
      </c>
      <c r="F56" s="578">
        <f>F55/'InfoInicial-CálcAux'!$M$14</f>
        <v>679.8213808224076</v>
      </c>
      <c r="G56" s="578">
        <f>G55/'InfoInicial-CálcAux'!$M$14</f>
        <v>679.84491053717556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/>
      <c r="C57" s="496"/>
      <c r="D57" s="496"/>
      <c r="E57" s="496"/>
      <c r="F57" s="496"/>
      <c r="G57" s="494"/>
      <c r="H57" s="49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 t="s">
        <v>524</v>
      </c>
      <c r="C58" s="498">
        <f>C25</f>
        <v>5.2128284461327681E-2</v>
      </c>
      <c r="D58" s="498">
        <f>D50*D25/D55</f>
        <v>5.569425313281378E-2</v>
      </c>
      <c r="E58" s="498">
        <f>E50*E25/E55</f>
        <v>7.7147368729449883E-2</v>
      </c>
      <c r="F58" s="498">
        <f>F50*F25/F55</f>
        <v>5.5744385434055771E-2</v>
      </c>
      <c r="G58" s="498">
        <f>G50*G25/G55</f>
        <v>5.5742456097719134E-2</v>
      </c>
      <c r="H58" s="499" t="e">
        <f>((C50*C25)-C36-C37-C42-J49-'CA COSTOS'!#REF!)/C55</f>
        <v>#REF!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46" t="s">
        <v>525</v>
      </c>
      <c r="C59" s="500">
        <f t="shared" ref="C59" si="9">C26</f>
        <v>0.94787171553867233</v>
      </c>
      <c r="D59" s="500">
        <f>D50*D26/D55</f>
        <v>0.94344100267972419</v>
      </c>
      <c r="E59" s="500">
        <f>E50*E26/E55</f>
        <v>0.92280454966533887</v>
      </c>
      <c r="F59" s="500">
        <f>F50*F26/F55</f>
        <v>0.94429022617927627</v>
      </c>
      <c r="G59" s="500">
        <f>G50*G26/G55</f>
        <v>0.94425754390228089</v>
      </c>
      <c r="H59" s="499">
        <f>((C50*C26)-C33-C34-C38-C40-C44-J48-'CA COSTOS'!E69)/C55</f>
        <v>0.9854074570652509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50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6">
      <c r="B62" s="1019" t="s">
        <v>542</v>
      </c>
      <c r="C62" s="1020"/>
      <c r="D62" s="1020"/>
      <c r="E62" s="1020"/>
      <c r="F62" s="1020"/>
      <c r="G62" s="10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 customHeight="1">
      <c r="B63" s="86" t="s">
        <v>448</v>
      </c>
      <c r="C63" s="430" t="s">
        <v>2</v>
      </c>
      <c r="D63" s="430" t="s">
        <v>3</v>
      </c>
      <c r="E63" s="430" t="s">
        <v>4</v>
      </c>
      <c r="F63" s="430" t="s">
        <v>5</v>
      </c>
      <c r="G63" s="431" t="s">
        <v>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5" t="s">
        <v>270</v>
      </c>
      <c r="C64" s="502">
        <f>'CA COSTOS'!G16+'CA COSTOS'!G18</f>
        <v>553467.19999999995</v>
      </c>
      <c r="D64" s="502">
        <f>C64</f>
        <v>553467.19999999995</v>
      </c>
      <c r="E64" s="945">
        <f>'CA COSTOS'!T16+'CA COSTOS'!T18</f>
        <v>276733.59999999998</v>
      </c>
      <c r="F64" s="502">
        <f>C64</f>
        <v>553467.19999999995</v>
      </c>
      <c r="G64" s="502">
        <f>C64</f>
        <v>553467.19999999995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43" t="s">
        <v>543</v>
      </c>
      <c r="C65" s="436">
        <f>'CA COSTOS'!$L$35</f>
        <v>1712395.2767706551</v>
      </c>
      <c r="D65" s="436">
        <f>'CA COSTOS'!$L$35</f>
        <v>1712395.2767706551</v>
      </c>
      <c r="E65" s="436">
        <f>'CA COSTOS'!$L$35</f>
        <v>1712395.2767706551</v>
      </c>
      <c r="F65" s="436">
        <f>'CA COSTOS'!$L$35</f>
        <v>1712395.2767706551</v>
      </c>
      <c r="G65" s="436">
        <f>'CA COSTOS'!$L$35</f>
        <v>1712395.2767706551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519</v>
      </c>
      <c r="C66" s="436">
        <f>'CA COSTOS'!F89</f>
        <v>1146444.5497106251</v>
      </c>
      <c r="D66" s="436">
        <f>'CA COSTOS'!G89</f>
        <v>1083659.6497106252</v>
      </c>
      <c r="E66" s="436">
        <f>'CA COSTOS'!H89</f>
        <v>831350.3197106251</v>
      </c>
      <c r="F66" s="436">
        <f>'CA COSTOS'!I89</f>
        <v>1083659.6497106252</v>
      </c>
      <c r="G66" s="436">
        <f>'CA COSTOS'!J89</f>
        <v>1083659.6497106252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544</v>
      </c>
      <c r="C67" s="436">
        <f>'CA COSTOS'!$D$71</f>
        <v>207974.59503416176</v>
      </c>
      <c r="D67" s="436">
        <f>'CA COSTOS'!$D$71</f>
        <v>207974.59503416176</v>
      </c>
      <c r="E67" s="436">
        <f>'CA COSTOS'!$D$71</f>
        <v>207974.59503416176</v>
      </c>
      <c r="F67" s="436">
        <f>'CA COSTOS'!$D$71</f>
        <v>207974.59503416176</v>
      </c>
      <c r="G67" s="436">
        <f>'CA COSTOS'!$D$71</f>
        <v>207974.59503416176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545</v>
      </c>
      <c r="C68" s="436">
        <v>0</v>
      </c>
      <c r="D68" s="436">
        <v>0</v>
      </c>
      <c r="E68" s="436">
        <v>0</v>
      </c>
      <c r="F68" s="436">
        <v>0</v>
      </c>
      <c r="G68" s="437"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5" t="s">
        <v>405</v>
      </c>
      <c r="C69" s="436">
        <f>'CA COSTOS'!C96*12*2</f>
        <v>206400</v>
      </c>
      <c r="D69" s="436">
        <f>'CA COSTOS'!C96*12*2</f>
        <v>206400</v>
      </c>
      <c r="E69" s="436">
        <f>'CA COSTOS'!C96*12*2</f>
        <v>206400</v>
      </c>
      <c r="F69" s="436">
        <f>'CA COSTOS'!C96*12*2</f>
        <v>206400</v>
      </c>
      <c r="G69" s="436">
        <f>'CA COSTOS'!C96*12*2</f>
        <v>206400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3" t="s">
        <v>409</v>
      </c>
      <c r="C70" s="436">
        <f>'CA COSTOS'!D100</f>
        <v>2453220</v>
      </c>
      <c r="D70" s="436">
        <f>'CA COSTOS'!D100</f>
        <v>2453220</v>
      </c>
      <c r="E70" s="436">
        <f>'CA COSTOS'!D100</f>
        <v>2453220</v>
      </c>
      <c r="F70" s="436">
        <f>'CA COSTOS'!D100</f>
        <v>2453220</v>
      </c>
      <c r="G70" s="437">
        <f>'CA COSTOS'!D100</f>
        <v>2453220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546</v>
      </c>
      <c r="C71" s="436">
        <v>0</v>
      </c>
      <c r="D71" s="436">
        <v>0</v>
      </c>
      <c r="E71" s="436">
        <v>0</v>
      </c>
      <c r="F71" s="436">
        <v>0</v>
      </c>
      <c r="G71" s="436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87" t="s">
        <v>522</v>
      </c>
      <c r="C72" s="436"/>
      <c r="D72" s="436"/>
      <c r="E72" s="436"/>
      <c r="F72" s="436"/>
      <c r="G72" s="43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522</v>
      </c>
      <c r="C73" s="436"/>
      <c r="D73" s="436"/>
      <c r="E73" s="436"/>
      <c r="F73" s="436"/>
      <c r="G73" s="43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522</v>
      </c>
      <c r="C74" s="436"/>
      <c r="D74" s="436"/>
      <c r="E74" s="436"/>
      <c r="F74" s="436"/>
      <c r="G74" s="43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43" t="s">
        <v>77</v>
      </c>
      <c r="C75" s="436">
        <f>SUM(C64:C74)*InfoInicial!$B$14</f>
        <v>313995.08107577212</v>
      </c>
      <c r="D75" s="436">
        <f>SUM(D64:D74)*InfoInicial!$B$14</f>
        <v>310855.83607577212</v>
      </c>
      <c r="E75" s="436">
        <f>SUM(E64:E74)*InfoInicial!$B$14</f>
        <v>284403.68957577209</v>
      </c>
      <c r="F75" s="436">
        <f>SUM(F64:F74)*InfoInicial!$B$14</f>
        <v>310855.83607577212</v>
      </c>
      <c r="G75" s="436">
        <f>SUM(G64:G74)*InfoInicial!$B$14</f>
        <v>310855.83607577212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/>
      <c r="C76" s="438"/>
      <c r="D76" s="438"/>
      <c r="E76" s="438"/>
      <c r="F76" s="438"/>
      <c r="G76" s="43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2" t="s">
        <v>547</v>
      </c>
      <c r="C77" s="436">
        <f t="shared" ref="C77:G77" si="10">SUM(C64:C75)</f>
        <v>6593896.7025912134</v>
      </c>
      <c r="D77" s="436">
        <f t="shared" si="10"/>
        <v>6527972.5575912148</v>
      </c>
      <c r="E77" s="436">
        <f t="shared" si="10"/>
        <v>5972477.4810912134</v>
      </c>
      <c r="F77" s="436">
        <f t="shared" si="10"/>
        <v>6527972.5575912148</v>
      </c>
      <c r="G77" s="436">
        <f t="shared" si="10"/>
        <v>6527972.5575912148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/>
      <c r="C78" s="436"/>
      <c r="D78" s="436"/>
      <c r="E78" s="436"/>
      <c r="F78" s="436"/>
      <c r="G78" s="437"/>
      <c r="H78" s="49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84" t="s">
        <v>524</v>
      </c>
      <c r="C79" s="503">
        <f>SUM(C64:C66,C69:C71,C75,'CA COSTOS'!$F71)/C77</f>
        <v>0.96858987545592412</v>
      </c>
      <c r="D79" s="503">
        <f>SUM(D64:D66,D69:D71,D75,'CA COSTOS'!$F71)/D77</f>
        <v>0.96827267350897295</v>
      </c>
      <c r="E79" s="503">
        <f>SUM(E64:E66,E69:E71,E75,'CA COSTOS'!$F71)/E77</f>
        <v>0.96532174172026841</v>
      </c>
      <c r="F79" s="503">
        <f>SUM(F64:F66,F69:F71,F75,'CA COSTOS'!$F71)/F77</f>
        <v>0.96827267350897295</v>
      </c>
      <c r="G79" s="503">
        <f>SUM(G64:G66,G69:G71,G75,'CA COSTOS'!$F71)/G77</f>
        <v>0.96827267350897295</v>
      </c>
      <c r="H79" s="49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46" t="s">
        <v>525</v>
      </c>
      <c r="C80" s="504">
        <f>SUM(C68,'CA COSTOS'!$E$71)/C77</f>
        <v>3.1410124544075949E-2</v>
      </c>
      <c r="D80" s="504">
        <f>SUM(D68,'CA COSTOS'!$E$71)/D77</f>
        <v>3.1727326491027108E-2</v>
      </c>
      <c r="E80" s="504">
        <f>SUM(E68,'CA COSTOS'!$E$71)/E77</f>
        <v>3.4678258279731575E-2</v>
      </c>
      <c r="F80" s="504">
        <f>SUM(F68,'CA COSTOS'!$E$71)/F77</f>
        <v>3.1727326491027108E-2</v>
      </c>
      <c r="G80" s="504">
        <f>SUM(G68,'CA COSTOS'!$E$71)/G77</f>
        <v>3.1727326491027108E-2</v>
      </c>
      <c r="H80" s="49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23.25" customHeight="1">
      <c r="B83" s="1019" t="s">
        <v>548</v>
      </c>
      <c r="C83" s="1020"/>
      <c r="D83" s="1020"/>
      <c r="E83" s="1020"/>
      <c r="F83" s="1020"/>
      <c r="G83" s="1021"/>
      <c r="I83" s="3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 customHeight="1">
      <c r="B84" s="86" t="s">
        <v>448</v>
      </c>
      <c r="C84" s="430" t="s">
        <v>2</v>
      </c>
      <c r="D84" s="430" t="s">
        <v>3</v>
      </c>
      <c r="E84" s="430" t="s">
        <v>4</v>
      </c>
      <c r="F84" s="430" t="s">
        <v>5</v>
      </c>
      <c r="G84" s="431" t="s">
        <v>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41" t="s">
        <v>549</v>
      </c>
      <c r="C85" s="433">
        <f>'CA COSTOS'!$G$17+'CA COSTOS'!$G$23+(C114*0.03)</f>
        <v>43934559.579999998</v>
      </c>
      <c r="D85" s="433">
        <f>'CA COSTOS'!$G$17+'CA COSTOS'!$G$23+(D114*0.03)</f>
        <v>60944559.579999998</v>
      </c>
      <c r="E85" s="941">
        <f>'CA COSTOS'!$T$17+'CA COSTOS'!$T$23+(E114*0.03)</f>
        <v>42379279.789999999</v>
      </c>
      <c r="F85" s="433">
        <f>'CA COSTOS'!$G$17+'CA COSTOS'!$G$23+(F114*0.03)</f>
        <v>60944559.579999998</v>
      </c>
      <c r="G85" s="433">
        <f>'CA COSTOS'!$G$17+'CA COSTOS'!$G$23+(G114*0.03)</f>
        <v>60944559.579999998</v>
      </c>
      <c r="H85" t="s">
        <v>550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3" t="s">
        <v>543</v>
      </c>
      <c r="C86" s="436">
        <f>'CA COSTOS'!$O$35</f>
        <v>1712395.2767706551</v>
      </c>
      <c r="D86" s="436">
        <f>'CA COSTOS'!$O$35</f>
        <v>1712395.2767706551</v>
      </c>
      <c r="E86" s="436">
        <f>'CA COSTOS'!$O$35</f>
        <v>1712395.2767706551</v>
      </c>
      <c r="F86" s="436">
        <f>'CA COSTOS'!$O$35</f>
        <v>1712395.2767706551</v>
      </c>
      <c r="G86" s="436">
        <f>'CA COSTOS'!$O$35</f>
        <v>1712395.2767706551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519</v>
      </c>
      <c r="C87" s="436">
        <f>'CA COSTOS'!F88</f>
        <v>1146444.5497106251</v>
      </c>
      <c r="D87" s="436">
        <f>'CA COSTOS'!G88</f>
        <v>1083659.6497106252</v>
      </c>
      <c r="E87" s="436">
        <f>'CA COSTOS'!H88</f>
        <v>831350.3197106251</v>
      </c>
      <c r="F87" s="436">
        <f>'CA COSTOS'!I88</f>
        <v>1083659.6497106252</v>
      </c>
      <c r="G87" s="436">
        <f>'CA COSTOS'!J88</f>
        <v>1083659.6497106252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545</v>
      </c>
      <c r="C88" s="436">
        <v>0</v>
      </c>
      <c r="D88" s="436">
        <v>0</v>
      </c>
      <c r="E88" s="436">
        <v>0</v>
      </c>
      <c r="F88" s="436">
        <v>0</v>
      </c>
      <c r="G88" s="437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5" t="s">
        <v>405</v>
      </c>
      <c r="C89" s="436">
        <f>'CA COSTOS'!C96*12*3</f>
        <v>309600</v>
      </c>
      <c r="D89" s="436">
        <f>'CA COSTOS'!C96*12*3</f>
        <v>309600</v>
      </c>
      <c r="E89" s="436">
        <f>'CA COSTOS'!C96*12*3</f>
        <v>309600</v>
      </c>
      <c r="F89" s="436">
        <f>'CA COSTOS'!C96*12*3</f>
        <v>309600</v>
      </c>
      <c r="G89" s="436">
        <f>'CA COSTOS'!C96*12*3</f>
        <v>309600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3" t="s">
        <v>551</v>
      </c>
      <c r="C90" s="436">
        <f>'CA COSTOS'!$D$109</f>
        <v>1022210</v>
      </c>
      <c r="D90" s="436">
        <f>'CA COSTOS'!$D$109</f>
        <v>1022210</v>
      </c>
      <c r="E90" s="436">
        <f>'CA COSTOS'!$D$109</f>
        <v>1022210</v>
      </c>
      <c r="F90" s="436">
        <f>'CA COSTOS'!$D$109</f>
        <v>1022210</v>
      </c>
      <c r="G90" s="436">
        <f>'CA COSTOS'!$D$109</f>
        <v>1022210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552</v>
      </c>
      <c r="C91" s="436">
        <f>'CA COSTOS'!$E$180</f>
        <v>2736000</v>
      </c>
      <c r="D91" s="436">
        <f>'CA COSTOS'!$E$180</f>
        <v>2736000</v>
      </c>
      <c r="E91" s="436">
        <f>'CA COSTOS'!$E$180</f>
        <v>2736000</v>
      </c>
      <c r="F91" s="436">
        <f>'CA COSTOS'!$E$180</f>
        <v>2736000</v>
      </c>
      <c r="G91" s="436">
        <f>'CA COSTOS'!$E$180</f>
        <v>2736000</v>
      </c>
      <c r="H91" t="s">
        <v>553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409</v>
      </c>
      <c r="C92" s="436">
        <v>0</v>
      </c>
      <c r="D92" s="436">
        <v>0</v>
      </c>
      <c r="E92" s="436">
        <v>0</v>
      </c>
      <c r="F92" s="436">
        <v>0</v>
      </c>
      <c r="G92" s="437">
        <v>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87" t="s">
        <v>554</v>
      </c>
      <c r="C93" s="436">
        <f>'CA COSTOS'!$D$70</f>
        <v>207974.59503416176</v>
      </c>
      <c r="D93" s="436">
        <f>'CA COSTOS'!$D$70</f>
        <v>207974.59503416176</v>
      </c>
      <c r="E93" s="436">
        <f>'CA COSTOS'!$D$70</f>
        <v>207974.59503416176</v>
      </c>
      <c r="F93" s="436">
        <f>'CA COSTOS'!$D$70</f>
        <v>207974.59503416176</v>
      </c>
      <c r="G93" s="436">
        <f>'CA COSTOS'!$D$70</f>
        <v>207974.59503416176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522</v>
      </c>
      <c r="C94" s="436"/>
      <c r="D94" s="436"/>
      <c r="E94" s="436"/>
      <c r="F94" s="436"/>
      <c r="G94" s="437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522</v>
      </c>
      <c r="C95" s="436"/>
      <c r="D95" s="436"/>
      <c r="E95" s="436"/>
      <c r="F95" s="436"/>
      <c r="G95" s="437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43" t="s">
        <v>77</v>
      </c>
      <c r="C96" s="436">
        <f>SUM(C85:C95)*InfoInicial!$B$14</f>
        <v>2553459.2000757717</v>
      </c>
      <c r="D96" s="436">
        <f>SUM(D85:D95)*InfoInicial!$B$14</f>
        <v>3400819.9550757725</v>
      </c>
      <c r="E96" s="436">
        <f>SUM(E85:E95)*InfoInicial!$B$14</f>
        <v>2459940.4990757722</v>
      </c>
      <c r="F96" s="436">
        <f>SUM(F85:F95)*InfoInicial!$B$14</f>
        <v>3400819.9550757725</v>
      </c>
      <c r="G96" s="436">
        <f>SUM(G85:G95)*InfoInicial!$B$14</f>
        <v>3400819.9550757725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/>
      <c r="C97" s="438"/>
      <c r="D97" s="438"/>
      <c r="E97" s="438"/>
      <c r="F97" s="438"/>
      <c r="G97" s="439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2" t="s">
        <v>555</v>
      </c>
      <c r="C98" s="436">
        <f>SUM(C85:C96)</f>
        <v>53622643.201591209</v>
      </c>
      <c r="D98" s="436">
        <f>SUM(D85:D96)</f>
        <v>71417219.056591213</v>
      </c>
      <c r="E98" s="436">
        <f>SUM(E85:E96)</f>
        <v>51658750.480591215</v>
      </c>
      <c r="F98" s="436">
        <f>SUM(F85:F96)</f>
        <v>71417219.056591213</v>
      </c>
      <c r="G98" s="436">
        <f>SUM(G85:G96)</f>
        <v>71417219.056591213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/>
      <c r="C99" s="436"/>
      <c r="D99" s="436"/>
      <c r="E99" s="436"/>
      <c r="F99" s="436"/>
      <c r="G99" s="437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84" t="s">
        <v>524</v>
      </c>
      <c r="C100" s="505">
        <f>(C85+C86+C87+C89+C90+C92+C93)/C98</f>
        <v>0.90135773090874394</v>
      </c>
      <c r="D100" s="505">
        <f t="shared" ref="D100:G100" si="11">(D85+D86+D87+D89+D90+D92+D93)/D98</f>
        <v>0.91407086363565981</v>
      </c>
      <c r="E100" s="505">
        <f t="shared" si="11"/>
        <v>0.89941799887266061</v>
      </c>
      <c r="F100" s="505">
        <f t="shared" si="11"/>
        <v>0.91407086363565981</v>
      </c>
      <c r="G100" s="505">
        <f t="shared" si="11"/>
        <v>0.91407086363565981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46" t="s">
        <v>525</v>
      </c>
      <c r="C101" s="506">
        <f>(C88+C91+C96)/C98</f>
        <v>9.8642269091256049E-2</v>
      </c>
      <c r="D101" s="506">
        <f t="shared" ref="D101:G101" si="12">(D88+D91+D96)/D98</f>
        <v>8.5929136364340061E-2</v>
      </c>
      <c r="E101" s="506">
        <f t="shared" si="12"/>
        <v>0.10058200112733943</v>
      </c>
      <c r="F101" s="506">
        <f t="shared" si="12"/>
        <v>8.5929136364340061E-2</v>
      </c>
      <c r="G101" s="506">
        <f t="shared" si="12"/>
        <v>8.5929136364340061E-2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179"/>
      <c r="C103" s="179"/>
      <c r="D103" s="179"/>
      <c r="E103" s="179"/>
      <c r="F103" s="179"/>
      <c r="G103" s="17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2.5" customHeight="1">
      <c r="A104" s="159"/>
      <c r="B104" s="1019" t="s">
        <v>556</v>
      </c>
      <c r="C104" s="1020"/>
      <c r="D104" s="1020"/>
      <c r="E104" s="1020"/>
      <c r="F104" s="1020"/>
      <c r="G104" s="1021"/>
      <c r="H104" s="17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B105" s="236"/>
      <c r="C105" s="507" t="s">
        <v>2</v>
      </c>
      <c r="D105" s="507" t="s">
        <v>3</v>
      </c>
      <c r="E105" s="507" t="s">
        <v>4</v>
      </c>
      <c r="F105" s="507" t="s">
        <v>5</v>
      </c>
      <c r="G105" s="508" t="s">
        <v>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88" t="s">
        <v>557</v>
      </c>
      <c r="C106" s="509">
        <f>'InfoInicial-CálcAux'!K5</f>
        <v>540000</v>
      </c>
      <c r="D106" s="509">
        <f>'InfoInicial-CálcAux'!L5</f>
        <v>756000</v>
      </c>
      <c r="E106" s="946">
        <f>'InfoInicial-CálcAux'!M5</f>
        <v>529200</v>
      </c>
      <c r="F106" s="509">
        <f>'InfoInicial-CálcAux'!N5</f>
        <v>756000</v>
      </c>
      <c r="G106" s="509">
        <f>'InfoInicial-CálcAux'!O5</f>
        <v>756000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9" t="s">
        <v>558</v>
      </c>
      <c r="C107" s="510">
        <f>'InfoInicial-CálcAux'!C8*2.5</f>
        <v>2625</v>
      </c>
      <c r="D107" s="510">
        <f>C107</f>
        <v>2625</v>
      </c>
      <c r="E107" s="510">
        <f>D107</f>
        <v>2625</v>
      </c>
      <c r="F107" s="510">
        <f t="shared" ref="F107:G107" si="13">E107</f>
        <v>2625</v>
      </c>
      <c r="G107" s="511">
        <f t="shared" si="13"/>
        <v>2625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559</v>
      </c>
      <c r="C108" s="512">
        <v>0</v>
      </c>
      <c r="D108" s="512">
        <v>0</v>
      </c>
      <c r="E108" s="512">
        <v>0</v>
      </c>
      <c r="F108" s="512">
        <v>0</v>
      </c>
      <c r="G108" s="513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560</v>
      </c>
      <c r="C109" s="514">
        <v>0</v>
      </c>
      <c r="D109" s="514">
        <v>0</v>
      </c>
      <c r="E109" s="514">
        <v>0</v>
      </c>
      <c r="F109" s="514">
        <v>0</v>
      </c>
      <c r="G109" s="515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561</v>
      </c>
      <c r="C110" s="516">
        <f>'CA COSTOS'!H117</f>
        <v>0</v>
      </c>
      <c r="D110" s="516">
        <f>'CA COSTOS'!$H121</f>
        <v>0</v>
      </c>
      <c r="E110" s="516">
        <f>'CA COSTOS'!$H121</f>
        <v>0</v>
      </c>
      <c r="F110" s="516">
        <f>'CA COSTOS'!$H121</f>
        <v>0</v>
      </c>
      <c r="G110" s="517">
        <f>'CA COSTOS'!$H121</f>
        <v>0</v>
      </c>
      <c r="H110" s="3"/>
      <c r="I110" s="3"/>
      <c r="J110" s="9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562</v>
      </c>
      <c r="C111" s="514">
        <f>'CA COSTOS'!$G117</f>
        <v>0</v>
      </c>
      <c r="D111" s="514">
        <f>'CA COSTOS'!$G117</f>
        <v>0</v>
      </c>
      <c r="E111" s="514">
        <f>'CA COSTOS'!$G117</f>
        <v>0</v>
      </c>
      <c r="F111" s="514">
        <f>'CA COSTOS'!$G117</f>
        <v>0</v>
      </c>
      <c r="G111" s="515">
        <f>'CA COSTOS'!$G117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91" t="s">
        <v>563</v>
      </c>
      <c r="D112" s="915"/>
      <c r="E112" s="915"/>
      <c r="F112" s="915"/>
      <c r="G112" s="91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563</v>
      </c>
      <c r="C113" s="915"/>
      <c r="D113" s="915"/>
      <c r="E113" s="915"/>
      <c r="F113" s="915"/>
      <c r="G113" s="91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2" t="s">
        <v>564</v>
      </c>
      <c r="C114" s="514">
        <f>(C106*C107)+(C110*C111)</f>
        <v>1417500000</v>
      </c>
      <c r="D114" s="514">
        <f t="shared" ref="D114:G114" si="14">(D106*D107)+(D110*D111)</f>
        <v>1984500000</v>
      </c>
      <c r="E114" s="947">
        <f t="shared" si="14"/>
        <v>1389150000</v>
      </c>
      <c r="F114" s="514">
        <f t="shared" si="14"/>
        <v>1984500000</v>
      </c>
      <c r="G114" s="515">
        <f t="shared" si="14"/>
        <v>1984500000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89"/>
      <c r="C115" s="514"/>
      <c r="D115" s="514"/>
      <c r="E115" s="514"/>
      <c r="F115" s="514"/>
      <c r="G115" s="51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 t="s">
        <v>565</v>
      </c>
      <c r="C116" s="436">
        <f>C7</f>
        <v>1205088000</v>
      </c>
      <c r="D116" s="436">
        <f t="shared" ref="D116:G116" si="15">D7</f>
        <v>1121374800</v>
      </c>
      <c r="E116" s="436">
        <f t="shared" si="15"/>
        <v>784962360</v>
      </c>
      <c r="F116" s="436">
        <f t="shared" si="15"/>
        <v>1121374800</v>
      </c>
      <c r="G116" s="518">
        <f t="shared" si="15"/>
        <v>1121374800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454</v>
      </c>
      <c r="C117" s="436">
        <f t="shared" ref="C117:G117" si="16">C8</f>
        <v>3345925.44</v>
      </c>
      <c r="D117" s="436">
        <f t="shared" si="16"/>
        <v>3345925.44</v>
      </c>
      <c r="E117" s="436">
        <f t="shared" si="16"/>
        <v>1672962.72</v>
      </c>
      <c r="F117" s="436">
        <f t="shared" si="16"/>
        <v>3345925.44</v>
      </c>
      <c r="G117" s="518">
        <f t="shared" si="16"/>
        <v>3345925.44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566</v>
      </c>
      <c r="C118" s="436">
        <f>SUM(C10:C22)</f>
        <v>165558450.0852614</v>
      </c>
      <c r="D118" s="436">
        <f t="shared" ref="D118:G118" si="17">SUM(D10:D22)</f>
        <v>160186155.47526139</v>
      </c>
      <c r="E118" s="436">
        <f t="shared" si="17"/>
        <v>138230277.57351139</v>
      </c>
      <c r="F118" s="436">
        <f t="shared" si="17"/>
        <v>160186155.47526139</v>
      </c>
      <c r="G118" s="518">
        <f t="shared" si="17"/>
        <v>160186155.47526139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/>
      <c r="C119" s="436"/>
      <c r="D119" s="436"/>
      <c r="E119" s="436"/>
      <c r="F119" s="436"/>
      <c r="G119" s="51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92" t="s">
        <v>567</v>
      </c>
      <c r="C120" s="436">
        <f>SUM(C116:C118)</f>
        <v>1373992375.5252614</v>
      </c>
      <c r="D120" s="436">
        <f>SUM(D116:D118)</f>
        <v>1284906880.9152615</v>
      </c>
      <c r="E120" s="436">
        <f>SUM(E116:E118)</f>
        <v>924865600.29351139</v>
      </c>
      <c r="F120" s="436">
        <f t="shared" ref="E120:G120" si="18">SUM(F116:F118)</f>
        <v>1284906880.9152615</v>
      </c>
      <c r="G120" s="518">
        <f t="shared" si="18"/>
        <v>1284906880.9152615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89"/>
      <c r="C121" s="436"/>
      <c r="D121" s="436"/>
      <c r="E121" s="436"/>
      <c r="F121" s="436"/>
      <c r="G121" s="51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 t="s">
        <v>536</v>
      </c>
      <c r="C122" s="436"/>
      <c r="D122" s="436"/>
      <c r="E122" s="436"/>
      <c r="F122" s="436"/>
      <c r="G122" s="51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93" t="s">
        <v>360</v>
      </c>
      <c r="C123" s="436">
        <f>H45</f>
        <v>53670595.525759727</v>
      </c>
      <c r="D123" s="436">
        <v>0</v>
      </c>
      <c r="E123" s="436">
        <v>0</v>
      </c>
      <c r="F123" s="436">
        <v>0</v>
      </c>
      <c r="G123" s="518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568</v>
      </c>
      <c r="C124" s="436">
        <f>C45</f>
        <v>18214463.464855101</v>
      </c>
      <c r="D124" s="436">
        <f>D45-C45</f>
        <v>-1112077.419185631</v>
      </c>
      <c r="E124" s="436">
        <f>E45-D45</f>
        <v>-44471.160911388695</v>
      </c>
      <c r="F124" s="436">
        <f t="shared" ref="D124:G124" si="19">F45-E45</f>
        <v>44471.160911388695</v>
      </c>
      <c r="G124" s="436">
        <f t="shared" si="19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89"/>
      <c r="C125" s="436"/>
      <c r="D125" s="436"/>
      <c r="E125" s="436"/>
      <c r="F125" s="436"/>
      <c r="G125" s="51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92" t="s">
        <v>569</v>
      </c>
      <c r="C126" s="436">
        <f>C120-C123-C124</f>
        <v>1302107316.5346465</v>
      </c>
      <c r="D126" s="436">
        <f>D120-D123-D124</f>
        <v>1286018958.3344471</v>
      </c>
      <c r="E126" s="436">
        <f>E120-E123-E124</f>
        <v>924910071.45442283</v>
      </c>
      <c r="F126" s="436">
        <f>F120-F123-F124</f>
        <v>1284862409.7543502</v>
      </c>
      <c r="G126" s="436">
        <f t="shared" ref="E126:G126" si="20">G120-G123-G124</f>
        <v>1284906880.9152615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3" t="s">
        <v>570</v>
      </c>
      <c r="C127" s="519">
        <f>'InfoInicial-CálcAux'!L14</f>
        <v>1617000</v>
      </c>
      <c r="D127" s="519">
        <f>'InfoInicial-CálcAux'!$M$14</f>
        <v>1890000</v>
      </c>
      <c r="E127" s="519">
        <f>'InfoInicial-CálcAux'!O14</f>
        <v>1323000</v>
      </c>
      <c r="F127" s="519">
        <f>'InfoInicial-CálcAux'!$M$14</f>
        <v>1890000</v>
      </c>
      <c r="G127" s="519">
        <f>'InfoInicial-CálcAux'!$M$14</f>
        <v>1890000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89" t="s">
        <v>571</v>
      </c>
      <c r="C128" s="436">
        <f>C126/C127</f>
        <v>805.26117287238503</v>
      </c>
      <c r="D128" s="436">
        <f t="shared" ref="D128:G128" si="21">D126/D127</f>
        <v>680.43331128806722</v>
      </c>
      <c r="E128" s="436">
        <f>E126/E127</f>
        <v>699.10058310991894</v>
      </c>
      <c r="F128" s="436">
        <f>F126/F127</f>
        <v>679.82138082240749</v>
      </c>
      <c r="G128" s="436">
        <f t="shared" si="21"/>
        <v>679.84491053717545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/>
      <c r="C129" s="519"/>
      <c r="D129" s="519"/>
      <c r="E129" s="519"/>
      <c r="F129" s="519"/>
      <c r="G129" s="52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 t="s">
        <v>536</v>
      </c>
      <c r="C130" s="519"/>
      <c r="D130" s="519"/>
      <c r="E130" s="519"/>
      <c r="F130" s="519"/>
      <c r="G130" s="52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572</v>
      </c>
      <c r="C131" s="436">
        <f>'CA COSTOS'!M99</f>
        <v>1388447.4194900237</v>
      </c>
      <c r="D131" s="436">
        <f>'CA COSTOS'!N99</f>
        <v>-215230.69550091238</v>
      </c>
      <c r="E131" s="436">
        <f>'CA COSTOS'!O99</f>
        <v>32186.483420673059</v>
      </c>
      <c r="F131" s="436">
        <f>'CA COSTOS'!P99</f>
        <v>-33241.586168173002</v>
      </c>
      <c r="G131" s="436">
        <f>'CA COSTOS'!Q99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/>
      <c r="C132" s="519"/>
      <c r="D132" s="519"/>
      <c r="E132" s="519"/>
      <c r="F132" s="519"/>
      <c r="G132" s="52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92" t="s">
        <v>573</v>
      </c>
      <c r="C133" s="436">
        <f>C126-C131</f>
        <v>1300718869.1151564</v>
      </c>
      <c r="D133" s="436">
        <f>D126-D131</f>
        <v>1286234189.029948</v>
      </c>
      <c r="E133" s="436">
        <f>E126-E131</f>
        <v>924877884.9710021</v>
      </c>
      <c r="F133" s="436">
        <f>F126-F131</f>
        <v>1284895651.3405185</v>
      </c>
      <c r="G133" s="436">
        <f t="shared" ref="D133:G133" si="22">G126-G131</f>
        <v>1284906880.9152615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89"/>
      <c r="C134" s="436"/>
      <c r="D134" s="436"/>
      <c r="E134" s="436"/>
      <c r="F134" s="436"/>
      <c r="G134" s="51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92" t="s">
        <v>574</v>
      </c>
      <c r="C135" s="436">
        <f t="shared" ref="C135:G135" si="23">C77</f>
        <v>6593896.7025912134</v>
      </c>
      <c r="D135" s="436">
        <f t="shared" si="23"/>
        <v>6527972.5575912148</v>
      </c>
      <c r="E135" s="436">
        <f t="shared" si="23"/>
        <v>5972477.4810912134</v>
      </c>
      <c r="F135" s="436">
        <f>F77</f>
        <v>6527972.5575912148</v>
      </c>
      <c r="G135" s="436">
        <f t="shared" si="23"/>
        <v>6527972.5575912148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575</v>
      </c>
      <c r="C136" s="519">
        <f t="shared" ref="C136:G136" si="24">C98</f>
        <v>53622643.201591209</v>
      </c>
      <c r="D136" s="519">
        <f t="shared" si="24"/>
        <v>71417219.056591213</v>
      </c>
      <c r="E136" s="519">
        <f t="shared" si="24"/>
        <v>51658750.480591215</v>
      </c>
      <c r="F136" s="519">
        <f t="shared" si="24"/>
        <v>71417219.056591213</v>
      </c>
      <c r="G136" s="519">
        <f t="shared" si="24"/>
        <v>71417219.056591213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89"/>
      <c r="C137" s="519"/>
      <c r="D137" s="519"/>
      <c r="E137" s="519"/>
      <c r="F137" s="519"/>
      <c r="G137" s="52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92" t="s">
        <v>576</v>
      </c>
      <c r="C138" s="519">
        <f>C133+C135+C136</f>
        <v>1360935409.0193388</v>
      </c>
      <c r="D138" s="519">
        <f t="shared" ref="D138:F138" si="25">D133+D135+D136</f>
        <v>1364179380.6441305</v>
      </c>
      <c r="E138" s="519">
        <f t="shared" si="25"/>
        <v>982509112.93268454</v>
      </c>
      <c r="F138" s="519">
        <f t="shared" si="25"/>
        <v>1362840842.9547009</v>
      </c>
      <c r="G138" s="519">
        <f>G133+G135+G136</f>
        <v>1362852072.529444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89"/>
      <c r="C139" s="519"/>
      <c r="D139" s="519"/>
      <c r="E139" s="519"/>
      <c r="F139" s="519"/>
      <c r="G139" s="52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92" t="s">
        <v>577</v>
      </c>
      <c r="C140" s="519">
        <f>C138/C127</f>
        <v>841.64218244857068</v>
      </c>
      <c r="D140" s="519">
        <f t="shared" ref="D140:G140" si="26">D138/D127</f>
        <v>721.78803208684155</v>
      </c>
      <c r="E140" s="519">
        <f t="shared" si="26"/>
        <v>742.63727356967843</v>
      </c>
      <c r="F140" s="519">
        <f t="shared" si="26"/>
        <v>721.07981108714341</v>
      </c>
      <c r="G140" s="519">
        <f t="shared" si="26"/>
        <v>721.08575266108141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89"/>
      <c r="C141" s="519"/>
      <c r="D141" s="519"/>
      <c r="E141" s="519"/>
      <c r="F141" s="519"/>
      <c r="G141" s="52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92" t="s">
        <v>578</v>
      </c>
      <c r="C142" s="519">
        <f>C114-C138</f>
        <v>56564590.980661154</v>
      </c>
      <c r="D142" s="519">
        <f>D114-D138</f>
        <v>620320619.35586953</v>
      </c>
      <c r="E142" s="519">
        <f t="shared" ref="E142:G142" si="27">E114-E138</f>
        <v>406640887.06731546</v>
      </c>
      <c r="F142" s="519">
        <f t="shared" si="27"/>
        <v>621659157.04529905</v>
      </c>
      <c r="G142" s="519">
        <f t="shared" si="27"/>
        <v>621647927.47055602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62</v>
      </c>
      <c r="C143" s="519">
        <f>C142*InfoInicial!$B$5</f>
        <v>3959521.3686462813</v>
      </c>
      <c r="D143" s="519">
        <f>D142*InfoInicial!$B$5</f>
        <v>43422443.354910873</v>
      </c>
      <c r="E143" s="519">
        <f>E142*InfoInicial!$B$5</f>
        <v>28464862.094712086</v>
      </c>
      <c r="F143" s="519">
        <f>F142*InfoInicial!$B$5</f>
        <v>43516140.993170939</v>
      </c>
      <c r="G143" s="519">
        <f>G142*InfoInicial!$B$5</f>
        <v>43515354.922938928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4" t="s">
        <v>579</v>
      </c>
      <c r="C144" s="519">
        <f>(C142-C143)*InfoInicial!$B$4</f>
        <v>18411774.364205204</v>
      </c>
      <c r="D144" s="519">
        <f>(D142-D143)*InfoInicial!$B$4</f>
        <v>201914361.60033554</v>
      </c>
      <c r="E144" s="519">
        <f>(E142-E143)*InfoInicial!$B$4</f>
        <v>132361608.74041118</v>
      </c>
      <c r="F144" s="519">
        <f>(F142-F143)*InfoInicial!$B$4</f>
        <v>202350055.61824483</v>
      </c>
      <c r="G144" s="519">
        <f>(G142-G143)*InfoInicial!$B$4</f>
        <v>202346400.39166597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2"/>
      <c r="C145" s="519"/>
      <c r="D145" s="519"/>
      <c r="E145" s="519"/>
      <c r="F145" s="519"/>
      <c r="G145" s="52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4" t="s">
        <v>580</v>
      </c>
      <c r="C146" s="519">
        <f>C142-C143-C144</f>
        <v>34193295.247809671</v>
      </c>
      <c r="D146" s="519">
        <f t="shared" ref="D146:G146" si="28">D142-D143-D144</f>
        <v>374983814.40062314</v>
      </c>
      <c r="E146" s="519">
        <f t="shared" si="28"/>
        <v>245814416.23219222</v>
      </c>
      <c r="F146" s="519">
        <f t="shared" si="28"/>
        <v>375792960.43388325</v>
      </c>
      <c r="G146" s="519">
        <f t="shared" si="28"/>
        <v>375786172.15595114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2" t="s">
        <v>581</v>
      </c>
      <c r="C147" s="521">
        <f>C146/C114</f>
        <v>2.4122254143075606E-2</v>
      </c>
      <c r="D147" s="521">
        <f t="shared" ref="D147:G147" si="29">D146/D114</f>
        <v>0.18895631867000409</v>
      </c>
      <c r="E147" s="521">
        <f t="shared" si="29"/>
        <v>0.17695311250202803</v>
      </c>
      <c r="F147" s="521">
        <f t="shared" si="29"/>
        <v>0.18936405161697317</v>
      </c>
      <c r="G147" s="521">
        <f t="shared" si="29"/>
        <v>0.18936063096797739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/>
      <c r="C148" s="521"/>
      <c r="D148" s="521"/>
      <c r="E148" s="521"/>
      <c r="F148" s="521"/>
      <c r="G148" s="52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 t="s">
        <v>582</v>
      </c>
      <c r="C149" s="521"/>
      <c r="D149" s="521"/>
      <c r="E149" s="521"/>
      <c r="F149" s="521"/>
      <c r="G149" s="52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4" t="s">
        <v>583</v>
      </c>
      <c r="C150" s="453">
        <f t="shared" ref="C150:G150" si="30">C146</f>
        <v>34193295.247809671</v>
      </c>
      <c r="D150" s="453">
        <f t="shared" si="30"/>
        <v>374983814.40062314</v>
      </c>
      <c r="E150" s="453">
        <f t="shared" si="30"/>
        <v>245814416.23219222</v>
      </c>
      <c r="F150" s="453">
        <f t="shared" si="30"/>
        <v>375792960.43388325</v>
      </c>
      <c r="G150" s="453">
        <f t="shared" si="30"/>
        <v>375786172.15595114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2" t="s">
        <v>584</v>
      </c>
      <c r="C151" s="523">
        <f>'CA COSTOS'!D44</f>
        <v>65071020.517284892</v>
      </c>
      <c r="D151" s="523">
        <f>'CA COSTOS'!E44</f>
        <v>65071020.517284892</v>
      </c>
      <c r="E151" s="523">
        <f>'CA COSTOS'!F44</f>
        <v>65071020.517284892</v>
      </c>
      <c r="F151" s="523">
        <f>'CA COSTOS'!G44</f>
        <v>65071020.517284892</v>
      </c>
      <c r="G151" s="523">
        <f>'CA COSTOS'!H44</f>
        <v>65071020.517284892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5" t="s">
        <v>189</v>
      </c>
      <c r="C152" s="453">
        <f>C150+C151</f>
        <v>99264315.765094563</v>
      </c>
      <c r="D152" s="453">
        <f t="shared" ref="D152:G152" si="31">D150+D151</f>
        <v>440054834.91790801</v>
      </c>
      <c r="E152" s="453">
        <f t="shared" si="31"/>
        <v>310885436.74947709</v>
      </c>
      <c r="F152" s="453">
        <f t="shared" si="31"/>
        <v>440863980.95116812</v>
      </c>
      <c r="G152" s="453">
        <f t="shared" si="31"/>
        <v>440857192.67323601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2"/>
      <c r="C153" s="453"/>
      <c r="D153" s="453"/>
      <c r="E153" s="453"/>
      <c r="F153" s="453"/>
      <c r="G153" s="52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 t="s">
        <v>585</v>
      </c>
      <c r="C154" s="453">
        <f>C23*C25</f>
        <v>71623865.399076208</v>
      </c>
      <c r="D154" s="453">
        <f t="shared" ref="D154:G154" si="32">D23*D25</f>
        <v>71623865.399076208</v>
      </c>
      <c r="E154" s="453">
        <f t="shared" si="32"/>
        <v>71354378.324076205</v>
      </c>
      <c r="F154" s="453">
        <f t="shared" si="32"/>
        <v>71623865.399076208</v>
      </c>
      <c r="G154" s="453">
        <f t="shared" si="32"/>
        <v>71623865.399076208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4" t="s">
        <v>586</v>
      </c>
      <c r="C155" s="453">
        <f>C23*C26</f>
        <v>1302368510.1261854</v>
      </c>
      <c r="D155" s="453">
        <f t="shared" ref="D155:G155" si="33">D23*D26</f>
        <v>1213283015.5161855</v>
      </c>
      <c r="E155" s="453">
        <f t="shared" si="33"/>
        <v>853511221.96943521</v>
      </c>
      <c r="F155" s="453">
        <f t="shared" si="33"/>
        <v>1213283015.5161855</v>
      </c>
      <c r="G155" s="453">
        <f t="shared" si="33"/>
        <v>1213283015.5161855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2" t="s">
        <v>587</v>
      </c>
      <c r="C156" s="453">
        <f t="shared" ref="C156:G156" si="34">C79*C77</f>
        <v>6386781.5859320518</v>
      </c>
      <c r="D156" s="453">
        <f t="shared" si="34"/>
        <v>6320857.4409320531</v>
      </c>
      <c r="E156" s="453">
        <f t="shared" si="34"/>
        <v>5765362.3644320518</v>
      </c>
      <c r="F156" s="453">
        <f t="shared" si="34"/>
        <v>6320857.4409320531</v>
      </c>
      <c r="G156" s="453">
        <f t="shared" si="34"/>
        <v>6320857.4409320531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4" t="s">
        <v>588</v>
      </c>
      <c r="C157" s="453">
        <f t="shared" ref="C157:G157" si="35">C80*C77</f>
        <v>207115.11665916175</v>
      </c>
      <c r="D157" s="453">
        <f t="shared" si="35"/>
        <v>207115.11665916172</v>
      </c>
      <c r="E157" s="453">
        <f t="shared" si="35"/>
        <v>207115.11665916175</v>
      </c>
      <c r="F157" s="453">
        <f t="shared" si="35"/>
        <v>207115.11665916172</v>
      </c>
      <c r="G157" s="453">
        <f t="shared" si="35"/>
        <v>207115.11665916172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2" t="s">
        <v>589</v>
      </c>
      <c r="C158" s="453">
        <f t="shared" ref="C158:G158" si="36">C100*C98</f>
        <v>48333184.001515433</v>
      </c>
      <c r="D158" s="453">
        <f t="shared" si="36"/>
        <v>65280399.101515435</v>
      </c>
      <c r="E158" s="453">
        <f t="shared" si="36"/>
        <v>46462809.981515445</v>
      </c>
      <c r="F158" s="453">
        <f t="shared" si="36"/>
        <v>65280399.101515435</v>
      </c>
      <c r="G158" s="453">
        <f t="shared" si="36"/>
        <v>65280399.101515435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4" t="s">
        <v>590</v>
      </c>
      <c r="C159" s="453">
        <f t="shared" ref="C159:G159" si="37">C101*C98</f>
        <v>5289459.2000757717</v>
      </c>
      <c r="D159" s="453">
        <f t="shared" si="37"/>
        <v>6136819.9550757715</v>
      </c>
      <c r="E159" s="453">
        <f t="shared" si="37"/>
        <v>5195940.4990757722</v>
      </c>
      <c r="F159" s="453">
        <f t="shared" si="37"/>
        <v>6136819.9550757715</v>
      </c>
      <c r="G159" s="453">
        <f t="shared" si="37"/>
        <v>6136819.9550757715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2" t="s">
        <v>591</v>
      </c>
      <c r="C160" s="453">
        <f>C114-C155-C157-C159</f>
        <v>109634915.55707964</v>
      </c>
      <c r="D160" s="453">
        <f>D114-D155-D157-D159</f>
        <v>764873049.41207957</v>
      </c>
      <c r="E160" s="453">
        <f t="shared" ref="E160:G160" si="38">E114-E155-E157-E159</f>
        <v>530235722.41482985</v>
      </c>
      <c r="F160" s="453">
        <f t="shared" si="38"/>
        <v>764873049.41207957</v>
      </c>
      <c r="G160" s="453">
        <f t="shared" si="38"/>
        <v>764873049.41207957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6" t="s">
        <v>592</v>
      </c>
      <c r="C161" s="525">
        <f>(C154+C156+C158)/C160</f>
        <v>1.1524050558578194</v>
      </c>
      <c r="D161" s="525">
        <f t="shared" ref="D161:F161" si="39">(D154+D156+D158)/D160</f>
        <v>0.18725345604948931</v>
      </c>
      <c r="E161" s="525">
        <f t="shared" si="39"/>
        <v>0.23307096343338957</v>
      </c>
      <c r="F161" s="525">
        <f t="shared" si="39"/>
        <v>0.18725345604948931</v>
      </c>
      <c r="G161" s="525">
        <f>(G154+G156+G158)/G160</f>
        <v>0.18725345604948931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9.5" customHeight="1">
      <c r="B162" s="97" t="s">
        <v>593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98" t="s">
        <v>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9" t="s">
        <v>594</v>
      </c>
      <c r="C165" s="526" t="s">
        <v>595</v>
      </c>
      <c r="D165" s="526" t="s">
        <v>596</v>
      </c>
      <c r="E165" s="526" t="s">
        <v>597</v>
      </c>
      <c r="F165" s="526" t="s">
        <v>598</v>
      </c>
      <c r="G165" s="526" t="s">
        <v>599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100">
        <f>C114</f>
        <v>1417500000</v>
      </c>
      <c r="C166" s="527">
        <v>0</v>
      </c>
      <c r="D166" s="528" t="s">
        <v>600</v>
      </c>
      <c r="E166" s="436">
        <f>$C$154+$C$156+$C$158</f>
        <v>126343830.98652369</v>
      </c>
      <c r="F166" s="436">
        <f t="shared" ref="F166:F185" si="40">$F$186*C166</f>
        <v>0</v>
      </c>
      <c r="G166" s="436">
        <f>E166+F166</f>
        <v>126343830.98652369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3"/>
      <c r="C167" s="527">
        <v>0.05</v>
      </c>
      <c r="D167" s="528">
        <f>C167*$B$166</f>
        <v>70875000</v>
      </c>
      <c r="E167" s="436">
        <f>$C$154+$C$156+$C$158</f>
        <v>126343830.98652369</v>
      </c>
      <c r="F167" s="436">
        <f>$F$186*C167</f>
        <v>65393254.222146027</v>
      </c>
      <c r="G167" s="436">
        <f t="shared" ref="G167:G186" si="41">E167+F167</f>
        <v>191737085.20866972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27">
        <v>0.1</v>
      </c>
      <c r="D168" s="528">
        <f t="shared" ref="D168:D186" si="42">C168*$B$166</f>
        <v>141750000</v>
      </c>
      <c r="E168" s="436">
        <f t="shared" ref="E168:E186" si="43">$C$154+$C$156+$C$158</f>
        <v>126343830.98652369</v>
      </c>
      <c r="F168" s="436">
        <f>$F$186*C168</f>
        <v>130786508.44429205</v>
      </c>
      <c r="G168" s="436">
        <f t="shared" si="41"/>
        <v>257130339.43081576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27">
        <v>0.15</v>
      </c>
      <c r="D169" s="528">
        <f t="shared" si="42"/>
        <v>212625000</v>
      </c>
      <c r="E169" s="436">
        <f>$C$154+$C$156+$C$158</f>
        <v>126343830.98652369</v>
      </c>
      <c r="F169" s="436">
        <f t="shared" si="40"/>
        <v>196179762.66643807</v>
      </c>
      <c r="G169" s="436">
        <f t="shared" si="41"/>
        <v>322523593.65296173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27">
        <v>0.2</v>
      </c>
      <c r="D170" s="528">
        <f>C170*$B$166</f>
        <v>283500000</v>
      </c>
      <c r="E170" s="436">
        <f t="shared" si="43"/>
        <v>126343830.98652369</v>
      </c>
      <c r="F170" s="436">
        <f t="shared" si="40"/>
        <v>261573016.88858411</v>
      </c>
      <c r="G170" s="436">
        <f>E170+F170</f>
        <v>387916847.87510777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27">
        <v>0.25</v>
      </c>
      <c r="D171" s="528">
        <f t="shared" si="42"/>
        <v>354375000</v>
      </c>
      <c r="E171" s="436">
        <f t="shared" si="43"/>
        <v>126343830.98652369</v>
      </c>
      <c r="F171" s="436">
        <f t="shared" si="40"/>
        <v>326966271.11073011</v>
      </c>
      <c r="G171" s="436">
        <f t="shared" si="41"/>
        <v>453310102.0972538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27">
        <v>0.3</v>
      </c>
      <c r="D172" s="528">
        <f t="shared" si="42"/>
        <v>425250000</v>
      </c>
      <c r="E172" s="436">
        <f t="shared" si="43"/>
        <v>126343830.98652369</v>
      </c>
      <c r="F172" s="436">
        <f t="shared" si="40"/>
        <v>392359525.33287615</v>
      </c>
      <c r="G172" s="436">
        <f t="shared" si="41"/>
        <v>518703356.31939983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27">
        <v>0.35</v>
      </c>
      <c r="D173" s="528">
        <f t="shared" si="42"/>
        <v>496124999.99999994</v>
      </c>
      <c r="E173" s="436">
        <f t="shared" si="43"/>
        <v>126343830.98652369</v>
      </c>
      <c r="F173" s="436">
        <f t="shared" si="40"/>
        <v>457752779.55502212</v>
      </c>
      <c r="G173" s="436">
        <f>E173+F173</f>
        <v>584096610.54154587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27">
        <v>0.4</v>
      </c>
      <c r="D174" s="528">
        <f t="shared" si="42"/>
        <v>567000000</v>
      </c>
      <c r="E174" s="436">
        <f t="shared" si="43"/>
        <v>126343830.98652369</v>
      </c>
      <c r="F174" s="436">
        <f t="shared" si="40"/>
        <v>523146033.77716821</v>
      </c>
      <c r="G174" s="436">
        <f t="shared" si="41"/>
        <v>649489864.7636919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27">
        <v>0.45</v>
      </c>
      <c r="D175" s="528">
        <f t="shared" si="42"/>
        <v>637875000</v>
      </c>
      <c r="E175" s="436">
        <f t="shared" si="43"/>
        <v>126343830.98652369</v>
      </c>
      <c r="F175" s="436">
        <f t="shared" si="40"/>
        <v>588539287.99931419</v>
      </c>
      <c r="G175" s="436">
        <f t="shared" si="41"/>
        <v>714883118.98583794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27">
        <v>0.5</v>
      </c>
      <c r="D176" s="528">
        <f t="shared" si="42"/>
        <v>708750000</v>
      </c>
      <c r="E176" s="436">
        <f t="shared" si="43"/>
        <v>126343830.98652369</v>
      </c>
      <c r="F176" s="436">
        <f t="shared" si="40"/>
        <v>653932542.22146022</v>
      </c>
      <c r="G176" s="436">
        <f t="shared" si="41"/>
        <v>780276373.20798397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27">
        <v>0.55000000000000004</v>
      </c>
      <c r="D177" s="528">
        <f t="shared" si="42"/>
        <v>779625000.00000012</v>
      </c>
      <c r="E177" s="436">
        <f t="shared" si="43"/>
        <v>126343830.98652369</v>
      </c>
      <c r="F177" s="436">
        <f t="shared" si="40"/>
        <v>719325796.44360626</v>
      </c>
      <c r="G177" s="436">
        <f>E177+F177</f>
        <v>845669627.43013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27">
        <v>0.6</v>
      </c>
      <c r="D178" s="528">
        <f t="shared" si="42"/>
        <v>850500000</v>
      </c>
      <c r="E178" s="436">
        <f t="shared" si="43"/>
        <v>126343830.98652369</v>
      </c>
      <c r="F178" s="436">
        <f t="shared" si="40"/>
        <v>784719050.66575229</v>
      </c>
      <c r="G178" s="436">
        <f t="shared" si="41"/>
        <v>911062881.65227604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27">
        <v>0.65</v>
      </c>
      <c r="D179" s="528">
        <f t="shared" si="42"/>
        <v>921375000</v>
      </c>
      <c r="E179" s="436">
        <f t="shared" si="43"/>
        <v>126343830.98652369</v>
      </c>
      <c r="F179" s="436">
        <f t="shared" si="40"/>
        <v>850112304.88789833</v>
      </c>
      <c r="G179" s="436">
        <f t="shared" si="41"/>
        <v>976456135.87442207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27">
        <v>0.7</v>
      </c>
      <c r="D180" s="528">
        <f t="shared" si="42"/>
        <v>992249999.99999988</v>
      </c>
      <c r="E180" s="436">
        <f t="shared" si="43"/>
        <v>126343830.98652369</v>
      </c>
      <c r="F180" s="436">
        <f t="shared" si="40"/>
        <v>915505559.11004424</v>
      </c>
      <c r="G180" s="436">
        <f t="shared" si="41"/>
        <v>1041849390.0965679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27">
        <v>0.75</v>
      </c>
      <c r="D181" s="528">
        <f t="shared" si="42"/>
        <v>1063125000</v>
      </c>
      <c r="E181" s="436">
        <f t="shared" si="43"/>
        <v>126343830.98652369</v>
      </c>
      <c r="F181" s="436">
        <f>$F$186*C181</f>
        <v>980898813.33219028</v>
      </c>
      <c r="G181" s="436">
        <f t="shared" si="41"/>
        <v>1107242644.3187139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27">
        <v>0.8</v>
      </c>
      <c r="D182" s="528">
        <f t="shared" si="42"/>
        <v>1134000000</v>
      </c>
      <c r="E182" s="436">
        <f t="shared" si="43"/>
        <v>126343830.98652369</v>
      </c>
      <c r="F182" s="436">
        <f t="shared" si="40"/>
        <v>1046292067.5543364</v>
      </c>
      <c r="G182" s="436">
        <f t="shared" si="41"/>
        <v>1172635898.5408602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27">
        <v>0.85</v>
      </c>
      <c r="D183" s="528">
        <f t="shared" si="42"/>
        <v>1204875000</v>
      </c>
      <c r="E183" s="436">
        <f t="shared" si="43"/>
        <v>126343830.98652369</v>
      </c>
      <c r="F183" s="436">
        <f t="shared" si="40"/>
        <v>1111685321.7764823</v>
      </c>
      <c r="G183" s="436">
        <f t="shared" si="41"/>
        <v>1238029152.763006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27">
        <v>0.9</v>
      </c>
      <c r="D184" s="528">
        <f t="shared" si="42"/>
        <v>1275750000</v>
      </c>
      <c r="E184" s="436">
        <f t="shared" si="43"/>
        <v>126343830.98652369</v>
      </c>
      <c r="F184" s="436">
        <f t="shared" si="40"/>
        <v>1177078575.9986284</v>
      </c>
      <c r="G184" s="436">
        <f t="shared" si="41"/>
        <v>1303422406.985152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27">
        <v>0.95</v>
      </c>
      <c r="D185" s="528">
        <f t="shared" si="42"/>
        <v>1346625000</v>
      </c>
      <c r="E185" s="436">
        <f t="shared" si="43"/>
        <v>126343830.98652369</v>
      </c>
      <c r="F185" s="436">
        <f t="shared" si="40"/>
        <v>1242471830.2207744</v>
      </c>
      <c r="G185" s="436">
        <f t="shared" si="41"/>
        <v>1368815661.207298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27">
        <v>1</v>
      </c>
      <c r="D186" s="528">
        <f t="shared" si="42"/>
        <v>1417500000</v>
      </c>
      <c r="E186" s="436">
        <f t="shared" si="43"/>
        <v>126343830.98652369</v>
      </c>
      <c r="F186" s="436">
        <f>C155+C157+C159</f>
        <v>1307865084.4429204</v>
      </c>
      <c r="G186" s="436">
        <f t="shared" si="41"/>
        <v>1434208915.4294441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98" t="s">
        <v>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9" t="s">
        <v>594</v>
      </c>
      <c r="C190" s="526" t="s">
        <v>595</v>
      </c>
      <c r="D190" s="526" t="s">
        <v>596</v>
      </c>
      <c r="E190" s="526" t="s">
        <v>597</v>
      </c>
      <c r="F190" s="526" t="s">
        <v>598</v>
      </c>
      <c r="G190" s="526" t="s">
        <v>599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100">
        <f>G114</f>
        <v>1984500000</v>
      </c>
      <c r="C191" s="527">
        <v>0</v>
      </c>
      <c r="D191" s="528">
        <f t="shared" ref="D191:D211" si="44">C191*$B$191</f>
        <v>0</v>
      </c>
      <c r="E191" s="436">
        <f>$G$154+$G$156+$G$158</f>
        <v>143225121.9415237</v>
      </c>
      <c r="F191" s="436">
        <f t="shared" ref="F191:F210" si="45">$F$211*C191</f>
        <v>0</v>
      </c>
      <c r="G191" s="436">
        <f>E191+F191</f>
        <v>143225121.9415237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3"/>
      <c r="C192" s="527">
        <v>0.05</v>
      </c>
      <c r="D192" s="528">
        <f t="shared" si="44"/>
        <v>99225000</v>
      </c>
      <c r="E192" s="436">
        <f t="shared" ref="E192:E211" si="46">$G$154+$G$156+$G$158</f>
        <v>143225121.9415237</v>
      </c>
      <c r="F192" s="436">
        <f t="shared" si="45"/>
        <v>175895384.78112903</v>
      </c>
      <c r="G192" s="436">
        <f t="shared" ref="G192:G211" si="47">E192+F192</f>
        <v>319120506.72265273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27">
        <v>0.1</v>
      </c>
      <c r="D193" s="528">
        <f t="shared" si="44"/>
        <v>198450000</v>
      </c>
      <c r="E193" s="436">
        <f t="shared" si="46"/>
        <v>143225121.9415237</v>
      </c>
      <c r="F193" s="436">
        <f t="shared" si="45"/>
        <v>351790769.56225806</v>
      </c>
      <c r="G193" s="436">
        <f t="shared" si="47"/>
        <v>495015891.5037818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27">
        <v>0.15</v>
      </c>
      <c r="D194" s="528">
        <f t="shared" si="44"/>
        <v>297675000</v>
      </c>
      <c r="E194" s="436">
        <f t="shared" si="46"/>
        <v>143225121.9415237</v>
      </c>
      <c r="F194" s="436">
        <f>$F$211*C194</f>
        <v>527686154.34338707</v>
      </c>
      <c r="G194" s="436">
        <f t="shared" si="47"/>
        <v>670911276.2849108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27">
        <v>0.2</v>
      </c>
      <c r="D195" s="528">
        <f t="shared" si="44"/>
        <v>396900000</v>
      </c>
      <c r="E195" s="436">
        <f t="shared" si="46"/>
        <v>143225121.9415237</v>
      </c>
      <c r="F195" s="436">
        <f t="shared" si="45"/>
        <v>703581539.12451613</v>
      </c>
      <c r="G195" s="436">
        <f t="shared" si="47"/>
        <v>846806661.0660398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27">
        <v>0.25</v>
      </c>
      <c r="D196" s="528">
        <f t="shared" si="44"/>
        <v>496125000</v>
      </c>
      <c r="E196" s="436">
        <f t="shared" si="46"/>
        <v>143225121.9415237</v>
      </c>
      <c r="F196" s="436">
        <f t="shared" si="45"/>
        <v>879476923.90564513</v>
      </c>
      <c r="G196" s="436">
        <f t="shared" si="47"/>
        <v>1022702045.8471688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27">
        <v>0.3</v>
      </c>
      <c r="D197" s="528">
        <f t="shared" si="44"/>
        <v>595350000</v>
      </c>
      <c r="E197" s="436">
        <f t="shared" si="46"/>
        <v>143225121.9415237</v>
      </c>
      <c r="F197" s="436">
        <f t="shared" si="45"/>
        <v>1055372308.6867741</v>
      </c>
      <c r="G197" s="436">
        <f t="shared" si="47"/>
        <v>1198597430.6282978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27">
        <v>0.35</v>
      </c>
      <c r="D198" s="528">
        <f t="shared" si="44"/>
        <v>694575000</v>
      </c>
      <c r="E198" s="436">
        <f t="shared" si="46"/>
        <v>143225121.9415237</v>
      </c>
      <c r="F198" s="436">
        <f>$F$211*C198</f>
        <v>1231267693.4679031</v>
      </c>
      <c r="G198" s="436">
        <f t="shared" si="47"/>
        <v>1374492815.4094269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27">
        <v>0.4</v>
      </c>
      <c r="D199" s="528">
        <f t="shared" si="44"/>
        <v>793800000</v>
      </c>
      <c r="E199" s="436">
        <f t="shared" si="46"/>
        <v>143225121.9415237</v>
      </c>
      <c r="F199" s="436">
        <f t="shared" si="45"/>
        <v>1407163078.2490323</v>
      </c>
      <c r="G199" s="436">
        <f t="shared" si="47"/>
        <v>1550388200.190556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27">
        <v>0.45</v>
      </c>
      <c r="D200" s="528">
        <f t="shared" si="44"/>
        <v>893025000</v>
      </c>
      <c r="E200" s="436">
        <f t="shared" si="46"/>
        <v>143225121.9415237</v>
      </c>
      <c r="F200" s="436">
        <f t="shared" si="45"/>
        <v>1583058463.0301614</v>
      </c>
      <c r="G200" s="436">
        <f t="shared" si="47"/>
        <v>1726283584.9716852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27">
        <v>0.5</v>
      </c>
      <c r="D201" s="528">
        <f t="shared" si="44"/>
        <v>992250000</v>
      </c>
      <c r="E201" s="436">
        <f t="shared" si="46"/>
        <v>143225121.9415237</v>
      </c>
      <c r="F201" s="436">
        <f t="shared" si="45"/>
        <v>1758953847.8112903</v>
      </c>
      <c r="G201" s="436">
        <f t="shared" si="47"/>
        <v>1902178969.7528141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27">
        <v>0.55000000000000004</v>
      </c>
      <c r="D202" s="528">
        <f t="shared" si="44"/>
        <v>1091475000</v>
      </c>
      <c r="E202" s="436">
        <f t="shared" si="46"/>
        <v>143225121.9415237</v>
      </c>
      <c r="F202" s="436">
        <f t="shared" si="45"/>
        <v>1934849232.5924194</v>
      </c>
      <c r="G202" s="436">
        <f t="shared" si="47"/>
        <v>2078074354.5339432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27">
        <v>0.6</v>
      </c>
      <c r="D203" s="528">
        <f t="shared" si="44"/>
        <v>1190700000</v>
      </c>
      <c r="E203" s="436">
        <f t="shared" si="46"/>
        <v>143225121.9415237</v>
      </c>
      <c r="F203" s="436">
        <f t="shared" si="45"/>
        <v>2110744617.3735483</v>
      </c>
      <c r="G203" s="436">
        <f t="shared" si="47"/>
        <v>2253969739.3150721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27">
        <v>0.65</v>
      </c>
      <c r="D204" s="528">
        <f t="shared" si="44"/>
        <v>1289925000</v>
      </c>
      <c r="E204" s="436">
        <f t="shared" si="46"/>
        <v>143225121.9415237</v>
      </c>
      <c r="F204" s="436">
        <f t="shared" si="45"/>
        <v>2286640002.1546774</v>
      </c>
      <c r="G204" s="436">
        <f t="shared" si="47"/>
        <v>2429865124.0962009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27">
        <v>0.7</v>
      </c>
      <c r="D205" s="528">
        <f t="shared" si="44"/>
        <v>1389150000</v>
      </c>
      <c r="E205" s="436">
        <f t="shared" si="46"/>
        <v>143225121.9415237</v>
      </c>
      <c r="F205" s="436">
        <f t="shared" si="45"/>
        <v>2462535386.9358063</v>
      </c>
      <c r="G205" s="436">
        <f>E205+F205</f>
        <v>2605760508.8773298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27">
        <v>0.75</v>
      </c>
      <c r="D206" s="528">
        <f t="shared" si="44"/>
        <v>1488375000</v>
      </c>
      <c r="E206" s="436">
        <f t="shared" si="46"/>
        <v>143225121.9415237</v>
      </c>
      <c r="F206" s="436">
        <f t="shared" si="45"/>
        <v>2638430771.7169352</v>
      </c>
      <c r="G206" s="436">
        <f t="shared" si="47"/>
        <v>2781655893.6584587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27">
        <v>0.8</v>
      </c>
      <c r="D207" s="528">
        <f t="shared" si="44"/>
        <v>1587600000</v>
      </c>
      <c r="E207" s="436">
        <f t="shared" si="46"/>
        <v>143225121.9415237</v>
      </c>
      <c r="F207" s="436">
        <f t="shared" si="45"/>
        <v>2814326156.4980645</v>
      </c>
      <c r="G207" s="436">
        <f t="shared" si="47"/>
        <v>2957551278.4395881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27">
        <v>0.85</v>
      </c>
      <c r="D208" s="528">
        <f t="shared" si="44"/>
        <v>1686825000</v>
      </c>
      <c r="E208" s="436">
        <f t="shared" si="46"/>
        <v>143225121.9415237</v>
      </c>
      <c r="F208" s="436">
        <f t="shared" si="45"/>
        <v>2990221541.2791934</v>
      </c>
      <c r="G208" s="436">
        <f t="shared" si="47"/>
        <v>3133446663.220717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27">
        <v>0.9</v>
      </c>
      <c r="D209" s="528">
        <f t="shared" si="44"/>
        <v>1786050000</v>
      </c>
      <c r="E209" s="436">
        <f t="shared" si="46"/>
        <v>143225121.9415237</v>
      </c>
      <c r="F209" s="436">
        <f t="shared" si="45"/>
        <v>3166116926.0603228</v>
      </c>
      <c r="G209" s="436">
        <f t="shared" si="47"/>
        <v>3309342048.0018463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27">
        <v>0.95</v>
      </c>
      <c r="D210" s="528">
        <f t="shared" si="44"/>
        <v>1885275000</v>
      </c>
      <c r="E210" s="436">
        <f t="shared" si="46"/>
        <v>143225121.9415237</v>
      </c>
      <c r="F210" s="436">
        <f t="shared" si="45"/>
        <v>3342012310.8414512</v>
      </c>
      <c r="G210" s="436">
        <f t="shared" si="47"/>
        <v>3485237432.7829747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27">
        <v>1</v>
      </c>
      <c r="D211" s="528">
        <f t="shared" si="44"/>
        <v>1984500000</v>
      </c>
      <c r="E211" s="436">
        <f t="shared" si="46"/>
        <v>143225121.9415237</v>
      </c>
      <c r="F211" s="436">
        <f>G180+G182+G184</f>
        <v>3517907695.6225805</v>
      </c>
      <c r="G211" s="436">
        <f t="shared" si="47"/>
        <v>3661132817.5641041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/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B4:G4"/>
    <mergeCell ref="B31:G31"/>
    <mergeCell ref="B30:H30"/>
    <mergeCell ref="B104:G104"/>
    <mergeCell ref="B83:G83"/>
    <mergeCell ref="B62:G62"/>
    <mergeCell ref="B48:G48"/>
  </mergeCells>
  <pageMargins left="0.32013888888888897" right="0.75" top="0.179861111111111" bottom="0.15972222222222199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workbookViewId="0">
      <selection activeCell="F24" sqref="F24"/>
    </sheetView>
  </sheetViews>
  <sheetFormatPr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57</v>
      </c>
      <c r="B1" s="3"/>
      <c r="C1" s="3"/>
      <c r="D1" s="3"/>
      <c r="E1" s="20">
        <f>InfoInicial!E1</f>
        <v>9</v>
      </c>
      <c r="F1" s="3"/>
      <c r="G1" s="3"/>
      <c r="H1" s="1097" t="s">
        <v>601</v>
      </c>
      <c r="I1" s="1093"/>
      <c r="J1" s="101">
        <v>30</v>
      </c>
      <c r="K1" s="3" t="s">
        <v>602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1097" t="s">
        <v>601</v>
      </c>
      <c r="I2" s="1093"/>
      <c r="J2" s="101">
        <f>60</f>
        <v>60</v>
      </c>
      <c r="K2" s="3" t="s">
        <v>602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2" t="s">
        <v>603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448</v>
      </c>
      <c r="B4" s="430" t="s">
        <v>14</v>
      </c>
      <c r="C4" s="430" t="s">
        <v>2</v>
      </c>
      <c r="D4" s="430" t="s">
        <v>3</v>
      </c>
      <c r="E4" s="430" t="s">
        <v>4</v>
      </c>
      <c r="F4" s="430" t="s">
        <v>5</v>
      </c>
      <c r="G4" s="431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2" t="s">
        <v>604</v>
      </c>
      <c r="B5" s="433"/>
      <c r="C5" s="433"/>
      <c r="D5" s="433"/>
      <c r="E5" s="433"/>
      <c r="F5" s="433"/>
      <c r="G5" s="434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35" t="s">
        <v>605</v>
      </c>
      <c r="B6" s="436">
        <f>C6*B41</f>
        <v>2268000</v>
      </c>
      <c r="C6" s="436">
        <f>'E-Costos'!C114*$B$40</f>
        <v>28350000</v>
      </c>
      <c r="D6" s="436">
        <f>'E-Costos'!D114*$B$40</f>
        <v>39690000</v>
      </c>
      <c r="E6" s="436">
        <f>'E-Costos'!E114*$B$40</f>
        <v>27783000</v>
      </c>
      <c r="F6" s="436">
        <f>'E-Costos'!F114*$B$40</f>
        <v>39690000</v>
      </c>
      <c r="G6" s="436">
        <f>'E-Costos'!G114*$B$40</f>
        <v>39690000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35" t="s">
        <v>606</v>
      </c>
      <c r="B7" s="436">
        <v>0</v>
      </c>
      <c r="C7" s="436">
        <f>'E-Costos'!C114*'E-InvAT'!J1/365</f>
        <v>116506849.3150685</v>
      </c>
      <c r="D7" s="436">
        <f>'E-Costos'!D114*'E-InvAT'!J1/365</f>
        <v>163109589.04109588</v>
      </c>
      <c r="E7" s="944">
        <f>'E-Costos'!E114*J2/365</f>
        <v>228353424.65753424</v>
      </c>
      <c r="F7" s="436">
        <f>'E-Costos'!F114*'E-InvAT'!J1/365</f>
        <v>163109589.04109588</v>
      </c>
      <c r="G7" s="436">
        <f>'E-Costos'!G114*'E-InvAT'!J1/365</f>
        <v>163109589.04109588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5"/>
      <c r="B8" s="436"/>
      <c r="C8" s="436"/>
      <c r="D8" s="436"/>
      <c r="E8" s="436"/>
      <c r="F8" s="436"/>
      <c r="G8" s="43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2" t="s">
        <v>607</v>
      </c>
      <c r="B9" s="436">
        <f>SUM(B10:B13)</f>
        <v>959473.54645999998</v>
      </c>
      <c r="C9" s="436">
        <f>SUM(C10:C13)</f>
        <v>66428130.258623838</v>
      </c>
      <c r="D9" s="436">
        <f>SUM(D10:D13)</f>
        <v>65100822.143937305</v>
      </c>
      <c r="E9" s="436">
        <f>SUM(E10:E13)</f>
        <v>65088537.466446579</v>
      </c>
      <c r="F9" s="436">
        <f t="shared" ref="F9:G9" si="0">SUM(F10:F13)</f>
        <v>65099767.041189805</v>
      </c>
      <c r="G9" s="436">
        <f t="shared" si="0"/>
        <v>65099767.041189805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5" t="s">
        <v>608</v>
      </c>
      <c r="B10" s="436">
        <f>'CA Inv AT'!C10</f>
        <v>378273.44646000001</v>
      </c>
      <c r="C10" s="436">
        <f>'InfoInicial-CálcAux'!L18*'CA COSTOS'!D129</f>
        <v>38610000</v>
      </c>
      <c r="D10" s="436">
        <f>'InfoInicial-CálcAux'!M18*'CA COSTOS'!D129</f>
        <v>38610000</v>
      </c>
      <c r="E10" s="436">
        <f t="shared" ref="E10:G10" si="1">D10</f>
        <v>38610000</v>
      </c>
      <c r="F10" s="436">
        <f t="shared" si="1"/>
        <v>38610000</v>
      </c>
      <c r="G10" s="437">
        <f t="shared" si="1"/>
        <v>38610000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35" t="s">
        <v>609</v>
      </c>
      <c r="B11" s="436">
        <f>('CA COSTOS'!H9-'CA COSTOS'!H7)*'InfoInicial-CálcAux'!K20</f>
        <v>581200.1</v>
      </c>
      <c r="C11" s="436">
        <f>'CA COSTOS'!K90</f>
        <v>1806099.4161843748</v>
      </c>
      <c r="D11" s="436">
        <f>C11</f>
        <v>1806099.4161843748</v>
      </c>
      <c r="E11" s="436">
        <f t="shared" ref="E11" si="2">D11</f>
        <v>1806099.4161843748</v>
      </c>
      <c r="F11" s="436">
        <f>E11</f>
        <v>1806099.4161843748</v>
      </c>
      <c r="G11" s="437">
        <f>F11</f>
        <v>1806099.4161843748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35" t="s">
        <v>610</v>
      </c>
      <c r="B12" s="436">
        <v>0</v>
      </c>
      <c r="C12" s="935">
        <f>'E-Costos'!C45</f>
        <v>18214463.464855101</v>
      </c>
      <c r="D12" s="436">
        <f>'E-Costos'!D45</f>
        <v>17102386.04566947</v>
      </c>
      <c r="E12" s="436">
        <f>'E-Costos'!E45</f>
        <v>17057914.884758081</v>
      </c>
      <c r="F12" s="436">
        <f>'E-Costos'!F45</f>
        <v>17102386.04566947</v>
      </c>
      <c r="G12" s="436">
        <f>'E-Costos'!G45</f>
        <v>17102386.04566947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10" t="s">
        <v>611</v>
      </c>
      <c r="B13" s="933">
        <v>0</v>
      </c>
      <c r="C13" s="934">
        <f>'E-Costos'!C140*'InfoInicial-CálcAux'!L24</f>
        <v>7797567.377584368</v>
      </c>
      <c r="D13" s="934">
        <f>'E-Costos'!D131+C13</f>
        <v>7582336.6820834558</v>
      </c>
      <c r="E13" s="934">
        <f>'E-Costos'!E131+D13</f>
        <v>7614523.1655041287</v>
      </c>
      <c r="F13" s="934">
        <f>'E-Costos'!F131+E13</f>
        <v>7581281.5793359559</v>
      </c>
      <c r="G13" s="934">
        <f>'E-Costos'!G131+F13</f>
        <v>7581281.5793359559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35"/>
      <c r="B14" s="436"/>
      <c r="C14" s="436">
        <f>C13-'E-Costos'!C10</f>
        <v>-60698243.693241835</v>
      </c>
      <c r="D14" s="436">
        <f>D13-'E-Costos'!D10</f>
        <v>-60913474.388742745</v>
      </c>
      <c r="E14" s="436">
        <f>E13-'E-Costos'!E10</f>
        <v>-60881287.905322075</v>
      </c>
      <c r="F14" s="436">
        <f>F13-'E-Costos'!F10</f>
        <v>-60914529.491490245</v>
      </c>
      <c r="G14" s="436">
        <f>G13-'E-Costos'!G10</f>
        <v>-60914529.491490245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2" t="s">
        <v>612</v>
      </c>
      <c r="B15" s="436">
        <f>B9+B6+B7</f>
        <v>3227473.5464599999</v>
      </c>
      <c r="C15" s="436">
        <f>C9+C6+C7</f>
        <v>211284979.57369232</v>
      </c>
      <c r="D15" s="436">
        <f>D9+D6+D7</f>
        <v>267900411.1850332</v>
      </c>
      <c r="E15" s="436">
        <f>E9+E6+E7</f>
        <v>321224962.12398082</v>
      </c>
      <c r="F15" s="436">
        <f t="shared" ref="F15:G15" si="3">F9+F6+F7</f>
        <v>267899356.0822857</v>
      </c>
      <c r="G15" s="436">
        <f t="shared" si="3"/>
        <v>267899356.0822857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2" t="s">
        <v>613</v>
      </c>
      <c r="B16" s="436"/>
      <c r="C16" s="436"/>
      <c r="D16" s="436"/>
      <c r="E16" s="436"/>
      <c r="F16" s="436"/>
      <c r="G16" s="43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35" t="s">
        <v>614</v>
      </c>
      <c r="B17" s="436">
        <v>0</v>
      </c>
      <c r="C17" s="436">
        <f>'E-Costos'!C36</f>
        <v>6608511.2300080173</v>
      </c>
      <c r="D17" s="436">
        <f>'E-Costos'!D36</f>
        <v>5653948.1929718591</v>
      </c>
      <c r="E17" s="436">
        <f>'E-Costos'!E36</f>
        <v>5653948.1929718591</v>
      </c>
      <c r="F17" s="436">
        <f>'E-Costos'!F36</f>
        <v>5653948.1929718591</v>
      </c>
      <c r="G17" s="437">
        <f>'E-Costos'!G36</f>
        <v>5653948.1929718591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5" t="s">
        <v>615</v>
      </c>
      <c r="B18" s="436">
        <v>0</v>
      </c>
      <c r="C18" s="436">
        <f>(('E-Costos'!C10-'E-Costos'!C36)/'InfoInicial-CálcAux'!L14)*'InfoInicial-CálcAux'!L13</f>
        <v>1418349.1358293809</v>
      </c>
      <c r="D18" s="436">
        <f>(('E-Costos'!D10-'E-Costos'!D36)/'InfoInicial-CálcAux'!M14)*'InfoInicial-CálcAux'!M13</f>
        <v>1232193.3887839189</v>
      </c>
      <c r="E18" s="436">
        <f>(('E-Costos'!E10-'E-Costos'!E36)/'InfoInicial-CálcAux'!M14)*'InfoInicial-CálcAux'!M13</f>
        <v>1232193.3887839189</v>
      </c>
      <c r="F18" s="436">
        <f>(('E-Costos'!F10-'E-Costos'!F36)/'InfoInicial-CálcAux'!M14)*'InfoInicial-CálcAux'!M13</f>
        <v>1232193.3887839189</v>
      </c>
      <c r="G18" s="437">
        <f>(('E-Costos'!G10-'E-Costos'!G36)/'InfoInicial-CálcAux'!M14)*'InfoInicial-CálcAux'!M13</f>
        <v>1232193.3887839189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35" t="s">
        <v>616</v>
      </c>
      <c r="B19" s="436">
        <v>0</v>
      </c>
      <c r="C19" s="436">
        <f>C7*'E-Costos'!C147</f>
        <v>2810407.8285870967</v>
      </c>
      <c r="D19" s="436">
        <f>D7*'E-Costos'!D147</f>
        <v>30820587.484982722</v>
      </c>
      <c r="E19" s="436">
        <f>E7*'E-Costos'!E147</f>
        <v>40407849.243648037</v>
      </c>
      <c r="F19" s="436">
        <f>F7*'E-Costos'!F147</f>
        <v>30887092.638401363</v>
      </c>
      <c r="G19" s="436">
        <f>G7*'E-Costos'!G147</f>
        <v>30886534.697749406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5" t="s">
        <v>617</v>
      </c>
      <c r="B20" s="436">
        <v>0</v>
      </c>
      <c r="C20" s="436">
        <f>('E-Costos'!C151-C17-C18)/365*J1</f>
        <v>4688561.1083381502</v>
      </c>
      <c r="D20" s="436">
        <f>('E-Costos'!D151-D17-D18)/365*J1</f>
        <v>4782318.8166188309</v>
      </c>
      <c r="E20" s="436">
        <f>('E-Costos'!E151-E17-E18)/365*J1</f>
        <v>4782318.8166188309</v>
      </c>
      <c r="F20" s="436">
        <f>('E-Costos'!F151-F17-F18)/365*J1</f>
        <v>4782318.8166188309</v>
      </c>
      <c r="G20" s="436">
        <f>('E-Costos'!G151-G17-G18)/365*J1</f>
        <v>4782318.8166188309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35"/>
      <c r="B21" s="436"/>
      <c r="C21" s="436"/>
      <c r="D21" s="436"/>
      <c r="E21" s="436"/>
      <c r="F21" s="436"/>
      <c r="G21" s="43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2" t="s">
        <v>618</v>
      </c>
      <c r="B22" s="436">
        <f>B15-SUM(B17:B20)</f>
        <v>3227473.5464599999</v>
      </c>
      <c r="C22" s="436">
        <f>C15-SUM(C17:C20)</f>
        <v>195759150.27092966</v>
      </c>
      <c r="D22" s="436">
        <f>D15-SUM(D17:D20)</f>
        <v>225411363.30167586</v>
      </c>
      <c r="E22" s="436">
        <f t="shared" ref="E22:G22" si="4">E15-SUM(E17:E20)</f>
        <v>269148652.48195815</v>
      </c>
      <c r="F22" s="436">
        <f>F15-SUM(F17:F20)</f>
        <v>225343803.04550973</v>
      </c>
      <c r="G22" s="436">
        <f t="shared" si="4"/>
        <v>225344360.98616168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5"/>
      <c r="B23" s="436"/>
      <c r="C23" s="436"/>
      <c r="D23" s="436"/>
      <c r="E23" s="436"/>
      <c r="F23" s="436"/>
      <c r="G23" s="43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2" t="s">
        <v>619</v>
      </c>
      <c r="B24" s="436">
        <f>B15</f>
        <v>3227473.5464599999</v>
      </c>
      <c r="C24" s="436">
        <f>C15-B15</f>
        <v>208057506.02723232</v>
      </c>
      <c r="D24" s="436">
        <f>D15-C15</f>
        <v>56615431.61134088</v>
      </c>
      <c r="E24" s="436">
        <f>E15-D15</f>
        <v>53324550.938947618</v>
      </c>
      <c r="F24" s="436">
        <f>F15-E15</f>
        <v>-53325606.041695118</v>
      </c>
      <c r="G24" s="437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2" t="s">
        <v>620</v>
      </c>
      <c r="B25" s="436">
        <f>B22</f>
        <v>3227473.5464599999</v>
      </c>
      <c r="C25" s="436">
        <f>C22-B22</f>
        <v>192531676.72446966</v>
      </c>
      <c r="D25" s="436">
        <f>D22-C22</f>
        <v>29652213.030746192</v>
      </c>
      <c r="E25" s="436">
        <f>E22-D22</f>
        <v>43737289.180282295</v>
      </c>
      <c r="F25" s="436">
        <f>F22-E22</f>
        <v>-43804849.436448425</v>
      </c>
      <c r="G25" s="437">
        <f>G22-F22</f>
        <v>557.94065195322037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35"/>
      <c r="B26" s="436"/>
      <c r="C26" s="436"/>
      <c r="D26" s="436"/>
      <c r="E26" s="436"/>
      <c r="F26" s="436"/>
      <c r="G26" s="43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2" t="s">
        <v>621</v>
      </c>
      <c r="B27" s="436"/>
      <c r="C27" s="436"/>
      <c r="D27" s="436"/>
      <c r="E27" s="436"/>
      <c r="F27" s="436"/>
      <c r="G27" s="43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35" t="s">
        <v>622</v>
      </c>
      <c r="B28" s="436">
        <v>0</v>
      </c>
      <c r="C28" s="436">
        <f>(C7*0.21)-(B7*0.21)</f>
        <v>24466438.356164385</v>
      </c>
      <c r="D28" s="436">
        <f>(D7*0.21)-(C7*0.21)</f>
        <v>9786575.3424657471</v>
      </c>
      <c r="E28" s="436">
        <f t="shared" ref="E28:G28" si="5">(E7*0.21)-(D7*0.21)</f>
        <v>13701205.479452059</v>
      </c>
      <c r="F28" s="436">
        <f t="shared" si="5"/>
        <v>-13701205.479452059</v>
      </c>
      <c r="G28" s="437">
        <f t="shared" si="5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35" t="s">
        <v>623</v>
      </c>
      <c r="B29" s="436"/>
      <c r="C29" s="436"/>
      <c r="D29" s="436"/>
      <c r="E29" s="436"/>
      <c r="F29" s="436"/>
      <c r="G29" s="43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35" t="s">
        <v>624</v>
      </c>
      <c r="B30" s="436">
        <f>InfoInicial!$B$3*B10</f>
        <v>79437.423756599994</v>
      </c>
      <c r="C30" s="436">
        <f>InfoInicial!$B$3*(C10-B10)</f>
        <v>8028662.5762433996</v>
      </c>
      <c r="D30" s="436">
        <f>InfoInicial!$B$3*(D10-C10)</f>
        <v>0</v>
      </c>
      <c r="E30" s="436">
        <f>InfoInicial!$B$3*(E10-D10)</f>
        <v>0</v>
      </c>
      <c r="F30" s="436">
        <f>InfoInicial!$B$3*(F10-E10)</f>
        <v>0</v>
      </c>
      <c r="G30" s="436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35" t="s">
        <v>625</v>
      </c>
      <c r="B31" s="436">
        <v>0</v>
      </c>
      <c r="C31" s="436">
        <f>(C11-B11)*InfoInicial!$B$3</f>
        <v>257228.85639871872</v>
      </c>
      <c r="D31" s="436">
        <f>(D11-C11)*InfoInicial!$B$3</f>
        <v>0</v>
      </c>
      <c r="E31" s="436">
        <f>(E11-D11)*InfoInicial!$B$3</f>
        <v>0</v>
      </c>
      <c r="F31" s="436">
        <f>(F11-E11)*InfoInicial!$B$3</f>
        <v>0</v>
      </c>
      <c r="G31" s="436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5" t="s">
        <v>626</v>
      </c>
      <c r="B32" s="436">
        <v>0</v>
      </c>
      <c r="C32" s="436">
        <f>0.21*('E-Costos'!C33+'E-Costos'!C38+'E-Costos'!C39)</f>
        <v>2234377.0113047799</v>
      </c>
      <c r="D32" s="436">
        <f>(D12-C12)*InfoInicial!B3</f>
        <v>-233536.2580289825</v>
      </c>
      <c r="E32" s="436">
        <f t="shared" ref="E32:G32" si="6">(E12*0.21)-(D12*0.21)</f>
        <v>-9338.9437913917936</v>
      </c>
      <c r="F32" s="436">
        <f t="shared" si="6"/>
        <v>9338.9437913917936</v>
      </c>
      <c r="G32" s="437">
        <f t="shared" si="6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10" t="s">
        <v>627</v>
      </c>
      <c r="B33" s="436">
        <v>0</v>
      </c>
      <c r="C33" s="436">
        <f>0.21*('CA COSTOS'!D165+'CA COSTOS'!D170+'CA COSTOS'!D171)</f>
        <v>5634765.2606702941</v>
      </c>
      <c r="D33" s="436">
        <f>(0.21*('CA COSTOS'!E165+'CA COSTOS'!E170+'CA COSTOS'!E171)-'E-InvAT'!C33)</f>
        <v>-947868.51276782807</v>
      </c>
      <c r="E33" s="438">
        <f>(0.21*('CA COSTOS'!F165+'CA COSTOS'!F170+'CA COSTOS'!F171)-(0.21*('CA COSTOS'!E165+'CA COSTOS'!E170+'CA COSTOS'!E171)))</f>
        <v>-1385227.693018259</v>
      </c>
      <c r="F33" s="438">
        <f>(0.21*('CA COSTOS'!G165+'CA COSTOS'!G170+'CA COSTOS'!G171)-(0.21*('CA COSTOS'!F165+'CA COSTOS'!F170+'CA COSTOS'!F171)))</f>
        <v>1385227.693018259</v>
      </c>
      <c r="G33" s="439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2" t="s">
        <v>628</v>
      </c>
      <c r="B34" s="436">
        <f>SUM(B28:B33)</f>
        <v>79437.423756599994</v>
      </c>
      <c r="C34" s="436">
        <f>SUM(C28:C33)</f>
        <v>40621472.060781583</v>
      </c>
      <c r="D34" s="436">
        <f>SUM(D28:D33)</f>
        <v>8605170.5716689378</v>
      </c>
      <c r="E34" s="440">
        <f>SUM(E28:E33)</f>
        <v>12306638.842642408</v>
      </c>
      <c r="F34" s="440">
        <f t="shared" ref="F34:G34" si="7">SUM(F28:F33)</f>
        <v>-12306638.842642408</v>
      </c>
      <c r="G34" s="440">
        <f t="shared" si="7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35"/>
      <c r="B35" s="440"/>
      <c r="C35" s="440"/>
      <c r="D35" s="440"/>
      <c r="E35" s="440"/>
      <c r="F35" s="440"/>
      <c r="G35" s="4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2" t="s">
        <v>629</v>
      </c>
      <c r="B36" s="443">
        <f>B34+B25</f>
        <v>3306910.9702165998</v>
      </c>
      <c r="C36" s="443">
        <f>C34+C25</f>
        <v>233153148.78525126</v>
      </c>
      <c r="D36" s="443">
        <f>D34+D25</f>
        <v>38257383.60241513</v>
      </c>
      <c r="E36" s="443">
        <f t="shared" ref="E36:G36" si="8">E34+E25</f>
        <v>56043928.022924706</v>
      </c>
      <c r="F36" s="443">
        <f t="shared" si="8"/>
        <v>-56111488.279090837</v>
      </c>
      <c r="G36" s="443">
        <f t="shared" si="8"/>
        <v>557.94065195322037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'E-Costos'!C131</f>
        <v>1388447.4194900237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54" t="s">
        <v>630</v>
      </c>
      <c r="B40" s="889">
        <v>0.02</v>
      </c>
      <c r="C40" s="888" t="s">
        <v>631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54" t="s">
        <v>632</v>
      </c>
      <c r="B41" s="890">
        <v>0.08</v>
      </c>
      <c r="C41" s="888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H1:I1"/>
    <mergeCell ref="H2:I2"/>
  </mergeCells>
  <pageMargins left="0.25972222222222202" right="0.45972222222222198" top="0.6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/>
  <cp:revision/>
  <dcterms:created xsi:type="dcterms:W3CDTF">2021-08-14T00:13:07Z</dcterms:created>
  <dcterms:modified xsi:type="dcterms:W3CDTF">2022-12-01T17:47:55Z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