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9720" windowHeight="5730" tabRatio="906" firstSheet="4" activeTab="9"/>
  </bookViews>
  <sheets>
    <sheet name="VER ADRI" sheetId="17" state="hidden" r:id="rId1"/>
    <sheet name="Entrada de Datos" sheetId="18" r:id="rId2"/>
    <sheet name="InfoInicial" sheetId="2" r:id="rId3"/>
    <sheet name="E-Inv AF y Am" sheetId="1" r:id="rId4"/>
    <sheet name="E-Costos" sheetId="4" r:id="rId5"/>
    <sheet name="E-InvAT" sheetId="5" r:id="rId6"/>
    <sheet name="E-Cal Inv." sheetId="6" r:id="rId7"/>
    <sheet name="E-IVA " sheetId="7" r:id="rId8"/>
    <sheet name="E-Form" sheetId="8" r:id="rId9"/>
    <sheet name="Detalle Cred Maq" sheetId="19" r:id="rId10"/>
    <sheet name="Detalle Cred Renov" sheetId="20" r:id="rId11"/>
    <sheet name="DF-Cred" sheetId="9" r:id="rId12"/>
    <sheet name="DF-CRes" sheetId="10" r:id="rId13"/>
    <sheet name="DF-2 Estructura" sheetId="13" r:id="rId14"/>
    <sheet name="DF-IVA" sheetId="11" r:id="rId15"/>
    <sheet name="DF- CFyU" sheetId="14" r:id="rId16"/>
    <sheet name="DF-Balance" sheetId="15" r:id="rId17"/>
    <sheet name="DF- Form" sheetId="12" r:id="rId18"/>
  </sheets>
  <externalReferences>
    <externalReference r:id="rId19"/>
    <externalReference r:id="rId20"/>
    <externalReference r:id="rId21"/>
    <externalReference r:id="rId22"/>
  </externalReferences>
  <definedNames>
    <definedName name="_xlnm.Print_Area" localSheetId="15">'DF- CFyU'!#REF!,'DF- CFyU'!#REF!,'DF- CFyU'!$A$3:$H$29</definedName>
    <definedName name="_xlnm.Print_Area" localSheetId="16">'DF-Balance'!#REF!,'DF-Balance'!#REF!,'DF-Balance'!$A$3:$G$35</definedName>
    <definedName name="_xlnm.Print_Area" localSheetId="11">'DF-Cred'!$A$1:$G$7,'DF-Cred'!$A$9:$I$29</definedName>
    <definedName name="_xlnm.Print_Area" localSheetId="4">'E-Costos'!$A$1:$L$49,'E-Costos'!$A$52:$K$89,'E-Costos'!$A$92:$K$146</definedName>
  </definedNames>
  <calcPr calcId="144525"/>
</workbook>
</file>

<file path=xl/calcChain.xml><?xml version="1.0" encoding="utf-8"?>
<calcChain xmlns="http://schemas.openxmlformats.org/spreadsheetml/2006/main">
  <c r="B8" i="12" l="1"/>
  <c r="B56" i="13"/>
  <c r="B4" i="9"/>
  <c r="B28" i="19"/>
  <c r="B29" i="19" s="1"/>
  <c r="D28" i="19"/>
  <c r="H28" i="19"/>
  <c r="D29" i="19"/>
  <c r="H29" i="19" s="1"/>
  <c r="E29" i="19"/>
  <c r="F29" i="19"/>
  <c r="F30" i="19" s="1"/>
  <c r="C30" i="19"/>
  <c r="E30" i="19"/>
  <c r="G30" i="19"/>
  <c r="D30" i="19" l="1"/>
  <c r="B5" i="19" l="1"/>
  <c r="B6" i="19" s="1"/>
  <c r="C48" i="1"/>
  <c r="G50" i="1"/>
  <c r="E50" i="1"/>
  <c r="E49" i="1"/>
  <c r="D49" i="1"/>
  <c r="G49" i="1" s="1"/>
  <c r="C49" i="1"/>
  <c r="C27" i="19" l="1"/>
  <c r="C25" i="19"/>
  <c r="C23" i="19"/>
  <c r="C21" i="19"/>
  <c r="C26" i="19"/>
  <c r="C24" i="19"/>
  <c r="C22" i="19"/>
  <c r="C20" i="19"/>
  <c r="B7" i="1"/>
  <c r="D10" i="18" l="1"/>
  <c r="B95" i="4" l="1"/>
  <c r="F78" i="4"/>
  <c r="E78" i="4"/>
  <c r="D78" i="4"/>
  <c r="C78" i="4"/>
  <c r="W8" i="18"/>
  <c r="B15" i="1"/>
  <c r="B9" i="5"/>
  <c r="G8" i="5"/>
  <c r="F8" i="5"/>
  <c r="E8" i="5"/>
  <c r="D8" i="5"/>
  <c r="C8" i="5"/>
  <c r="B8" i="5" s="1"/>
  <c r="F77" i="4"/>
  <c r="E77" i="4"/>
  <c r="D77" i="4"/>
  <c r="W7" i="18"/>
  <c r="F57" i="4"/>
  <c r="E57" i="4"/>
  <c r="D57" i="4"/>
  <c r="C57" i="4"/>
  <c r="C77" i="4" s="1"/>
  <c r="F10" i="4"/>
  <c r="E10" i="4"/>
  <c r="D10" i="4"/>
  <c r="C10" i="4"/>
  <c r="I22" i="6" l="1"/>
  <c r="B30" i="5" l="1"/>
  <c r="C11" i="4"/>
  <c r="B11" i="4" s="1"/>
  <c r="D11" i="4"/>
  <c r="E11" i="4"/>
  <c r="F11" i="4"/>
  <c r="W4" i="18"/>
  <c r="T17" i="18"/>
  <c r="B25" i="1"/>
  <c r="C25" i="1"/>
  <c r="B16" i="1"/>
  <c r="B12" i="1"/>
  <c r="B14" i="1" s="1"/>
  <c r="B18" i="1" s="1"/>
  <c r="J19" i="1"/>
  <c r="J18" i="1"/>
  <c r="J17" i="1"/>
  <c r="J16" i="1"/>
  <c r="J15" i="1"/>
  <c r="J14" i="1"/>
  <c r="J11" i="1"/>
  <c r="J10" i="1"/>
  <c r="J9" i="1"/>
  <c r="J8" i="1"/>
  <c r="J7" i="1"/>
  <c r="J23" i="1"/>
  <c r="B79" i="4" l="1"/>
  <c r="C79" i="4" s="1"/>
  <c r="D79" i="4" s="1"/>
  <c r="E79" i="4" s="1"/>
  <c r="F79" i="4" s="1"/>
  <c r="B14" i="4"/>
  <c r="C14" i="4" s="1"/>
  <c r="D14" i="4" s="1"/>
  <c r="E14" i="4" s="1"/>
  <c r="F14" i="4" s="1"/>
  <c r="B59" i="4"/>
  <c r="C59" i="4" s="1"/>
  <c r="D59" i="4" s="1"/>
  <c r="E59" i="4" s="1"/>
  <c r="F59" i="4" s="1"/>
  <c r="E26" i="18"/>
  <c r="K3" i="18"/>
  <c r="K18" i="18" s="1"/>
  <c r="F95" i="4"/>
  <c r="E95" i="4"/>
  <c r="D95" i="4"/>
  <c r="C95" i="4"/>
  <c r="F94" i="4"/>
  <c r="E94" i="4"/>
  <c r="D94" i="4"/>
  <c r="C94" i="4"/>
  <c r="B94" i="4"/>
  <c r="B20" i="2"/>
  <c r="B19" i="2"/>
  <c r="C97" i="4" l="1"/>
  <c r="C110" i="4"/>
  <c r="E97" i="4"/>
  <c r="E110" i="4"/>
  <c r="B97" i="4"/>
  <c r="C22" i="7" s="1"/>
  <c r="B110" i="4"/>
  <c r="D97" i="4"/>
  <c r="D110" i="4"/>
  <c r="F97" i="4"/>
  <c r="F110" i="4"/>
  <c r="K19" i="18"/>
  <c r="E20" i="18"/>
  <c r="E21" i="18" s="1"/>
  <c r="E25" i="18" s="1"/>
  <c r="C4" i="18"/>
  <c r="C53" i="1" l="1"/>
  <c r="C44" i="1"/>
  <c r="C45" i="1"/>
  <c r="C46" i="1"/>
  <c r="C47" i="1"/>
  <c r="C50" i="1"/>
  <c r="C43" i="1"/>
  <c r="E1" i="1"/>
  <c r="B11" i="15" l="1"/>
  <c r="B23" i="15" s="1"/>
  <c r="C42" i="8"/>
  <c r="D42" i="8" s="1"/>
  <c r="E42" i="8" s="1"/>
  <c r="F42" i="8" s="1"/>
  <c r="G42" i="8" s="1"/>
  <c r="H42" i="8" s="1"/>
  <c r="I42" i="8" s="1"/>
  <c r="J42" i="8" s="1"/>
  <c r="K42" i="8" s="1"/>
  <c r="L42" i="8" s="1"/>
  <c r="K40" i="12"/>
  <c r="L40" i="12" s="1"/>
  <c r="M40" i="12" s="1"/>
  <c r="N40" i="12" s="1"/>
  <c r="O40" i="12" s="1"/>
  <c r="P40" i="12" s="1"/>
  <c r="Q40" i="12" s="1"/>
  <c r="R40" i="12" s="1"/>
  <c r="S40" i="12" s="1"/>
  <c r="T40" i="12" s="1"/>
  <c r="E21" i="12"/>
  <c r="F21" i="12" s="1"/>
  <c r="D28" i="12"/>
  <c r="B25" i="12"/>
  <c r="C25" i="12" s="1"/>
  <c r="B24" i="12"/>
  <c r="C24" i="12" s="1"/>
  <c r="B23" i="12"/>
  <c r="C23" i="12" s="1"/>
  <c r="J3" i="12"/>
  <c r="F3" i="12"/>
  <c r="E3" i="12"/>
  <c r="C7" i="12"/>
  <c r="C6" i="12"/>
  <c r="C5" i="12"/>
  <c r="B7" i="12"/>
  <c r="B6" i="12"/>
  <c r="B5" i="12"/>
  <c r="G27" i="15"/>
  <c r="C34" i="15"/>
  <c r="G20" i="15"/>
  <c r="F20" i="15"/>
  <c r="E20" i="15"/>
  <c r="D20" i="15"/>
  <c r="B9" i="15"/>
  <c r="B8" i="15"/>
  <c r="H23" i="14"/>
  <c r="H21" i="14"/>
  <c r="C6" i="14"/>
  <c r="C9" i="14"/>
  <c r="B8" i="14"/>
  <c r="B6" i="11"/>
  <c r="B7" i="11"/>
  <c r="B16" i="13"/>
  <c r="B12" i="13"/>
  <c r="I14" i="9"/>
  <c r="E23" i="9"/>
  <c r="E21" i="9"/>
  <c r="E19" i="9"/>
  <c r="E17" i="9"/>
  <c r="E16" i="9"/>
  <c r="D12" i="9"/>
  <c r="B3" i="20"/>
  <c r="D5" i="9" s="1"/>
  <c r="C28" i="13" s="1"/>
  <c r="H19" i="19"/>
  <c r="W5" i="18"/>
  <c r="W10" i="18" s="1"/>
  <c r="W6" i="18"/>
  <c r="K13" i="18"/>
  <c r="K14" i="18"/>
  <c r="V33" i="17"/>
  <c r="C22" i="17"/>
  <c r="C21" i="17"/>
  <c r="M12" i="17"/>
  <c r="L12" i="17"/>
  <c r="K12" i="17"/>
  <c r="J12" i="17"/>
  <c r="I12" i="17"/>
  <c r="H12" i="17"/>
  <c r="G12" i="17"/>
  <c r="F12" i="17"/>
  <c r="E12" i="17"/>
  <c r="D12" i="17"/>
  <c r="P10" i="17"/>
  <c r="D10" i="17"/>
  <c r="E10" i="17" s="1"/>
  <c r="F10" i="17" s="1"/>
  <c r="AC4" i="17"/>
  <c r="AC5" i="17" s="1"/>
  <c r="AC6" i="17"/>
  <c r="AC7" i="17" s="1"/>
  <c r="AB4" i="17"/>
  <c r="AB5" i="17" s="1"/>
  <c r="AB6" i="17"/>
  <c r="AB7" i="17" s="1"/>
  <c r="AB29" i="17" s="1"/>
  <c r="AA4" i="17"/>
  <c r="AA5" i="17" s="1"/>
  <c r="AA6" i="17"/>
  <c r="AA7" i="17" s="1"/>
  <c r="Z4" i="17"/>
  <c r="Z5" i="17" s="1"/>
  <c r="Z6" i="17"/>
  <c r="Z7" i="17" s="1"/>
  <c r="Y4" i="17"/>
  <c r="Y5" i="17" s="1"/>
  <c r="Y6" i="17"/>
  <c r="Y7" i="17" s="1"/>
  <c r="P4" i="17"/>
  <c r="P5" i="17" s="1"/>
  <c r="M4" i="17"/>
  <c r="M5" i="17" s="1"/>
  <c r="L4" i="17"/>
  <c r="K4" i="17"/>
  <c r="K5" i="17" s="1"/>
  <c r="J4" i="17"/>
  <c r="I4" i="17"/>
  <c r="H4" i="17"/>
  <c r="G4" i="17"/>
  <c r="F4" i="17"/>
  <c r="F5" i="17"/>
  <c r="E4" i="17"/>
  <c r="D4" i="17"/>
  <c r="V3" i="17"/>
  <c r="C3" i="17"/>
  <c r="D2" i="17"/>
  <c r="E2" i="17"/>
  <c r="F2" i="17" s="1"/>
  <c r="G2" i="17"/>
  <c r="H2" i="17" s="1"/>
  <c r="I2" i="17" s="1"/>
  <c r="J2" i="17" s="1"/>
  <c r="K2" i="17" s="1"/>
  <c r="L2" i="17" s="1"/>
  <c r="M2" i="17" s="1"/>
  <c r="B46" i="1"/>
  <c r="V15" i="17"/>
  <c r="J5" i="17"/>
  <c r="V18" i="17"/>
  <c r="V29" i="17"/>
  <c r="B13" i="13"/>
  <c r="B29" i="5"/>
  <c r="B11" i="7"/>
  <c r="B17" i="7" s="1"/>
  <c r="B19" i="7" s="1"/>
  <c r="G7" i="7"/>
  <c r="F7" i="7"/>
  <c r="E7" i="7"/>
  <c r="D7" i="7"/>
  <c r="H13" i="6"/>
  <c r="G13" i="6"/>
  <c r="F13" i="6"/>
  <c r="E13" i="6"/>
  <c r="H12" i="6"/>
  <c r="G12" i="6"/>
  <c r="F12" i="6"/>
  <c r="E12" i="6"/>
  <c r="D12" i="6"/>
  <c r="C15" i="6"/>
  <c r="C14" i="6"/>
  <c r="C12" i="6"/>
  <c r="B16" i="6"/>
  <c r="H6" i="6"/>
  <c r="H19" i="6"/>
  <c r="G6" i="6"/>
  <c r="G19" i="6" s="1"/>
  <c r="F6" i="6"/>
  <c r="B6" i="8" s="1"/>
  <c r="E6" i="6"/>
  <c r="G29" i="5"/>
  <c r="F29" i="5"/>
  <c r="E29" i="5"/>
  <c r="D29" i="5"/>
  <c r="B28" i="5"/>
  <c r="B32" i="5" s="1"/>
  <c r="G28" i="5"/>
  <c r="F28" i="5"/>
  <c r="E28" i="5"/>
  <c r="D28" i="5"/>
  <c r="C28" i="5"/>
  <c r="B159" i="4"/>
  <c r="H159" i="4" s="1"/>
  <c r="E22" i="7"/>
  <c r="E12" i="11" s="1"/>
  <c r="B10" i="4"/>
  <c r="B77" i="4"/>
  <c r="F58" i="4"/>
  <c r="E58" i="4"/>
  <c r="F8" i="7" s="1"/>
  <c r="D58" i="4"/>
  <c r="C58" i="4"/>
  <c r="B57" i="4"/>
  <c r="C7" i="7" s="1"/>
  <c r="F10" i="7"/>
  <c r="D10" i="7"/>
  <c r="B42" i="1"/>
  <c r="B7" i="8"/>
  <c r="C19" i="1"/>
  <c r="B44" i="1"/>
  <c r="F19" i="6"/>
  <c r="C13" i="6"/>
  <c r="D13" i="6"/>
  <c r="C29" i="5"/>
  <c r="Y26" i="17"/>
  <c r="AC12" i="17"/>
  <c r="AC14" i="17"/>
  <c r="AA33" i="17"/>
  <c r="B78" i="4"/>
  <c r="E5" i="17"/>
  <c r="L5" i="17"/>
  <c r="I5" i="17"/>
  <c r="G5" i="17"/>
  <c r="AB12" i="17"/>
  <c r="Z13" i="17"/>
  <c r="K22" i="17"/>
  <c r="E22" i="17"/>
  <c r="L22" i="17"/>
  <c r="Z33" i="17"/>
  <c r="D5" i="17"/>
  <c r="K6" i="17"/>
  <c r="K9" i="17" s="1"/>
  <c r="H5" i="17"/>
  <c r="H6" i="17" s="1"/>
  <c r="H9" i="17" s="1"/>
  <c r="AB26" i="17"/>
  <c r="V28" i="17"/>
  <c r="V12" i="17"/>
  <c r="V13" i="17"/>
  <c r="V14" i="17"/>
  <c r="V26" i="17"/>
  <c r="V31" i="17" s="1"/>
  <c r="P6" i="17"/>
  <c r="F6" i="17"/>
  <c r="F7" i="17" s="1"/>
  <c r="P11" i="17"/>
  <c r="K7" i="17"/>
  <c r="H7" i="17"/>
  <c r="E44" i="1"/>
  <c r="G42" i="1"/>
  <c r="D76" i="4"/>
  <c r="E56" i="4"/>
  <c r="C76" i="4"/>
  <c r="F56" i="4"/>
  <c r="I21" i="17"/>
  <c r="L21" i="17"/>
  <c r="K21" i="17"/>
  <c r="J21" i="17"/>
  <c r="F21" i="17"/>
  <c r="Y14" i="17"/>
  <c r="Y29" i="17"/>
  <c r="Y18" i="17"/>
  <c r="AA14" i="17"/>
  <c r="AA18" i="17"/>
  <c r="AA26" i="17"/>
  <c r="F9" i="17"/>
  <c r="P7" i="17"/>
  <c r="AB15" i="17"/>
  <c r="AB28" i="17"/>
  <c r="AB31" i="17"/>
  <c r="AB33" i="17"/>
  <c r="AB14" i="17"/>
  <c r="AB13" i="17"/>
  <c r="AB20" i="17"/>
  <c r="AB18" i="17"/>
  <c r="E8" i="7"/>
  <c r="B43" i="1"/>
  <c r="B5" i="8"/>
  <c r="E19" i="6"/>
  <c r="M22" i="17"/>
  <c r="I22" i="17"/>
  <c r="D22" i="17"/>
  <c r="P8" i="17"/>
  <c r="P12" i="17" s="1"/>
  <c r="P13" i="17" s="1"/>
  <c r="C8" i="17"/>
  <c r="C12" i="17"/>
  <c r="J22" i="17"/>
  <c r="Z26" i="17"/>
  <c r="Z15" i="17"/>
  <c r="AC26" i="17"/>
  <c r="AC28" i="17"/>
  <c r="Z14" i="17"/>
  <c r="Z28" i="17"/>
  <c r="Z12" i="17"/>
  <c r="AC15" i="17"/>
  <c r="E6" i="17"/>
  <c r="L6" i="17"/>
  <c r="D5" i="5"/>
  <c r="D9" i="15" s="1"/>
  <c r="J6" i="17"/>
  <c r="C3" i="10"/>
  <c r="D10" i="14" s="1"/>
  <c r="F12" i="4"/>
  <c r="B12" i="4"/>
  <c r="C12" i="4"/>
  <c r="E43" i="1"/>
  <c r="E12" i="4"/>
  <c r="D12" i="4"/>
  <c r="D43" i="1"/>
  <c r="B76" i="4"/>
  <c r="L9" i="17"/>
  <c r="L7" i="17"/>
  <c r="J7" i="17"/>
  <c r="J9" i="17"/>
  <c r="E9" i="17"/>
  <c r="E7" i="17"/>
  <c r="AB34" i="17"/>
  <c r="AB35" i="17"/>
  <c r="P9" i="17"/>
  <c r="B50" i="1"/>
  <c r="B22" i="1"/>
  <c r="I159" i="4"/>
  <c r="G159" i="4"/>
  <c r="L25" i="17"/>
  <c r="I25" i="17"/>
  <c r="D25" i="17"/>
  <c r="G25" i="17"/>
  <c r="K25" i="17"/>
  <c r="E25" i="17"/>
  <c r="H25" i="17"/>
  <c r="M25" i="17"/>
  <c r="C25" i="17"/>
  <c r="F25" i="17"/>
  <c r="J25" i="17"/>
  <c r="B48" i="1"/>
  <c r="D50" i="1"/>
  <c r="AC11" i="18" s="1"/>
  <c r="B5" i="6"/>
  <c r="B10" i="15" l="1"/>
  <c r="I12" i="6"/>
  <c r="B9" i="20"/>
  <c r="D28" i="13"/>
  <c r="C8" i="14"/>
  <c r="H8" i="14" s="1"/>
  <c r="B6" i="6"/>
  <c r="I13" i="6"/>
  <c r="W21" i="18"/>
  <c r="P11" i="18"/>
  <c r="G43" i="1"/>
  <c r="D48" i="1"/>
  <c r="B45" i="1"/>
  <c r="E45" i="1" s="1"/>
  <c r="G8" i="7"/>
  <c r="E11" i="17"/>
  <c r="E13" i="17" s="1"/>
  <c r="D4" i="5"/>
  <c r="D7" i="15" s="1"/>
  <c r="D159" i="4"/>
  <c r="D22" i="7"/>
  <c r="D12" i="11" s="1"/>
  <c r="E159" i="4"/>
  <c r="M159" i="4"/>
  <c r="F159" i="4"/>
  <c r="L159" i="4"/>
  <c r="J159" i="4"/>
  <c r="K159" i="4"/>
  <c r="C159" i="4"/>
  <c r="F11" i="17"/>
  <c r="F13" i="17" s="1"/>
  <c r="G10" i="17"/>
  <c r="H10" i="17" s="1"/>
  <c r="I10" i="17" s="1"/>
  <c r="J10" i="17" s="1"/>
  <c r="F5" i="5"/>
  <c r="F9" i="15" s="1"/>
  <c r="E3" i="10"/>
  <c r="F10" i="14" s="1"/>
  <c r="G4" i="5"/>
  <c r="G7" i="15" s="1"/>
  <c r="F3" i="10"/>
  <c r="D4" i="6"/>
  <c r="B19" i="1"/>
  <c r="B20" i="13"/>
  <c r="C20" i="6"/>
  <c r="H11" i="17"/>
  <c r="H13" i="17" s="1"/>
  <c r="D45" i="1"/>
  <c r="E48" i="1"/>
  <c r="B5" i="11"/>
  <c r="B9" i="11" s="1"/>
  <c r="B11" i="11" s="1"/>
  <c r="B13" i="11" s="1"/>
  <c r="B21" i="7"/>
  <c r="B23" i="7" s="1"/>
  <c r="E46" i="1"/>
  <c r="D46" i="1"/>
  <c r="D44" i="1"/>
  <c r="G44" i="1" s="1"/>
  <c r="B58" i="4"/>
  <c r="C8" i="7" s="1"/>
  <c r="D8" i="7"/>
  <c r="G22" i="7"/>
  <c r="G5" i="5"/>
  <c r="D3" i="10"/>
  <c r="E5" i="5"/>
  <c r="E4" i="5"/>
  <c r="C4" i="17"/>
  <c r="G22" i="17"/>
  <c r="F22" i="17"/>
  <c r="H22" i="17"/>
  <c r="D6" i="17"/>
  <c r="G6" i="17"/>
  <c r="I6" i="17"/>
  <c r="M6" i="17"/>
  <c r="K21" i="18"/>
  <c r="B10" i="20"/>
  <c r="C9" i="20"/>
  <c r="V20" i="17"/>
  <c r="V34" i="17" s="1"/>
  <c r="V35" i="17" s="1"/>
  <c r="C5" i="13"/>
  <c r="C20" i="15"/>
  <c r="F22" i="7"/>
  <c r="F4" i="5"/>
  <c r="E76" i="4"/>
  <c r="B47" i="1"/>
  <c r="D56" i="4"/>
  <c r="F76" i="4"/>
  <c r="C56" i="4"/>
  <c r="Y13" i="17"/>
  <c r="Y28" i="17"/>
  <c r="Y31" i="17" s="1"/>
  <c r="Y15" i="17"/>
  <c r="Y12" i="17"/>
  <c r="Y20" i="17" s="1"/>
  <c r="Y33" i="17"/>
  <c r="Z29" i="17"/>
  <c r="Z31" i="17" s="1"/>
  <c r="Z34" i="17" s="1"/>
  <c r="Z35" i="17" s="1"/>
  <c r="Z18" i="17"/>
  <c r="Z20" i="17" s="1"/>
  <c r="AA15" i="17"/>
  <c r="AA12" i="17"/>
  <c r="AA28" i="17"/>
  <c r="AA13" i="17"/>
  <c r="AA29" i="17"/>
  <c r="AC29" i="17"/>
  <c r="AC31" i="17" s="1"/>
  <c r="AC33" i="17"/>
  <c r="AC18" i="17"/>
  <c r="AC13" i="17"/>
  <c r="AC20" i="17" s="1"/>
  <c r="M21" i="17"/>
  <c r="D21" i="17"/>
  <c r="H21" i="17"/>
  <c r="G21" i="17"/>
  <c r="E21" i="17"/>
  <c r="C10" i="7"/>
  <c r="E10" i="7"/>
  <c r="G10" i="7"/>
  <c r="E26" i="15"/>
  <c r="C26" i="15"/>
  <c r="G26" i="15"/>
  <c r="G25" i="15" s="1"/>
  <c r="F26" i="15"/>
  <c r="D26" i="15"/>
  <c r="G10" i="14" l="1"/>
  <c r="B59" i="13"/>
  <c r="E61" i="4"/>
  <c r="E81" i="4" s="1"/>
  <c r="C61" i="4"/>
  <c r="C81" i="4" s="1"/>
  <c r="F61" i="4"/>
  <c r="F81" i="4" s="1"/>
  <c r="D61" i="4"/>
  <c r="D81" i="4" s="1"/>
  <c r="B61" i="4"/>
  <c r="B81" i="4" s="1"/>
  <c r="G46" i="1"/>
  <c r="D4" i="9"/>
  <c r="D7" i="9" s="1"/>
  <c r="C21" i="9"/>
  <c r="AC10" i="18"/>
  <c r="D16" i="19"/>
  <c r="C17" i="9"/>
  <c r="B15" i="19"/>
  <c r="B16" i="19" s="1"/>
  <c r="B17" i="19" s="1"/>
  <c r="B19" i="19" s="1"/>
  <c r="W27" i="18"/>
  <c r="B8" i="4" s="1"/>
  <c r="E8" i="4"/>
  <c r="C8" i="4"/>
  <c r="F8" i="4"/>
  <c r="D8" i="4"/>
  <c r="C24" i="9"/>
  <c r="C18" i="9"/>
  <c r="D17" i="19"/>
  <c r="D14" i="9" s="1"/>
  <c r="C22" i="9"/>
  <c r="G16" i="19"/>
  <c r="I13" i="9" s="1"/>
  <c r="G15" i="19"/>
  <c r="I12" i="9" s="1"/>
  <c r="C23" i="9"/>
  <c r="E27" i="19"/>
  <c r="E24" i="9" s="1"/>
  <c r="E27" i="15" s="1"/>
  <c r="E25" i="15" s="1"/>
  <c r="G48" i="1"/>
  <c r="G45" i="1"/>
  <c r="H190" i="4"/>
  <c r="H189" i="4"/>
  <c r="B23" i="1"/>
  <c r="C4" i="6"/>
  <c r="I4" i="6" s="1"/>
  <c r="D13" i="9"/>
  <c r="D15" i="9" s="1"/>
  <c r="D18" i="19"/>
  <c r="D20" i="19"/>
  <c r="D17" i="9" s="1"/>
  <c r="AA20" i="17"/>
  <c r="Y34" i="17"/>
  <c r="Y35" i="17" s="1"/>
  <c r="B56" i="4"/>
  <c r="E47" i="1"/>
  <c r="E51" i="1" s="1"/>
  <c r="D47" i="1"/>
  <c r="H9" i="6"/>
  <c r="F7" i="15"/>
  <c r="G9" i="6"/>
  <c r="K26" i="18"/>
  <c r="E5" i="4"/>
  <c r="E100" i="4" s="1"/>
  <c r="C5" i="4"/>
  <c r="C100" i="4" s="1"/>
  <c r="F5" i="4"/>
  <c r="F100" i="4" s="1"/>
  <c r="D5" i="4"/>
  <c r="D100" i="4" s="1"/>
  <c r="I7" i="17"/>
  <c r="I9" i="17"/>
  <c r="I11" i="17"/>
  <c r="I13" i="17" s="1"/>
  <c r="D7" i="17"/>
  <c r="D9" i="17"/>
  <c r="D11" i="17"/>
  <c r="D13" i="17" s="1"/>
  <c r="C5" i="17"/>
  <c r="C6" i="17"/>
  <c r="E9" i="15"/>
  <c r="G9" i="15"/>
  <c r="B152" i="4"/>
  <c r="C5" i="5"/>
  <c r="C4" i="5"/>
  <c r="B3" i="10"/>
  <c r="G3" i="10" s="1"/>
  <c r="D51" i="1"/>
  <c r="C20" i="9"/>
  <c r="AC34" i="17"/>
  <c r="AC35" i="17" s="1"/>
  <c r="AA31" i="17"/>
  <c r="AA34" i="17" s="1"/>
  <c r="AA35" i="17" s="1"/>
  <c r="I26" i="17"/>
  <c r="M26" i="17"/>
  <c r="K26" i="17"/>
  <c r="J26" i="17"/>
  <c r="C26" i="17"/>
  <c r="H26" i="17"/>
  <c r="G26" i="17"/>
  <c r="L26" i="17"/>
  <c r="F26" i="17"/>
  <c r="D26" i="17"/>
  <c r="E26" i="17"/>
  <c r="F12" i="11"/>
  <c r="C15" i="17"/>
  <c r="E15" i="17"/>
  <c r="J15" i="17"/>
  <c r="I15" i="17"/>
  <c r="D15" i="17"/>
  <c r="M15" i="17"/>
  <c r="K15" i="17"/>
  <c r="H15" i="17"/>
  <c r="G15" i="17"/>
  <c r="F15" i="17"/>
  <c r="L15" i="17"/>
  <c r="C10" i="20"/>
  <c r="B11" i="20"/>
  <c r="M9" i="17"/>
  <c r="M7" i="17"/>
  <c r="G9" i="17"/>
  <c r="G7" i="17"/>
  <c r="G11" i="17"/>
  <c r="G13" i="17" s="1"/>
  <c r="E7" i="15"/>
  <c r="F9" i="6"/>
  <c r="E10" i="14"/>
  <c r="G12" i="11"/>
  <c r="AC17" i="18"/>
  <c r="B29" i="13"/>
  <c r="B14" i="9"/>
  <c r="B13" i="9"/>
  <c r="C19" i="9"/>
  <c r="E23" i="19"/>
  <c r="B51" i="1"/>
  <c r="J11" i="17"/>
  <c r="J13" i="17" s="1"/>
  <c r="K10" i="17"/>
  <c r="C29" i="9" l="1"/>
  <c r="G15" i="9"/>
  <c r="K59" i="13"/>
  <c r="M59" i="13"/>
  <c r="G59" i="13"/>
  <c r="I59" i="13"/>
  <c r="H59" i="13"/>
  <c r="E59" i="13"/>
  <c r="J59" i="13"/>
  <c r="C59" i="13"/>
  <c r="D59" i="13"/>
  <c r="L59" i="13"/>
  <c r="F59" i="13"/>
  <c r="C30" i="9"/>
  <c r="E30" i="9" s="1"/>
  <c r="B12" i="9"/>
  <c r="G47" i="1"/>
  <c r="E21" i="19"/>
  <c r="E25" i="19"/>
  <c r="E22" i="9" s="1"/>
  <c r="D27" i="15" s="1"/>
  <c r="D25" i="15" s="1"/>
  <c r="B20" i="19"/>
  <c r="B21" i="19" s="1"/>
  <c r="I15" i="9"/>
  <c r="F74" i="4"/>
  <c r="F80" i="4" s="1"/>
  <c r="F54" i="4"/>
  <c r="F60" i="4" s="1"/>
  <c r="E74" i="4"/>
  <c r="E80" i="4" s="1"/>
  <c r="E54" i="4"/>
  <c r="E60" i="4" s="1"/>
  <c r="D74" i="4"/>
  <c r="D80" i="4" s="1"/>
  <c r="D54" i="4"/>
  <c r="D60" i="4" s="1"/>
  <c r="C74" i="4"/>
  <c r="C54" i="4"/>
  <c r="F19" i="14"/>
  <c r="G18" i="19"/>
  <c r="G51" i="1"/>
  <c r="G55" i="1" s="1"/>
  <c r="B5" i="13"/>
  <c r="D5" i="13" s="1"/>
  <c r="B27" i="1"/>
  <c r="B19" i="6"/>
  <c r="H20" i="19"/>
  <c r="I3" i="12"/>
  <c r="D21" i="19"/>
  <c r="H21" i="19" s="1"/>
  <c r="F18" i="19"/>
  <c r="K11" i="17"/>
  <c r="K13" i="17" s="1"/>
  <c r="L10" i="17"/>
  <c r="B19" i="15"/>
  <c r="B22" i="15" s="1"/>
  <c r="C19" i="15" s="1"/>
  <c r="AC8" i="18"/>
  <c r="E20" i="9"/>
  <c r="I17" i="17"/>
  <c r="G17" i="17"/>
  <c r="H17" i="17"/>
  <c r="J17" i="17"/>
  <c r="L17" i="17"/>
  <c r="F17" i="17"/>
  <c r="D17" i="17"/>
  <c r="C17" i="17"/>
  <c r="K17" i="17"/>
  <c r="M17" i="17"/>
  <c r="E17" i="17"/>
  <c r="C10" i="14"/>
  <c r="H10" i="14" s="1"/>
  <c r="B52" i="13"/>
  <c r="C9" i="15"/>
  <c r="C12" i="13"/>
  <c r="D12" i="13" s="1"/>
  <c r="D10" i="20"/>
  <c r="F27" i="15"/>
  <c r="F25" i="15" s="1"/>
  <c r="G19" i="14"/>
  <c r="B16" i="9"/>
  <c r="H15" i="9"/>
  <c r="D29" i="13"/>
  <c r="B9" i="14"/>
  <c r="H9" i="14" s="1"/>
  <c r="C11" i="20"/>
  <c r="B12" i="20"/>
  <c r="G24" i="17"/>
  <c r="G27" i="17" s="1"/>
  <c r="J24" i="17"/>
  <c r="J27" i="17" s="1"/>
  <c r="K24" i="17"/>
  <c r="K27" i="17" s="1"/>
  <c r="C24" i="17"/>
  <c r="C27" i="17" s="1"/>
  <c r="E24" i="17"/>
  <c r="E27" i="17" s="1"/>
  <c r="D24" i="17"/>
  <c r="D27" i="17" s="1"/>
  <c r="L24" i="17"/>
  <c r="L27" i="17" s="1"/>
  <c r="M24" i="17"/>
  <c r="M27" i="17" s="1"/>
  <c r="H24" i="17"/>
  <c r="H27" i="17" s="1"/>
  <c r="F24" i="17"/>
  <c r="F27" i="17" s="1"/>
  <c r="I24" i="17"/>
  <c r="I27" i="17" s="1"/>
  <c r="F21" i="15"/>
  <c r="G21" i="15"/>
  <c r="E21" i="15"/>
  <c r="C21" i="15"/>
  <c r="D21" i="15"/>
  <c r="C12" i="11"/>
  <c r="B4" i="5"/>
  <c r="D9" i="6" s="1"/>
  <c r="C11" i="13"/>
  <c r="C7" i="15"/>
  <c r="E9" i="6"/>
  <c r="K152" i="4"/>
  <c r="I152" i="4"/>
  <c r="J152" i="4"/>
  <c r="L152" i="4"/>
  <c r="C152" i="4"/>
  <c r="F152" i="4"/>
  <c r="D152" i="4"/>
  <c r="E152" i="4"/>
  <c r="M152" i="4"/>
  <c r="H152" i="4"/>
  <c r="G152" i="4"/>
  <c r="C9" i="17"/>
  <c r="Q6" i="17"/>
  <c r="C11" i="17"/>
  <c r="C13" i="17" s="1"/>
  <c r="C7" i="17"/>
  <c r="Q5" i="17"/>
  <c r="B5" i="4"/>
  <c r="I18" i="17"/>
  <c r="G18" i="17"/>
  <c r="E18" i="17"/>
  <c r="M18" i="17"/>
  <c r="D18" i="17"/>
  <c r="J18" i="17"/>
  <c r="L18" i="17"/>
  <c r="H18" i="17"/>
  <c r="K18" i="17"/>
  <c r="C18" i="17"/>
  <c r="F18" i="17"/>
  <c r="J92" i="13" l="1"/>
  <c r="J93" i="13"/>
  <c r="E18" i="9"/>
  <c r="E29" i="9" s="1"/>
  <c r="E19" i="14"/>
  <c r="H18" i="19"/>
  <c r="B54" i="4"/>
  <c r="C60" i="4"/>
  <c r="B60" i="4" s="1"/>
  <c r="B74" i="4"/>
  <c r="C80" i="4"/>
  <c r="B80" i="4" s="1"/>
  <c r="B21" i="6"/>
  <c r="B8" i="8"/>
  <c r="D22" i="19"/>
  <c r="H22" i="19" s="1"/>
  <c r="B22" i="19"/>
  <c r="F21" i="19"/>
  <c r="D18" i="9"/>
  <c r="Q8" i="17"/>
  <c r="R8" i="17" s="1"/>
  <c r="C12" i="20"/>
  <c r="D12" i="20" s="1"/>
  <c r="B13" i="20"/>
  <c r="M19" i="17"/>
  <c r="C19" i="17"/>
  <c r="F19" i="17"/>
  <c r="J19" i="17"/>
  <c r="G19" i="17"/>
  <c r="AC12" i="18"/>
  <c r="AC13" i="18" s="1"/>
  <c r="B100" i="4"/>
  <c r="H163" i="4"/>
  <c r="H164" i="4"/>
  <c r="C9" i="6"/>
  <c r="I9" i="6" s="1"/>
  <c r="B13" i="5"/>
  <c r="B11" i="13"/>
  <c r="B7" i="15"/>
  <c r="B5" i="15" s="1"/>
  <c r="B17" i="9"/>
  <c r="B18" i="9" s="1"/>
  <c r="F18" i="9" s="1"/>
  <c r="F52" i="13"/>
  <c r="D52" i="13"/>
  <c r="E52" i="13"/>
  <c r="M52" i="13"/>
  <c r="K52" i="13"/>
  <c r="J52" i="13"/>
  <c r="I52" i="13"/>
  <c r="L52" i="13"/>
  <c r="G52" i="13"/>
  <c r="C52" i="13"/>
  <c r="H52" i="13"/>
  <c r="E19" i="17"/>
  <c r="K19" i="17"/>
  <c r="D19" i="17"/>
  <c r="L19" i="17"/>
  <c r="H19" i="17"/>
  <c r="I19" i="17"/>
  <c r="C27" i="15"/>
  <c r="C25" i="15" s="1"/>
  <c r="D19" i="14"/>
  <c r="C22" i="15"/>
  <c r="D19" i="15" s="1"/>
  <c r="D22" i="15" s="1"/>
  <c r="E19" i="15" s="1"/>
  <c r="E22" i="15" s="1"/>
  <c r="F19" i="15" s="1"/>
  <c r="F22" i="15" s="1"/>
  <c r="G19" i="15" s="1"/>
  <c r="G22" i="15" s="1"/>
  <c r="L11" i="17"/>
  <c r="L13" i="17" s="1"/>
  <c r="M10" i="17"/>
  <c r="M11" i="17" s="1"/>
  <c r="M13" i="17" s="1"/>
  <c r="G18" i="9" l="1"/>
  <c r="C19" i="14"/>
  <c r="H19" i="14" s="1"/>
  <c r="B27" i="15"/>
  <c r="B25" i="15" s="1"/>
  <c r="C8" i="11"/>
  <c r="B23" i="6"/>
  <c r="H18" i="9"/>
  <c r="D19" i="9"/>
  <c r="D23" i="19"/>
  <c r="B23" i="19"/>
  <c r="J64" i="13"/>
  <c r="J65" i="13"/>
  <c r="B19" i="9"/>
  <c r="B20" i="9" s="1"/>
  <c r="F20" i="9" s="1"/>
  <c r="B14" i="13"/>
  <c r="D11" i="13"/>
  <c r="C16" i="6"/>
  <c r="Q9" i="17"/>
  <c r="R9" i="17" s="1"/>
  <c r="B22" i="5"/>
  <c r="B20" i="5"/>
  <c r="B23" i="5" s="1"/>
  <c r="B14" i="20"/>
  <c r="C13" i="20"/>
  <c r="J18" i="9" l="1"/>
  <c r="B9" i="10" s="1"/>
  <c r="B29" i="15"/>
  <c r="F23" i="19"/>
  <c r="D20" i="9"/>
  <c r="G20" i="9" s="1"/>
  <c r="H20" i="9" s="1"/>
  <c r="H23" i="19"/>
  <c r="B24" i="19"/>
  <c r="D24" i="19"/>
  <c r="B34" i="5"/>
  <c r="C3" i="8"/>
  <c r="C14" i="20"/>
  <c r="D14" i="20" s="1"/>
  <c r="B15" i="20"/>
  <c r="D8" i="11"/>
  <c r="D21" i="9"/>
  <c r="B21" i="13"/>
  <c r="B19" i="13"/>
  <c r="B21" i="9"/>
  <c r="B22" i="9" s="1"/>
  <c r="F22" i="9" s="1"/>
  <c r="I4" i="12" l="1"/>
  <c r="B41" i="13"/>
  <c r="C29" i="15"/>
  <c r="B28" i="15"/>
  <c r="B30" i="15" s="1"/>
  <c r="J20" i="9"/>
  <c r="C9" i="10" s="1"/>
  <c r="I5" i="12" s="1"/>
  <c r="B25" i="19"/>
  <c r="D25" i="19"/>
  <c r="H24" i="19"/>
  <c r="B22" i="13"/>
  <c r="B25" i="13" s="1"/>
  <c r="B16" i="14"/>
  <c r="C41" i="13"/>
  <c r="B23" i="9"/>
  <c r="B24" i="9" s="1"/>
  <c r="F24" i="9" s="1"/>
  <c r="B16" i="20"/>
  <c r="C15" i="20"/>
  <c r="D29" i="15" l="1"/>
  <c r="C28" i="15"/>
  <c r="C30" i="15" s="1"/>
  <c r="H25" i="19"/>
  <c r="D22" i="9"/>
  <c r="G22" i="9" s="1"/>
  <c r="F25" i="19"/>
  <c r="D26" i="19"/>
  <c r="D23" i="9" s="1"/>
  <c r="B26" i="19"/>
  <c r="C3" i="12"/>
  <c r="C16" i="20"/>
  <c r="B17" i="20"/>
  <c r="D16" i="20" l="1"/>
  <c r="D25" i="9"/>
  <c r="G26" i="9" s="1"/>
  <c r="J26" i="9" s="1"/>
  <c r="E8" i="11"/>
  <c r="E29" i="15"/>
  <c r="D28" i="15"/>
  <c r="D30" i="15" s="1"/>
  <c r="J22" i="9"/>
  <c r="D9" i="10" s="1"/>
  <c r="H22" i="9"/>
  <c r="H26" i="19"/>
  <c r="B27" i="19"/>
  <c r="D27" i="19"/>
  <c r="B18" i="20"/>
  <c r="C17" i="20"/>
  <c r="D26" i="9" s="1"/>
  <c r="D41" i="13" l="1"/>
  <c r="I6" i="12"/>
  <c r="E28" i="15"/>
  <c r="E30" i="15" s="1"/>
  <c r="F29" i="15"/>
  <c r="H27" i="19"/>
  <c r="D24" i="9"/>
  <c r="F27" i="19"/>
  <c r="C18" i="20"/>
  <c r="C20" i="20" s="1"/>
  <c r="D18" i="20"/>
  <c r="D20" i="20" s="1"/>
  <c r="G24" i="9" l="1"/>
  <c r="D29" i="9"/>
  <c r="F28" i="15"/>
  <c r="F30" i="15" s="1"/>
  <c r="G29" i="15"/>
  <c r="H24" i="9"/>
  <c r="J24" i="9" l="1"/>
  <c r="E9" i="10" s="1"/>
  <c r="G29" i="9"/>
  <c r="F8" i="11"/>
  <c r="G28" i="15"/>
  <c r="G30" i="15" s="1"/>
  <c r="I7" i="12" l="1"/>
  <c r="E41" i="13"/>
  <c r="G8" i="11"/>
  <c r="F9" i="10"/>
  <c r="G9" i="10" s="1"/>
  <c r="I8" i="12" l="1"/>
  <c r="I10" i="12" s="1"/>
  <c r="F41" i="13"/>
  <c r="B57" i="13" s="1"/>
  <c r="E56" i="13"/>
  <c r="J56" i="13"/>
  <c r="G56" i="13"/>
  <c r="I56" i="13"/>
  <c r="C56" i="13"/>
  <c r="H56" i="13"/>
  <c r="K56" i="13"/>
  <c r="D56" i="13"/>
  <c r="L56" i="13"/>
  <c r="F56" i="13"/>
  <c r="M56" i="13"/>
  <c r="D30" i="9" l="1"/>
  <c r="G30" i="9" s="1"/>
  <c r="J57" i="13" l="1"/>
  <c r="J58" i="13" s="1"/>
  <c r="E57" i="13"/>
  <c r="E58" i="13" s="1"/>
  <c r="M57" i="13"/>
  <c r="M58" i="13" s="1"/>
  <c r="D57" i="13"/>
  <c r="D58" i="13" s="1"/>
  <c r="I57" i="13"/>
  <c r="I58" i="13" s="1"/>
  <c r="H57" i="13"/>
  <c r="H58" i="13" s="1"/>
  <c r="C57" i="13"/>
  <c r="C58" i="13" s="1"/>
  <c r="L57" i="13"/>
  <c r="L58" i="13" s="1"/>
  <c r="F57" i="13"/>
  <c r="F58" i="13" s="1"/>
  <c r="K57" i="13"/>
  <c r="K58" i="13" s="1"/>
  <c r="G57" i="13"/>
  <c r="G58" i="13" s="1"/>
  <c r="B58" i="13"/>
  <c r="J96" i="13" l="1"/>
  <c r="J97" i="13"/>
  <c r="J100" i="13" l="1"/>
  <c r="J101" i="13" s="1"/>
  <c r="E11" i="18" l="1"/>
  <c r="D11" i="18" l="1"/>
  <c r="F11" i="18"/>
  <c r="E10" i="18" l="1"/>
  <c r="E14" i="18" l="1"/>
  <c r="E15" i="18" s="1"/>
  <c r="E13" i="18"/>
  <c r="E19" i="18" s="1"/>
  <c r="E24" i="18" s="1"/>
  <c r="W22" i="18" l="1"/>
  <c r="K22" i="18"/>
  <c r="D20" i="18"/>
  <c r="F21" i="18" l="1"/>
  <c r="F25" i="18" s="1"/>
  <c r="D14" i="18" l="1"/>
  <c r="D13" i="18"/>
  <c r="D21" i="18"/>
  <c r="D25" i="18" s="1"/>
  <c r="F20" i="18"/>
  <c r="F10" i="18"/>
  <c r="F13" i="18" l="1"/>
  <c r="F14" i="18"/>
  <c r="F15" i="18" s="1"/>
  <c r="E24" i="4"/>
  <c r="C24" i="4"/>
  <c r="B24" i="4"/>
  <c r="F24" i="4"/>
  <c r="D24" i="4"/>
  <c r="D15" i="18"/>
  <c r="D4" i="4"/>
  <c r="C4" i="4" l="1"/>
  <c r="C99" i="4" s="1"/>
  <c r="D99" i="4"/>
  <c r="E5" i="7"/>
  <c r="D5" i="7"/>
  <c r="C30" i="4"/>
  <c r="W23" i="18"/>
  <c r="W28" i="18"/>
  <c r="W29" i="18" s="1"/>
  <c r="B28" i="4" s="1"/>
  <c r="K27" i="18"/>
  <c r="K28" i="18"/>
  <c r="AC15" i="18"/>
  <c r="AC19" i="18" s="1"/>
  <c r="F4" i="4"/>
  <c r="E4" i="4"/>
  <c r="D30" i="4"/>
  <c r="E30" i="4"/>
  <c r="F19" i="18"/>
  <c r="F22" i="18" s="1"/>
  <c r="F26" i="18" s="1"/>
  <c r="F24" i="18" l="1"/>
  <c r="K29" i="18"/>
  <c r="G25" i="4" s="1"/>
  <c r="F5" i="7"/>
  <c r="E99" i="4"/>
  <c r="AC20" i="18"/>
  <c r="AC21" i="18" s="1"/>
  <c r="E9" i="4"/>
  <c r="F9" i="4"/>
  <c r="AC25" i="18"/>
  <c r="F99" i="4"/>
  <c r="G5" i="7"/>
  <c r="C25" i="4"/>
  <c r="E25" i="4"/>
  <c r="B25" i="4"/>
  <c r="D25" i="4"/>
  <c r="F25" i="4"/>
  <c r="D28" i="4"/>
  <c r="F28" i="4"/>
  <c r="C28" i="4"/>
  <c r="E28" i="4"/>
  <c r="F30" i="4"/>
  <c r="G6" i="7" l="1"/>
  <c r="E29" i="4"/>
  <c r="E13" i="4" s="1"/>
  <c r="F29" i="4"/>
  <c r="F13" i="4" s="1"/>
  <c r="AC26" i="18"/>
  <c r="AC31" i="18"/>
  <c r="C9" i="4"/>
  <c r="D9" i="4"/>
  <c r="F6" i="7"/>
  <c r="E6" i="7" l="1"/>
  <c r="B9" i="4"/>
  <c r="F62" i="4"/>
  <c r="F82" i="4" s="1"/>
  <c r="G16" i="7"/>
  <c r="G5" i="11" s="1"/>
  <c r="E62" i="4"/>
  <c r="E82" i="4" s="1"/>
  <c r="F16" i="7"/>
  <c r="F5" i="11" s="1"/>
  <c r="D6" i="7"/>
  <c r="AC32" i="18"/>
  <c r="AC27" i="18"/>
  <c r="C29" i="4" l="1"/>
  <c r="D29" i="4"/>
  <c r="AC33" i="18"/>
  <c r="B29" i="4" s="1"/>
  <c r="F17" i="7"/>
  <c r="F6" i="11" s="1"/>
  <c r="G9" i="7"/>
  <c r="G11" i="7" s="1"/>
  <c r="G17" i="7"/>
  <c r="G6" i="11" s="1"/>
  <c r="C6" i="7"/>
  <c r="G18" i="7" l="1"/>
  <c r="G7" i="11" s="1"/>
  <c r="F9" i="7"/>
  <c r="F11" i="7" s="1"/>
  <c r="F18" i="7"/>
  <c r="F7" i="11" s="1"/>
  <c r="B13" i="4"/>
  <c r="C13" i="4"/>
  <c r="D13" i="4"/>
  <c r="AC34" i="18"/>
  <c r="G29" i="4" s="1"/>
  <c r="D62" i="4" l="1"/>
  <c r="D82" i="4" s="1"/>
  <c r="E16" i="7"/>
  <c r="E5" i="11" s="1"/>
  <c r="B62" i="4"/>
  <c r="B82" i="4" s="1"/>
  <c r="C62" i="4"/>
  <c r="C82" i="4" s="1"/>
  <c r="D16" i="7"/>
  <c r="D5" i="11" s="1"/>
  <c r="E17" i="7" l="1"/>
  <c r="E6" i="11" s="1"/>
  <c r="E9" i="7"/>
  <c r="E11" i="7" s="1"/>
  <c r="D17" i="7"/>
  <c r="D6" i="11" s="1"/>
  <c r="C17" i="7"/>
  <c r="C6" i="11" s="1"/>
  <c r="D9" i="7" l="1"/>
  <c r="D11" i="7" s="1"/>
  <c r="D18" i="7"/>
  <c r="D7" i="11" s="1"/>
  <c r="E18" i="7"/>
  <c r="E7" i="11" s="1"/>
  <c r="D19" i="18"/>
  <c r="C18" i="7"/>
  <c r="C7" i="11" s="1"/>
  <c r="C9" i="7"/>
  <c r="D22" i="18" l="1"/>
  <c r="D26" i="18" s="1"/>
  <c r="G24" i="4" s="1"/>
  <c r="G36" i="4" s="1"/>
  <c r="C26" i="1" s="1"/>
  <c r="D24" i="18"/>
  <c r="B4" i="4" s="1"/>
  <c r="B29" i="1" l="1"/>
  <c r="C30" i="1"/>
  <c r="B105" i="4"/>
  <c r="B41" i="4"/>
  <c r="C13" i="7"/>
  <c r="C5" i="7"/>
  <c r="C11" i="7" s="1"/>
  <c r="B99" i="4"/>
  <c r="C16" i="7"/>
  <c r="C5" i="11" s="1"/>
  <c r="B34" i="4"/>
  <c r="B31" i="4"/>
  <c r="B32" i="4"/>
  <c r="F32" i="4"/>
  <c r="C32" i="4"/>
  <c r="E31" i="4"/>
  <c r="C34" i="4"/>
  <c r="B30" i="4"/>
  <c r="F33" i="4"/>
  <c r="C33" i="4"/>
  <c r="D33" i="4"/>
  <c r="C31" i="4"/>
  <c r="D34" i="4"/>
  <c r="F34" i="4"/>
  <c r="D31" i="4"/>
  <c r="E34" i="4"/>
  <c r="E32" i="4"/>
  <c r="F31" i="4"/>
  <c r="D32" i="4"/>
  <c r="E33" i="4"/>
  <c r="B33" i="4"/>
  <c r="C32" i="1" l="1"/>
  <c r="C34" i="1" s="1"/>
  <c r="D19" i="6" s="1"/>
  <c r="D5" i="6"/>
  <c r="C5" i="6"/>
  <c r="B30" i="1"/>
  <c r="B53" i="1" l="1"/>
  <c r="B14" i="15"/>
  <c r="B17" i="15" s="1"/>
  <c r="B32" i="1"/>
  <c r="C6" i="13"/>
  <c r="C7" i="13" s="1"/>
  <c r="D6" i="6"/>
  <c r="B4" i="8" s="1"/>
  <c r="I5" i="6"/>
  <c r="B6" i="13"/>
  <c r="C6" i="6"/>
  <c r="I6" i="6" l="1"/>
  <c r="B3" i="8"/>
  <c r="B10" i="8" s="1"/>
  <c r="F4" i="9"/>
  <c r="C8" i="13"/>
  <c r="C15" i="14"/>
  <c r="B4" i="12" s="1"/>
  <c r="C9" i="13"/>
  <c r="C24" i="13" s="1"/>
  <c r="C14" i="15"/>
  <c r="B12" i="15"/>
  <c r="B24" i="15" s="1"/>
  <c r="B31" i="15" s="1"/>
  <c r="B7" i="13"/>
  <c r="D6" i="13"/>
  <c r="B34" i="1"/>
  <c r="C19" i="6" s="1"/>
  <c r="B55" i="1"/>
  <c r="D53" i="1"/>
  <c r="E53" i="1"/>
  <c r="B36" i="1" l="1"/>
  <c r="D55" i="1"/>
  <c r="C16" i="15"/>
  <c r="C17" i="15" s="1"/>
  <c r="D14" i="15" s="1"/>
  <c r="D16" i="15"/>
  <c r="E16" i="15"/>
  <c r="B32" i="15"/>
  <c r="B35" i="15"/>
  <c r="G16" i="15"/>
  <c r="E55" i="1"/>
  <c r="F16" i="15"/>
  <c r="I19" i="6"/>
  <c r="C21" i="6"/>
  <c r="B8" i="13"/>
  <c r="B15" i="14"/>
  <c r="D7" i="13"/>
  <c r="D17" i="15" l="1"/>
  <c r="E14" i="15" s="1"/>
  <c r="C15" i="11"/>
  <c r="B22" i="14"/>
  <c r="D3" i="12" s="1"/>
  <c r="D8" i="13"/>
  <c r="P5" i="18"/>
  <c r="F55" i="4"/>
  <c r="E55" i="4"/>
  <c r="G26" i="14"/>
  <c r="J8" i="12" s="1"/>
  <c r="F26" i="14"/>
  <c r="J7" i="12" s="1"/>
  <c r="F75" i="4"/>
  <c r="E75" i="4"/>
  <c r="F135" i="4"/>
  <c r="I8" i="8" s="1"/>
  <c r="E135" i="4"/>
  <c r="I7" i="8" s="1"/>
  <c r="E17" i="15"/>
  <c r="F14" i="15" s="1"/>
  <c r="F17" i="15" s="1"/>
  <c r="G14" i="15" s="1"/>
  <c r="G17" i="15" s="1"/>
  <c r="B9" i="13"/>
  <c r="B3" i="12"/>
  <c r="B10" i="12" s="1"/>
  <c r="H15" i="14"/>
  <c r="B14" i="14"/>
  <c r="C23" i="6"/>
  <c r="B26" i="7"/>
  <c r="C25" i="7"/>
  <c r="P10" i="18"/>
  <c r="P12" i="18" s="1"/>
  <c r="B55" i="4"/>
  <c r="C26" i="14"/>
  <c r="E26" i="14"/>
  <c r="J6" i="12" s="1"/>
  <c r="D55" i="4"/>
  <c r="B75" i="4"/>
  <c r="B135" i="4"/>
  <c r="I4" i="8" s="1"/>
  <c r="C75" i="4"/>
  <c r="C135" i="4"/>
  <c r="I5" i="8" s="1"/>
  <c r="D26" i="14"/>
  <c r="J5" i="12" s="1"/>
  <c r="C55" i="4"/>
  <c r="D135" i="4"/>
  <c r="I6" i="8" s="1"/>
  <c r="D75" i="4"/>
  <c r="C83" i="4" l="1"/>
  <c r="C84" i="4" s="1"/>
  <c r="B83" i="4"/>
  <c r="B84" i="4" s="1"/>
  <c r="B63" i="4"/>
  <c r="D9" i="13"/>
  <c r="D24" i="13" s="1"/>
  <c r="B24" i="13"/>
  <c r="B26" i="13" s="1"/>
  <c r="B30" i="13" s="1"/>
  <c r="E83" i="4"/>
  <c r="E84" i="4" s="1"/>
  <c r="E63" i="4"/>
  <c r="F7" i="4"/>
  <c r="E7" i="4"/>
  <c r="P6" i="18"/>
  <c r="P21" i="18" s="1"/>
  <c r="D83" i="4"/>
  <c r="D84" i="4" s="1"/>
  <c r="C63" i="4"/>
  <c r="I10" i="8"/>
  <c r="D63" i="4"/>
  <c r="J4" i="12"/>
  <c r="J10" i="12" s="1"/>
  <c r="H26" i="14"/>
  <c r="C7" i="4"/>
  <c r="D7" i="4"/>
  <c r="B7" i="4"/>
  <c r="P14" i="18"/>
  <c r="P20" i="18" s="1"/>
  <c r="P15" i="18"/>
  <c r="P19" i="18" s="1"/>
  <c r="B27" i="4" s="1"/>
  <c r="B27" i="7"/>
  <c r="B16" i="11"/>
  <c r="B17" i="11" s="1"/>
  <c r="D3" i="8"/>
  <c r="G3" i="8" s="1"/>
  <c r="C44" i="8" s="1"/>
  <c r="D44" i="8" s="1"/>
  <c r="E44" i="8" s="1"/>
  <c r="F44" i="8" s="1"/>
  <c r="G44" i="8" s="1"/>
  <c r="H44" i="8" s="1"/>
  <c r="I44" i="8" s="1"/>
  <c r="J44" i="8" s="1"/>
  <c r="G3" i="12"/>
  <c r="F83" i="4"/>
  <c r="F84" i="4" s="1"/>
  <c r="F63" i="4"/>
  <c r="K42" i="12" l="1"/>
  <c r="L42" i="12" s="1"/>
  <c r="M42" i="12" s="1"/>
  <c r="N42" i="12" s="1"/>
  <c r="O42" i="12" s="1"/>
  <c r="P42" i="12" s="1"/>
  <c r="Q42" i="12" s="1"/>
  <c r="R42" i="12" s="1"/>
  <c r="U42" i="12" s="1"/>
  <c r="E64" i="4"/>
  <c r="E66" i="4" s="1"/>
  <c r="F64" i="4"/>
  <c r="F66" i="4" s="1"/>
  <c r="D64" i="4"/>
  <c r="D66" i="4" s="1"/>
  <c r="C64" i="4"/>
  <c r="C66" i="4" s="1"/>
  <c r="B64" i="4"/>
  <c r="S42" i="12"/>
  <c r="T42" i="12" s="1"/>
  <c r="K44" i="8"/>
  <c r="L44" i="8" s="1"/>
  <c r="M44" i="8"/>
  <c r="B30" i="7"/>
  <c r="B20" i="11" s="1"/>
  <c r="B28" i="7"/>
  <c r="D27" i="4"/>
  <c r="C27" i="4"/>
  <c r="D15" i="4"/>
  <c r="D101" i="4" s="1"/>
  <c r="D103" i="4" s="1"/>
  <c r="D86" i="4"/>
  <c r="D88" i="4" s="1"/>
  <c r="D142" i="4" s="1"/>
  <c r="D39" i="13" s="1"/>
  <c r="E15" i="4"/>
  <c r="E16" i="4" s="1"/>
  <c r="E40" i="4" s="1"/>
  <c r="B7" i="14"/>
  <c r="B31" i="13"/>
  <c r="F86" i="4"/>
  <c r="F88" i="4" s="1"/>
  <c r="C15" i="5"/>
  <c r="B36" i="4"/>
  <c r="B15" i="4"/>
  <c r="B101" i="4" s="1"/>
  <c r="B103" i="4" s="1"/>
  <c r="C15" i="4"/>
  <c r="C101" i="4" s="1"/>
  <c r="C103" i="4" s="1"/>
  <c r="F13" i="12"/>
  <c r="E27" i="4"/>
  <c r="F27" i="4"/>
  <c r="F15" i="4"/>
  <c r="F16" i="4" s="1"/>
  <c r="F40" i="4" s="1"/>
  <c r="E86" i="4"/>
  <c r="E88" i="4" s="1"/>
  <c r="E142" i="4" s="1"/>
  <c r="E39" i="13" s="1"/>
  <c r="B86" i="4"/>
  <c r="B88" i="4" s="1"/>
  <c r="B142" i="4" s="1"/>
  <c r="B39" i="13" s="1"/>
  <c r="C86" i="4"/>
  <c r="C88" i="4" s="1"/>
  <c r="C142" i="4" s="1"/>
  <c r="C39" i="13" s="1"/>
  <c r="C140" i="4" l="1"/>
  <c r="C37" i="13" s="1"/>
  <c r="C69" i="4"/>
  <c r="C141" i="4" s="1"/>
  <c r="C38" i="13" s="1"/>
  <c r="C119" i="4"/>
  <c r="C7" i="10" s="1"/>
  <c r="F69" i="4"/>
  <c r="F141" i="4" s="1"/>
  <c r="F38" i="13" s="1"/>
  <c r="F119" i="4"/>
  <c r="F7" i="10" s="1"/>
  <c r="F140" i="4"/>
  <c r="F37" i="13" s="1"/>
  <c r="D69" i="4"/>
  <c r="D141" i="4" s="1"/>
  <c r="D38" i="13" s="1"/>
  <c r="D119" i="4"/>
  <c r="D7" i="10" s="1"/>
  <c r="D140" i="4"/>
  <c r="D37" i="13" s="1"/>
  <c r="E69" i="4"/>
  <c r="E141" i="4" s="1"/>
  <c r="E38" i="13" s="1"/>
  <c r="E119" i="4"/>
  <c r="E7" i="10" s="1"/>
  <c r="E140" i="4"/>
  <c r="E37" i="13" s="1"/>
  <c r="B66" i="4"/>
  <c r="F101" i="4"/>
  <c r="F103" i="4" s="1"/>
  <c r="B16" i="4"/>
  <c r="B40" i="4" s="1"/>
  <c r="C16" i="4"/>
  <c r="C40" i="4" s="1"/>
  <c r="C120" i="4"/>
  <c r="C8" i="10" s="1"/>
  <c r="C89" i="4"/>
  <c r="C143" i="4" s="1"/>
  <c r="C40" i="13" s="1"/>
  <c r="B120" i="4"/>
  <c r="B8" i="10" s="1"/>
  <c r="B89" i="4"/>
  <c r="B143" i="4" s="1"/>
  <c r="B40" i="13" s="1"/>
  <c r="E120" i="4"/>
  <c r="E8" i="10" s="1"/>
  <c r="E89" i="4"/>
  <c r="E143" i="4" s="1"/>
  <c r="E40" i="13" s="1"/>
  <c r="F19" i="4"/>
  <c r="F139" i="4" s="1"/>
  <c r="G15" i="5"/>
  <c r="F36" i="4"/>
  <c r="B18" i="4"/>
  <c r="B138" i="4" s="1"/>
  <c r="F142" i="4"/>
  <c r="F39" i="13" s="1"/>
  <c r="F120" i="4"/>
  <c r="F8" i="10" s="1"/>
  <c r="B21" i="12"/>
  <c r="C21" i="12" s="1"/>
  <c r="G21" i="12" s="1"/>
  <c r="H21" i="12" s="1"/>
  <c r="E19" i="4"/>
  <c r="E139" i="4" s="1"/>
  <c r="E36" i="13" s="1"/>
  <c r="E101" i="4"/>
  <c r="E103" i="4" s="1"/>
  <c r="E18" i="4"/>
  <c r="E138" i="4" s="1"/>
  <c r="D120" i="4"/>
  <c r="D8" i="10" s="1"/>
  <c r="D89" i="4"/>
  <c r="D143" i="4" s="1"/>
  <c r="D40" i="13" s="1"/>
  <c r="D15" i="5"/>
  <c r="C36" i="4"/>
  <c r="J3" i="8"/>
  <c r="K3" i="8" s="1"/>
  <c r="L3" i="8" s="1"/>
  <c r="M3" i="8" s="1"/>
  <c r="B18" i="11"/>
  <c r="B11" i="14" s="1"/>
  <c r="K3" i="12" s="1"/>
  <c r="F18" i="4"/>
  <c r="F138" i="4" s="1"/>
  <c r="F15" i="5"/>
  <c r="E36" i="4"/>
  <c r="B42" i="4"/>
  <c r="B106" i="4"/>
  <c r="B109" i="4" s="1"/>
  <c r="C10" i="5"/>
  <c r="D16" i="4"/>
  <c r="D18" i="4" s="1"/>
  <c r="D138" i="4" s="1"/>
  <c r="E15" i="5"/>
  <c r="D36" i="4"/>
  <c r="F89" i="4"/>
  <c r="F143" i="4" s="1"/>
  <c r="F40" i="13" s="1"/>
  <c r="G8" i="10" l="1"/>
  <c r="L3" i="12"/>
  <c r="B119" i="4"/>
  <c r="B7" i="10" s="1"/>
  <c r="G7" i="10" s="1"/>
  <c r="B140" i="4"/>
  <c r="B37" i="13" s="1"/>
  <c r="B19" i="4"/>
  <c r="B139" i="4" s="1"/>
  <c r="B69" i="4"/>
  <c r="B141" i="4" s="1"/>
  <c r="B38" i="13" s="1"/>
  <c r="C18" i="4"/>
  <c r="C138" i="4" s="1"/>
  <c r="C144" i="4" s="1"/>
  <c r="C19" i="4"/>
  <c r="C139" i="4" s="1"/>
  <c r="C36" i="13" s="1"/>
  <c r="B111" i="4"/>
  <c r="B113" i="4" s="1"/>
  <c r="D35" i="13"/>
  <c r="D42" i="13" s="1"/>
  <c r="D144" i="4"/>
  <c r="D106" i="4"/>
  <c r="E10" i="5"/>
  <c r="D42" i="4"/>
  <c r="C35" i="13"/>
  <c r="C42" i="13" s="1"/>
  <c r="E106" i="4"/>
  <c r="E42" i="4"/>
  <c r="F10" i="5"/>
  <c r="F35" i="13"/>
  <c r="F42" i="13" s="1"/>
  <c r="F144" i="4"/>
  <c r="F145" i="4" s="1"/>
  <c r="B156" i="4"/>
  <c r="B5" i="14"/>
  <c r="B25" i="14" s="1"/>
  <c r="B149" i="4"/>
  <c r="B35" i="13"/>
  <c r="B144" i="4"/>
  <c r="D40" i="4"/>
  <c r="D19" i="4"/>
  <c r="D139" i="4" s="1"/>
  <c r="D36" i="13" s="1"/>
  <c r="C30" i="5"/>
  <c r="B49" i="4"/>
  <c r="B48" i="4"/>
  <c r="C43" i="4"/>
  <c r="C107" i="4"/>
  <c r="B44" i="4"/>
  <c r="D10" i="5"/>
  <c r="C106" i="4"/>
  <c r="C42" i="4"/>
  <c r="E35" i="13"/>
  <c r="E42" i="13" s="1"/>
  <c r="E43" i="13" s="1"/>
  <c r="E144" i="4"/>
  <c r="E145" i="4" s="1"/>
  <c r="B45" i="4"/>
  <c r="B46" i="4" s="1"/>
  <c r="G10" i="5"/>
  <c r="F42" i="4"/>
  <c r="F106" i="4"/>
  <c r="F36" i="13"/>
  <c r="B157" i="4"/>
  <c r="C157" i="4" s="1"/>
  <c r="D157" i="4" s="1"/>
  <c r="E157" i="4" s="1"/>
  <c r="F157" i="4" s="1"/>
  <c r="G157" i="4" s="1"/>
  <c r="H157" i="4" s="1"/>
  <c r="I157" i="4" s="1"/>
  <c r="J157" i="4" s="1"/>
  <c r="K157" i="4" s="1"/>
  <c r="L157" i="4" s="1"/>
  <c r="M157" i="4" s="1"/>
  <c r="M3" i="12" l="1"/>
  <c r="N3" i="12" s="1"/>
  <c r="C145" i="4"/>
  <c r="B145" i="4"/>
  <c r="C109" i="4"/>
  <c r="D43" i="13"/>
  <c r="B115" i="4"/>
  <c r="C11" i="5" s="1"/>
  <c r="C114" i="4"/>
  <c r="B117" i="4"/>
  <c r="B150" i="4"/>
  <c r="C150" i="4" s="1"/>
  <c r="D150" i="4" s="1"/>
  <c r="E150" i="4" s="1"/>
  <c r="F150" i="4" s="1"/>
  <c r="B36" i="13"/>
  <c r="B50" i="13" s="1"/>
  <c r="F43" i="13"/>
  <c r="C43" i="13"/>
  <c r="G30" i="5"/>
  <c r="C111" i="4"/>
  <c r="C113" i="4" s="1"/>
  <c r="G150" i="4"/>
  <c r="B42" i="13"/>
  <c r="B43" i="13" s="1"/>
  <c r="B49" i="13"/>
  <c r="G156" i="4"/>
  <c r="G158" i="4" s="1"/>
  <c r="M156" i="4"/>
  <c r="M158" i="4" s="1"/>
  <c r="E156" i="4"/>
  <c r="E158" i="4" s="1"/>
  <c r="D156" i="4"/>
  <c r="D158" i="4" s="1"/>
  <c r="I156" i="4"/>
  <c r="I158" i="4" s="1"/>
  <c r="K156" i="4"/>
  <c r="K158" i="4" s="1"/>
  <c r="L156" i="4"/>
  <c r="L158" i="4" s="1"/>
  <c r="H156" i="4"/>
  <c r="H158" i="4" s="1"/>
  <c r="F156" i="4"/>
  <c r="F158" i="4" s="1"/>
  <c r="C156" i="4"/>
  <c r="C158" i="4" s="1"/>
  <c r="J156" i="4"/>
  <c r="J158" i="4" s="1"/>
  <c r="B158" i="4"/>
  <c r="F43" i="4"/>
  <c r="F45" i="4" s="1"/>
  <c r="F46" i="4" s="1"/>
  <c r="F107" i="4"/>
  <c r="F109" i="4" s="1"/>
  <c r="E30" i="5"/>
  <c r="D145" i="4"/>
  <c r="F48" i="4"/>
  <c r="D107" i="4"/>
  <c r="D109" i="4" s="1"/>
  <c r="D43" i="4"/>
  <c r="D45" i="4" s="1"/>
  <c r="D46" i="4" s="1"/>
  <c r="C49" i="4"/>
  <c r="C44" i="4"/>
  <c r="C48" i="4"/>
  <c r="C45" i="4"/>
  <c r="C46" i="4" s="1"/>
  <c r="D30" i="5"/>
  <c r="C14" i="7"/>
  <c r="K149" i="4"/>
  <c r="H149" i="4"/>
  <c r="C149" i="4"/>
  <c r="C151" i="4" s="1"/>
  <c r="J149" i="4"/>
  <c r="G149" i="4"/>
  <c r="E149" i="4"/>
  <c r="L149" i="4"/>
  <c r="I149" i="4"/>
  <c r="D149" i="4"/>
  <c r="F149" i="4"/>
  <c r="M149" i="4"/>
  <c r="F30" i="5"/>
  <c r="E43" i="4"/>
  <c r="E49" i="4" s="1"/>
  <c r="E107" i="4"/>
  <c r="E109" i="4" s="1"/>
  <c r="D44" i="4"/>
  <c r="D48" i="4"/>
  <c r="D49" i="4"/>
  <c r="B4" i="10"/>
  <c r="B122" i="4"/>
  <c r="C16" i="5"/>
  <c r="F151" i="4" l="1"/>
  <c r="E151" i="4"/>
  <c r="D151" i="4"/>
  <c r="B151" i="4"/>
  <c r="C117" i="4"/>
  <c r="F44" i="4"/>
  <c r="F49" i="4"/>
  <c r="C115" i="4"/>
  <c r="G50" i="13"/>
  <c r="D50" i="13"/>
  <c r="I50" i="13"/>
  <c r="M50" i="13"/>
  <c r="K50" i="13"/>
  <c r="J50" i="13"/>
  <c r="F50" i="13"/>
  <c r="E50" i="13"/>
  <c r="H50" i="13"/>
  <c r="L50" i="13"/>
  <c r="C50" i="13"/>
  <c r="D11" i="5"/>
  <c r="D16" i="5" s="1"/>
  <c r="D18" i="5" s="1"/>
  <c r="C10" i="15"/>
  <c r="C13" i="13"/>
  <c r="C13" i="5"/>
  <c r="C22" i="5" s="1"/>
  <c r="C16" i="13"/>
  <c r="C18" i="5"/>
  <c r="B5" i="10"/>
  <c r="B10" i="10" s="1"/>
  <c r="C17" i="14"/>
  <c r="E111" i="4"/>
  <c r="E113" i="4" s="1"/>
  <c r="E114" i="4" s="1"/>
  <c r="E115" i="4" s="1"/>
  <c r="F14" i="7"/>
  <c r="E14" i="7"/>
  <c r="E45" i="4"/>
  <c r="E46" i="4" s="1"/>
  <c r="E48" i="4"/>
  <c r="H150" i="4"/>
  <c r="G151" i="4"/>
  <c r="C122" i="4"/>
  <c r="C4" i="10"/>
  <c r="G14" i="7"/>
  <c r="B126" i="4"/>
  <c r="C31" i="5"/>
  <c r="B124" i="4"/>
  <c r="D14" i="7"/>
  <c r="D111" i="4"/>
  <c r="D113" i="4" s="1"/>
  <c r="D114" i="4" s="1"/>
  <c r="D115" i="4" s="1"/>
  <c r="E44" i="4"/>
  <c r="F111" i="4"/>
  <c r="F113" i="4" s="1"/>
  <c r="F114" i="4" s="1"/>
  <c r="F115" i="4" s="1"/>
  <c r="H193" i="4"/>
  <c r="H194" i="4"/>
  <c r="K49" i="13"/>
  <c r="K51" i="13" s="1"/>
  <c r="I49" i="13"/>
  <c r="I51" i="13" s="1"/>
  <c r="G49" i="13"/>
  <c r="G51" i="13" s="1"/>
  <c r="E49" i="13"/>
  <c r="C49" i="13"/>
  <c r="C51" i="13" s="1"/>
  <c r="L49" i="13"/>
  <c r="M49" i="13"/>
  <c r="F49" i="13"/>
  <c r="F51" i="13" s="1"/>
  <c r="B51" i="13"/>
  <c r="J49" i="13"/>
  <c r="D49" i="13"/>
  <c r="H49" i="13"/>
  <c r="H51" i="13" s="1"/>
  <c r="D51" i="13" l="1"/>
  <c r="M51" i="13"/>
  <c r="J51" i="13"/>
  <c r="L51" i="13"/>
  <c r="J69" i="13" s="1"/>
  <c r="E51" i="13"/>
  <c r="H197" i="4"/>
  <c r="H198" i="4" s="1"/>
  <c r="F117" i="4"/>
  <c r="D117" i="4"/>
  <c r="D4" i="10" s="1"/>
  <c r="E117" i="4"/>
  <c r="D13" i="13"/>
  <c r="D14" i="13" s="1"/>
  <c r="C14" i="13"/>
  <c r="E11" i="5"/>
  <c r="D13" i="5"/>
  <c r="D22" i="5" s="1"/>
  <c r="D10" i="15"/>
  <c r="C15" i="7"/>
  <c r="C19" i="7" s="1"/>
  <c r="C32" i="5"/>
  <c r="C124" i="4"/>
  <c r="D31" i="5"/>
  <c r="C126" i="4"/>
  <c r="H151" i="4"/>
  <c r="I150" i="4"/>
  <c r="E122" i="4"/>
  <c r="E4" i="10"/>
  <c r="F122" i="4"/>
  <c r="F4" i="10"/>
  <c r="E16" i="5"/>
  <c r="H4" i="8"/>
  <c r="B128" i="4"/>
  <c r="F4" i="8" s="1"/>
  <c r="B127" i="4"/>
  <c r="B130" i="4"/>
  <c r="C5" i="10"/>
  <c r="C10" i="10" s="1"/>
  <c r="D17" i="14"/>
  <c r="B11" i="10"/>
  <c r="C20" i="14" s="1"/>
  <c r="B12" i="10"/>
  <c r="C18" i="14" s="1"/>
  <c r="H4" i="12"/>
  <c r="D16" i="13"/>
  <c r="C17" i="13"/>
  <c r="D122" i="4" l="1"/>
  <c r="J68" i="13"/>
  <c r="J72" i="13" s="1"/>
  <c r="J73" i="13" s="1"/>
  <c r="G4" i="10"/>
  <c r="G5" i="10" s="1"/>
  <c r="G10" i="10" s="1"/>
  <c r="G12" i="10" s="1"/>
  <c r="E10" i="15"/>
  <c r="E13" i="5"/>
  <c r="E22" i="5" s="1"/>
  <c r="F11" i="5"/>
  <c r="D17" i="13"/>
  <c r="B13" i="10"/>
  <c r="C11" i="10"/>
  <c r="D20" i="14" s="1"/>
  <c r="E5" i="12" s="1"/>
  <c r="C12" i="10"/>
  <c r="D18" i="14" s="1"/>
  <c r="F5" i="12" s="1"/>
  <c r="H5" i="12"/>
  <c r="E5" i="8"/>
  <c r="E4" i="8"/>
  <c r="E7" i="8"/>
  <c r="E6" i="8"/>
  <c r="E8" i="8"/>
  <c r="D5" i="10"/>
  <c r="D10" i="10" s="1"/>
  <c r="E17" i="14"/>
  <c r="F126" i="4"/>
  <c r="F124" i="4"/>
  <c r="E124" i="4"/>
  <c r="E126" i="4"/>
  <c r="D15" i="7"/>
  <c r="D19" i="7" s="1"/>
  <c r="D32" i="5"/>
  <c r="E20" i="6" s="1"/>
  <c r="E21" i="6" s="1"/>
  <c r="C20" i="13"/>
  <c r="D20" i="6"/>
  <c r="F4" i="12"/>
  <c r="E4" i="12"/>
  <c r="B134" i="4"/>
  <c r="B136" i="4" s="1"/>
  <c r="B131" i="4"/>
  <c r="C17" i="5" s="1"/>
  <c r="E18" i="5"/>
  <c r="D126" i="4"/>
  <c r="E31" i="5"/>
  <c r="D124" i="4"/>
  <c r="G17" i="14"/>
  <c r="F5" i="10"/>
  <c r="F10" i="10" s="1"/>
  <c r="E5" i="10"/>
  <c r="E10" i="10" s="1"/>
  <c r="F17" i="14"/>
  <c r="I151" i="4"/>
  <c r="J150" i="4"/>
  <c r="C127" i="4"/>
  <c r="H5" i="8"/>
  <c r="C128" i="4"/>
  <c r="F5" i="8" s="1"/>
  <c r="C21" i="7"/>
  <c r="C23" i="7" s="1"/>
  <c r="C9" i="11"/>
  <c r="C11" i="11" s="1"/>
  <c r="C13" i="11" s="1"/>
  <c r="G11" i="10" l="1"/>
  <c r="G13" i="10" s="1"/>
  <c r="C37" i="12" s="1"/>
  <c r="F13" i="5"/>
  <c r="F22" i="5" s="1"/>
  <c r="F10" i="15"/>
  <c r="G11" i="5"/>
  <c r="F16" i="5"/>
  <c r="C13" i="10"/>
  <c r="D33" i="15" s="1"/>
  <c r="J151" i="4"/>
  <c r="K150" i="4"/>
  <c r="H17" i="14"/>
  <c r="E15" i="7"/>
  <c r="E19" i="7" s="1"/>
  <c r="E32" i="5"/>
  <c r="F20" i="6" s="1"/>
  <c r="F21" i="6" s="1"/>
  <c r="C21" i="13"/>
  <c r="C22" i="14"/>
  <c r="C16" i="11"/>
  <c r="C17" i="11" s="1"/>
  <c r="D20" i="13"/>
  <c r="D21" i="13" s="1"/>
  <c r="D21" i="7"/>
  <c r="D23" i="7" s="1"/>
  <c r="D9" i="11"/>
  <c r="D11" i="11" s="1"/>
  <c r="D13" i="11" s="1"/>
  <c r="H8" i="8"/>
  <c r="F128" i="4"/>
  <c r="F8" i="8" s="1"/>
  <c r="F127" i="4"/>
  <c r="H6" i="12"/>
  <c r="D12" i="10"/>
  <c r="E18" i="14" s="1"/>
  <c r="D11" i="10"/>
  <c r="E20" i="14" s="1"/>
  <c r="E10" i="8"/>
  <c r="C130" i="4"/>
  <c r="E12" i="10"/>
  <c r="F18" i="14" s="1"/>
  <c r="F7" i="12" s="1"/>
  <c r="E11" i="10"/>
  <c r="F20" i="14" s="1"/>
  <c r="E7" i="12" s="1"/>
  <c r="H7" i="12"/>
  <c r="H8" i="12"/>
  <c r="F12" i="10"/>
  <c r="G18" i="14" s="1"/>
  <c r="F8" i="12" s="1"/>
  <c r="F11" i="10"/>
  <c r="G20" i="14" s="1"/>
  <c r="E8" i="12" s="1"/>
  <c r="D127" i="4"/>
  <c r="D128" i="4"/>
  <c r="F6" i="8" s="1"/>
  <c r="H6" i="8"/>
  <c r="D10" i="6"/>
  <c r="C20" i="5"/>
  <c r="C23" i="5" s="1"/>
  <c r="D21" i="6"/>
  <c r="D26" i="7"/>
  <c r="D5" i="8" s="1"/>
  <c r="D16" i="11"/>
  <c r="H7" i="8"/>
  <c r="E128" i="4"/>
  <c r="F7" i="8" s="1"/>
  <c r="E127" i="4"/>
  <c r="C33" i="15"/>
  <c r="D34" i="15" s="1"/>
  <c r="C18" i="13"/>
  <c r="H10" i="12" l="1"/>
  <c r="F18" i="5"/>
  <c r="F31" i="5"/>
  <c r="G13" i="5"/>
  <c r="G22" i="5" s="1"/>
  <c r="G10" i="15"/>
  <c r="G16" i="5"/>
  <c r="G18" i="5" s="1"/>
  <c r="G31" i="5"/>
  <c r="E34" i="15"/>
  <c r="D130" i="4"/>
  <c r="D134" i="4" s="1"/>
  <c r="D136" i="4" s="1"/>
  <c r="E130" i="4"/>
  <c r="E134" i="4" s="1"/>
  <c r="E136" i="4" s="1"/>
  <c r="F13" i="10"/>
  <c r="G33" i="15" s="1"/>
  <c r="E13" i="10"/>
  <c r="F33" i="15" s="1"/>
  <c r="F130" i="4"/>
  <c r="F131" i="4" s="1"/>
  <c r="G17" i="5" s="1"/>
  <c r="F10" i="8"/>
  <c r="D13" i="10"/>
  <c r="E33" i="15" s="1"/>
  <c r="F34" i="15" s="1"/>
  <c r="H10" i="8"/>
  <c r="D12" i="8" s="1"/>
  <c r="E131" i="4"/>
  <c r="F17" i="5" s="1"/>
  <c r="F134" i="4"/>
  <c r="F136" i="4" s="1"/>
  <c r="D22" i="14"/>
  <c r="C34" i="5"/>
  <c r="C4" i="8"/>
  <c r="D131" i="4"/>
  <c r="E17" i="5" s="1"/>
  <c r="C131" i="4"/>
  <c r="D17" i="5" s="1"/>
  <c r="C134" i="4"/>
  <c r="C136" i="4" s="1"/>
  <c r="F6" i="12"/>
  <c r="F10" i="12" s="1"/>
  <c r="H18" i="14"/>
  <c r="D4" i="12"/>
  <c r="E26" i="7"/>
  <c r="D6" i="8" s="1"/>
  <c r="E16" i="11"/>
  <c r="E22" i="14" s="1"/>
  <c r="D18" i="13"/>
  <c r="D19" i="13" s="1"/>
  <c r="D22" i="13" s="1"/>
  <c r="D25" i="13" s="1"/>
  <c r="D26" i="13" s="1"/>
  <c r="C19" i="13"/>
  <c r="C26" i="7"/>
  <c r="B6" i="9"/>
  <c r="D16" i="6"/>
  <c r="E6" i="12"/>
  <c r="E10" i="12" s="1"/>
  <c r="H20" i="14"/>
  <c r="D15" i="11"/>
  <c r="D11" i="15" s="1"/>
  <c r="D23" i="15" s="1"/>
  <c r="D12" i="15" s="1"/>
  <c r="C18" i="11"/>
  <c r="E21" i="7"/>
  <c r="E23" i="7" s="1"/>
  <c r="E9" i="11"/>
  <c r="E11" i="11" s="1"/>
  <c r="E13" i="11" s="1"/>
  <c r="K151" i="4"/>
  <c r="L150" i="4"/>
  <c r="G15" i="7" l="1"/>
  <c r="G19" i="7" s="1"/>
  <c r="G32" i="5"/>
  <c r="H20" i="6" s="1"/>
  <c r="H21" i="6" s="1"/>
  <c r="F15" i="7"/>
  <c r="F19" i="7" s="1"/>
  <c r="F32" i="5"/>
  <c r="G20" i="6" s="1"/>
  <c r="G34" i="15"/>
  <c r="C38" i="12" s="1"/>
  <c r="D12" i="12"/>
  <c r="D31" i="12"/>
  <c r="B5" i="9"/>
  <c r="F6" i="9"/>
  <c r="E10" i="6"/>
  <c r="F10" i="6" s="1"/>
  <c r="F16" i="6" s="1"/>
  <c r="F23" i="6" s="1"/>
  <c r="D20" i="5"/>
  <c r="D23" i="5" s="1"/>
  <c r="D5" i="12"/>
  <c r="G5" i="12" s="1"/>
  <c r="D14" i="14"/>
  <c r="C39" i="12"/>
  <c r="L151" i="4"/>
  <c r="M150" i="4"/>
  <c r="M151" i="4" s="1"/>
  <c r="H167" i="4" s="1"/>
  <c r="C11" i="15"/>
  <c r="C23" i="15" s="1"/>
  <c r="C12" i="15" s="1"/>
  <c r="C11" i="14"/>
  <c r="K4" i="12" s="1"/>
  <c r="C20" i="11"/>
  <c r="D23" i="6"/>
  <c r="D4" i="8"/>
  <c r="C27" i="7"/>
  <c r="C16" i="14"/>
  <c r="C22" i="13"/>
  <c r="C25" i="13" s="1"/>
  <c r="C26" i="13" s="1"/>
  <c r="C30" i="13" s="1"/>
  <c r="D6" i="12"/>
  <c r="G6" i="12" s="1"/>
  <c r="E14" i="14"/>
  <c r="E20" i="5"/>
  <c r="E23" i="5" s="1"/>
  <c r="D17" i="11"/>
  <c r="G20" i="5"/>
  <c r="F20" i="5"/>
  <c r="L4" i="12" l="1"/>
  <c r="G21" i="6"/>
  <c r="I20" i="6"/>
  <c r="G26" i="7"/>
  <c r="D8" i="8" s="1"/>
  <c r="G16" i="11"/>
  <c r="G22" i="14" s="1"/>
  <c r="F9" i="11"/>
  <c r="F11" i="11" s="1"/>
  <c r="F13" i="11" s="1"/>
  <c r="F21" i="7"/>
  <c r="F23" i="7" s="1"/>
  <c r="G21" i="7"/>
  <c r="G23" i="7" s="1"/>
  <c r="G9" i="11"/>
  <c r="G11" i="11" s="1"/>
  <c r="G13" i="11" s="1"/>
  <c r="F23" i="5"/>
  <c r="F34" i="5" s="1"/>
  <c r="G4" i="8"/>
  <c r="G10" i="6"/>
  <c r="G16" i="6" s="1"/>
  <c r="G23" i="6" s="1"/>
  <c r="D30" i="13"/>
  <c r="C31" i="13"/>
  <c r="D31" i="13" s="1"/>
  <c r="C7" i="14"/>
  <c r="E16" i="6"/>
  <c r="H168" i="4"/>
  <c r="H171" i="4" s="1"/>
  <c r="H172" i="4" s="1"/>
  <c r="C7" i="8"/>
  <c r="G23" i="5"/>
  <c r="G34" i="5" s="1"/>
  <c r="D18" i="11"/>
  <c r="E15" i="11"/>
  <c r="C6" i="8"/>
  <c r="G6" i="8" s="1"/>
  <c r="E34" i="5"/>
  <c r="C14" i="14"/>
  <c r="C4" i="12"/>
  <c r="H16" i="14"/>
  <c r="B26" i="12" s="1"/>
  <c r="C26" i="12" s="1"/>
  <c r="C28" i="7"/>
  <c r="J4" i="8" s="1"/>
  <c r="D25" i="7"/>
  <c r="D27" i="7" s="1"/>
  <c r="C30" i="7"/>
  <c r="D34" i="5"/>
  <c r="C5" i="8"/>
  <c r="F5" i="9"/>
  <c r="B7" i="9"/>
  <c r="C8" i="12" l="1"/>
  <c r="H10" i="6"/>
  <c r="H16" i="6" s="1"/>
  <c r="H23" i="6" s="1"/>
  <c r="D8" i="12"/>
  <c r="G14" i="14"/>
  <c r="F16" i="11"/>
  <c r="F22" i="14" s="1"/>
  <c r="I21" i="6"/>
  <c r="F26" i="7"/>
  <c r="D7" i="8" s="1"/>
  <c r="D10" i="8" s="1"/>
  <c r="I10" i="6"/>
  <c r="F7" i="9"/>
  <c r="G7" i="9" s="1"/>
  <c r="C4" i="9"/>
  <c r="E5" i="9"/>
  <c r="E4" i="9"/>
  <c r="E6" i="9"/>
  <c r="G4" i="9"/>
  <c r="C7" i="9"/>
  <c r="E7" i="9"/>
  <c r="C6" i="9"/>
  <c r="G5" i="8"/>
  <c r="C8" i="8"/>
  <c r="G8" i="8" s="1"/>
  <c r="C5" i="9"/>
  <c r="G5" i="9"/>
  <c r="K4" i="8"/>
  <c r="G4" i="12"/>
  <c r="E17" i="11"/>
  <c r="E11" i="15"/>
  <c r="E23" i="15" s="1"/>
  <c r="E12" i="15" s="1"/>
  <c r="E29" i="13"/>
  <c r="E28" i="13"/>
  <c r="E31" i="13"/>
  <c r="G6" i="9"/>
  <c r="D30" i="7"/>
  <c r="D28" i="7"/>
  <c r="J5" i="8" s="1"/>
  <c r="K5" i="8" s="1"/>
  <c r="E25" i="7"/>
  <c r="E27" i="7" s="1"/>
  <c r="D11" i="14"/>
  <c r="D20" i="11"/>
  <c r="E23" i="6"/>
  <c r="I16" i="6"/>
  <c r="B22" i="12"/>
  <c r="H7" i="14"/>
  <c r="D44" i="12" s="1"/>
  <c r="C5" i="14"/>
  <c r="C25" i="14" s="1"/>
  <c r="C28" i="14" s="1"/>
  <c r="E32" i="15"/>
  <c r="F32" i="15"/>
  <c r="C32" i="15"/>
  <c r="D32" i="15"/>
  <c r="E30" i="13"/>
  <c r="G32" i="15"/>
  <c r="I23" i="6"/>
  <c r="G8" i="12" l="1"/>
  <c r="C10" i="12"/>
  <c r="L5" i="8"/>
  <c r="G7" i="8"/>
  <c r="D7" i="12"/>
  <c r="D10" i="12" s="1"/>
  <c r="H22" i="14"/>
  <c r="F14" i="14"/>
  <c r="H14" i="14" s="1"/>
  <c r="C10" i="8"/>
  <c r="E28" i="7"/>
  <c r="J6" i="8" s="1"/>
  <c r="K6" i="8" s="1"/>
  <c r="L6" i="8" s="1"/>
  <c r="F25" i="7"/>
  <c r="F27" i="7" s="1"/>
  <c r="E30" i="7"/>
  <c r="E18" i="11"/>
  <c r="F15" i="11"/>
  <c r="G10" i="8"/>
  <c r="C29" i="14"/>
  <c r="C8" i="15"/>
  <c r="C5" i="15" s="1"/>
  <c r="C24" i="15" s="1"/>
  <c r="C31" i="15" s="1"/>
  <c r="C35" i="15" s="1"/>
  <c r="D6" i="14"/>
  <c r="D5" i="14" s="1"/>
  <c r="D25" i="14" s="1"/>
  <c r="D28" i="14" s="1"/>
  <c r="B28" i="12"/>
  <c r="C22" i="12"/>
  <c r="C28" i="12" s="1"/>
  <c r="K5" i="12"/>
  <c r="M4" i="12"/>
  <c r="N4" i="12" s="1"/>
  <c r="L4" i="8"/>
  <c r="G7" i="12" l="1"/>
  <c r="G10" i="12" s="1"/>
  <c r="D8" i="15"/>
  <c r="D5" i="15" s="1"/>
  <c r="D24" i="15" s="1"/>
  <c r="D31" i="15" s="1"/>
  <c r="D35" i="15" s="1"/>
  <c r="E6" i="14"/>
  <c r="D29" i="14"/>
  <c r="E23" i="12" s="1"/>
  <c r="F23" i="12" s="1"/>
  <c r="G23" i="12" s="1"/>
  <c r="E22" i="12"/>
  <c r="E11" i="14"/>
  <c r="E20" i="11"/>
  <c r="G25" i="7"/>
  <c r="G27" i="7" s="1"/>
  <c r="F28" i="7"/>
  <c r="J7" i="8" s="1"/>
  <c r="F30" i="7"/>
  <c r="M4" i="8"/>
  <c r="L5" i="12"/>
  <c r="F17" i="11"/>
  <c r="F11" i="15"/>
  <c r="F23" i="15" s="1"/>
  <c r="F12" i="15" s="1"/>
  <c r="M5" i="8" l="1"/>
  <c r="D13" i="8"/>
  <c r="G15" i="11"/>
  <c r="F18" i="11"/>
  <c r="M5" i="12"/>
  <c r="G28" i="7"/>
  <c r="J8" i="8" s="1"/>
  <c r="K8" i="8" s="1"/>
  <c r="L8" i="8" s="1"/>
  <c r="G30" i="7"/>
  <c r="K6" i="12"/>
  <c r="F22" i="12"/>
  <c r="E5" i="14"/>
  <c r="E25" i="14" s="1"/>
  <c r="E28" i="14" s="1"/>
  <c r="M6" i="8"/>
  <c r="K7" i="8"/>
  <c r="J10" i="8" l="1"/>
  <c r="L7" i="8"/>
  <c r="K10" i="8"/>
  <c r="F11" i="14"/>
  <c r="F20" i="11"/>
  <c r="M7" i="8"/>
  <c r="M8" i="8" s="1"/>
  <c r="F6" i="14"/>
  <c r="E29" i="14"/>
  <c r="E8" i="15"/>
  <c r="E5" i="15" s="1"/>
  <c r="E24" i="15" s="1"/>
  <c r="E31" i="15" s="1"/>
  <c r="E35" i="15" s="1"/>
  <c r="G22" i="12"/>
  <c r="L6" i="12"/>
  <c r="N5" i="12"/>
  <c r="D13" i="12"/>
  <c r="G17" i="11"/>
  <c r="G11" i="15"/>
  <c r="G23" i="15" s="1"/>
  <c r="G12" i="15" s="1"/>
  <c r="F5" i="14" l="1"/>
  <c r="F25" i="14" s="1"/>
  <c r="F28" i="14" s="1"/>
  <c r="F29" i="14" s="1"/>
  <c r="E25" i="12" s="1"/>
  <c r="F25" i="12" s="1"/>
  <c r="G25" i="12" s="1"/>
  <c r="G18" i="11"/>
  <c r="M6" i="12"/>
  <c r="N6" i="12" s="1"/>
  <c r="H22" i="12"/>
  <c r="E24" i="12"/>
  <c r="K7" i="12"/>
  <c r="J43" i="8"/>
  <c r="J45" i="8" s="1"/>
  <c r="H43" i="8"/>
  <c r="H45" i="8" s="1"/>
  <c r="I43" i="8"/>
  <c r="I45" i="8" s="1"/>
  <c r="L10" i="8"/>
  <c r="C43" i="8"/>
  <c r="C45" i="8" s="1"/>
  <c r="D43" i="8"/>
  <c r="D45" i="8" s="1"/>
  <c r="D14" i="8"/>
  <c r="D15" i="8"/>
  <c r="K43" i="8"/>
  <c r="K45" i="8" s="1"/>
  <c r="L43" i="8"/>
  <c r="L45" i="8" s="1"/>
  <c r="F43" i="8"/>
  <c r="F45" i="8" s="1"/>
  <c r="M43" i="8"/>
  <c r="M45" i="8" s="1"/>
  <c r="G43" i="8"/>
  <c r="G45" i="8" s="1"/>
  <c r="E43" i="8"/>
  <c r="E45" i="8" s="1"/>
  <c r="G6" i="14" l="1"/>
  <c r="F8" i="15"/>
  <c r="F5" i="15" s="1"/>
  <c r="F24" i="15" s="1"/>
  <c r="F31" i="15" s="1"/>
  <c r="F35" i="15" s="1"/>
  <c r="G11" i="14"/>
  <c r="G20" i="11"/>
  <c r="G5" i="14"/>
  <c r="G25" i="14" s="1"/>
  <c r="G28" i="14" s="1"/>
  <c r="E46" i="8"/>
  <c r="H46" i="8"/>
  <c r="D46" i="8"/>
  <c r="J46" i="8"/>
  <c r="C46" i="8"/>
  <c r="I46" i="8"/>
  <c r="F46" i="8"/>
  <c r="M46" i="8"/>
  <c r="K46" i="8"/>
  <c r="L46" i="8"/>
  <c r="G46" i="8"/>
  <c r="L7" i="12"/>
  <c r="F24" i="12"/>
  <c r="D32" i="12"/>
  <c r="H23" i="12"/>
  <c r="G24" i="12" l="1"/>
  <c r="M7" i="12"/>
  <c r="G8" i="15"/>
  <c r="G5" i="15" s="1"/>
  <c r="G24" i="15" s="1"/>
  <c r="G31" i="15" s="1"/>
  <c r="G35" i="15" s="1"/>
  <c r="G29" i="14"/>
  <c r="K8" i="12"/>
  <c r="K10" i="12" s="1"/>
  <c r="N7" i="12" l="1"/>
  <c r="L8" i="12"/>
  <c r="L10" i="12" s="1"/>
  <c r="E26" i="12"/>
  <c r="H24" i="12"/>
  <c r="H25" i="12" s="1"/>
  <c r="F26" i="12" l="1"/>
  <c r="M8" i="12"/>
  <c r="N8" i="12" s="1"/>
  <c r="G26" i="12" l="1"/>
  <c r="H26" i="12" l="1"/>
  <c r="H11" i="14" l="1"/>
  <c r="H5" i="14" s="1"/>
  <c r="H25" i="14" s="1"/>
  <c r="H28" i="14" s="1"/>
  <c r="C40" i="12" s="1"/>
  <c r="F14" i="12"/>
  <c r="M10" i="12" l="1"/>
  <c r="C41" i="12" s="1"/>
  <c r="H29" i="14"/>
  <c r="E28" i="12" l="1"/>
  <c r="F12" i="12"/>
  <c r="M41" i="12"/>
  <c r="M43" i="12" s="1"/>
  <c r="T41" i="12"/>
  <c r="T43" i="12" s="1"/>
  <c r="U41" i="12"/>
  <c r="U43" i="12" s="1"/>
  <c r="P41" i="12"/>
  <c r="P43" i="12" s="1"/>
  <c r="R41" i="12"/>
  <c r="R43" i="12" s="1"/>
  <c r="Q41" i="12"/>
  <c r="Q43" i="12" s="1"/>
  <c r="L41" i="12"/>
  <c r="L43" i="12" s="1"/>
  <c r="S41" i="12"/>
  <c r="S43" i="12" s="1"/>
  <c r="O41" i="12"/>
  <c r="O43" i="12" s="1"/>
  <c r="K41" i="12"/>
  <c r="N41" i="12"/>
  <c r="N43" i="12" s="1"/>
  <c r="D14" i="12"/>
  <c r="N44" i="12" l="1"/>
  <c r="R44" i="12"/>
  <c r="P44" i="12"/>
  <c r="K43" i="12"/>
  <c r="S44" i="12"/>
  <c r="L44" i="12"/>
  <c r="M44" i="12"/>
  <c r="Q44" i="12"/>
  <c r="O44" i="12"/>
  <c r="U44" i="12"/>
  <c r="K44" i="12"/>
  <c r="T44" i="12"/>
  <c r="F28" i="12"/>
  <c r="G28" i="12" s="1"/>
  <c r="H28" i="12" l="1"/>
  <c r="D33" i="12"/>
  <c r="D35" i="12" s="1"/>
</calcChain>
</file>

<file path=xl/comments1.xml><?xml version="1.0" encoding="utf-8"?>
<comments xmlns="http://schemas.openxmlformats.org/spreadsheetml/2006/main">
  <authors>
    <author>Norberto Yacovone</author>
  </authors>
  <commentList>
    <comment ref="E22" authorId="0">
      <text>
        <r>
          <rPr>
            <b/>
            <sz val="9"/>
            <color indexed="81"/>
            <rFont val="Tahoma"/>
            <family val="2"/>
          </rPr>
          <t>Norberto Yacovone:</t>
        </r>
        <r>
          <rPr>
            <sz val="9"/>
            <color indexed="81"/>
            <rFont val="Tahoma"/>
            <family val="2"/>
          </rPr>
          <t xml:space="preserve">
El semi elaborado que se compra por unidad no tiene consumo excesivo de puesta en marcha.</t>
        </r>
      </text>
    </comment>
  </commentList>
</comments>
</file>

<file path=xl/comments2.xml><?xml version="1.0" encoding="utf-8"?>
<comments xmlns="http://schemas.openxmlformats.org/spreadsheetml/2006/main">
  <authors>
    <author>fer</author>
  </authors>
  <commentList>
    <comment ref="I15" authorId="0">
      <text>
        <r>
          <rPr>
            <b/>
            <sz val="9"/>
            <color indexed="81"/>
            <rFont val="Tahoma"/>
            <family val="2"/>
          </rPr>
          <t>fer:</t>
        </r>
        <r>
          <rPr>
            <sz val="9"/>
            <color indexed="81"/>
            <rFont val="Tahoma"/>
            <family val="2"/>
          </rPr>
          <t xml:space="preserve">
Con colocacion</t>
        </r>
      </text>
    </comment>
    <comment ref="I19" authorId="0">
      <text>
        <r>
          <rPr>
            <b/>
            <sz val="9"/>
            <color indexed="81"/>
            <rFont val="Tahoma"/>
            <family val="2"/>
          </rPr>
          <t>fer:</t>
        </r>
        <r>
          <rPr>
            <sz val="9"/>
            <color indexed="81"/>
            <rFont val="Tahoma"/>
            <family val="2"/>
          </rPr>
          <t xml:space="preserve">
Con colocacion
</t>
        </r>
      </text>
    </comment>
  </commentList>
</comments>
</file>

<file path=xl/comments3.xml><?xml version="1.0" encoding="utf-8"?>
<comments xmlns="http://schemas.openxmlformats.org/spreadsheetml/2006/main">
  <authors>
    <author>PPM</author>
  </authors>
  <commentList>
    <comment ref="B10" authorId="0">
      <text>
        <r>
          <rPr>
            <sz val="9"/>
            <color indexed="81"/>
            <rFont val="Tahoma"/>
            <family val="2"/>
          </rPr>
          <t xml:space="preserve">
3/5 Variable
2/5 Fijo</t>
        </r>
      </text>
    </comment>
    <comment ref="B61" authorId="0">
      <text>
        <r>
          <rPr>
            <sz val="9"/>
            <color indexed="81"/>
            <rFont val="Tahoma"/>
            <family val="2"/>
          </rPr>
          <t>Patente+ARBA+Sellos+SIRCREB</t>
        </r>
      </text>
    </comment>
    <comment ref="C61" authorId="0">
      <text>
        <r>
          <rPr>
            <sz val="9"/>
            <color indexed="81"/>
            <rFont val="Tahoma"/>
            <family val="2"/>
          </rPr>
          <t>Patente+ARBA+Sellos+SIRCREB</t>
        </r>
      </text>
    </comment>
    <comment ref="D61" authorId="0">
      <text>
        <r>
          <rPr>
            <sz val="9"/>
            <color indexed="81"/>
            <rFont val="Tahoma"/>
            <family val="2"/>
          </rPr>
          <t>Patente+ARBA+Sellos+SIRCREB</t>
        </r>
      </text>
    </comment>
    <comment ref="E61" authorId="0">
      <text>
        <r>
          <rPr>
            <sz val="9"/>
            <color indexed="81"/>
            <rFont val="Tahoma"/>
            <family val="2"/>
          </rPr>
          <t>Patente+ARBA+Sellos+SIRCREB</t>
        </r>
      </text>
    </comment>
    <comment ref="F61" authorId="0">
      <text>
        <r>
          <rPr>
            <sz val="9"/>
            <color indexed="81"/>
            <rFont val="Tahoma"/>
            <family val="2"/>
          </rPr>
          <t>Patente+ARBA+Sellos+SIRCREB</t>
        </r>
      </text>
    </comment>
    <comment ref="B76" authorId="0">
      <text>
        <r>
          <rPr>
            <sz val="9"/>
            <color indexed="81"/>
            <rFont val="Tahoma"/>
            <family val="2"/>
          </rPr>
          <t xml:space="preserve">
Fijos: 0,4
Variables: 0,6</t>
        </r>
      </text>
    </comment>
    <comment ref="B80" authorId="0">
      <text>
        <r>
          <rPr>
            <sz val="9"/>
            <color indexed="81"/>
            <rFont val="Tahoma"/>
            <family val="2"/>
          </rPr>
          <t xml:space="preserve">
Fijos: 0,4
Variables: 0,6</t>
        </r>
      </text>
    </comment>
    <comment ref="B81" authorId="0">
      <text>
        <r>
          <rPr>
            <sz val="9"/>
            <color indexed="81"/>
            <rFont val="Tahoma"/>
            <family val="2"/>
          </rPr>
          <t xml:space="preserve">
Fijo: 0,4
Variable: 0,6</t>
        </r>
      </text>
    </comment>
    <comment ref="C81" authorId="0">
      <text>
        <r>
          <rPr>
            <sz val="9"/>
            <color indexed="81"/>
            <rFont val="Tahoma"/>
            <family val="2"/>
          </rPr>
          <t xml:space="preserve">
Fijo: 0,4
Variable: 0,6</t>
        </r>
      </text>
    </comment>
    <comment ref="D81" authorId="0">
      <text>
        <r>
          <rPr>
            <sz val="9"/>
            <color indexed="81"/>
            <rFont val="Tahoma"/>
            <family val="2"/>
          </rPr>
          <t xml:space="preserve">
Fijo: 0,4
Variable: 0,6</t>
        </r>
      </text>
    </comment>
    <comment ref="E81" authorId="0">
      <text>
        <r>
          <rPr>
            <sz val="9"/>
            <color indexed="81"/>
            <rFont val="Tahoma"/>
            <family val="2"/>
          </rPr>
          <t xml:space="preserve">
Fijo: 0,4
Variable: 0,6</t>
        </r>
      </text>
    </comment>
    <comment ref="F81" authorId="0">
      <text>
        <r>
          <rPr>
            <sz val="9"/>
            <color indexed="81"/>
            <rFont val="Tahoma"/>
            <family val="2"/>
          </rPr>
          <t xml:space="preserve">
Fijo: 0,4
Variable: 0,6</t>
        </r>
      </text>
    </comment>
    <comment ref="B84" authorId="0">
      <text>
        <r>
          <rPr>
            <sz val="9"/>
            <color indexed="81"/>
            <rFont val="Tahoma"/>
            <family val="2"/>
          </rPr>
          <t xml:space="preserve">
50% Fijos
50% Variables</t>
        </r>
      </text>
    </comment>
    <comment ref="C84" authorId="0">
      <text>
        <r>
          <rPr>
            <sz val="9"/>
            <color indexed="81"/>
            <rFont val="Tahoma"/>
            <family val="2"/>
          </rPr>
          <t xml:space="preserve">
50% Fijos
50% Variables</t>
        </r>
      </text>
    </comment>
    <comment ref="D84" authorId="0">
      <text>
        <r>
          <rPr>
            <sz val="9"/>
            <color indexed="81"/>
            <rFont val="Tahoma"/>
            <family val="2"/>
          </rPr>
          <t xml:space="preserve">
50% Fijos
50% Variables</t>
        </r>
      </text>
    </comment>
    <comment ref="E84" authorId="0">
      <text>
        <r>
          <rPr>
            <sz val="9"/>
            <color indexed="81"/>
            <rFont val="Tahoma"/>
            <family val="2"/>
          </rPr>
          <t xml:space="preserve">
50% Fijos
50% Variables</t>
        </r>
      </text>
    </comment>
    <comment ref="F84" authorId="0">
      <text>
        <r>
          <rPr>
            <sz val="9"/>
            <color indexed="81"/>
            <rFont val="Tahoma"/>
            <family val="2"/>
          </rPr>
          <t xml:space="preserve">
50% Fijos
50% Variables</t>
        </r>
      </text>
    </comment>
  </commentList>
</comments>
</file>

<file path=xl/sharedStrings.xml><?xml version="1.0" encoding="utf-8"?>
<sst xmlns="http://schemas.openxmlformats.org/spreadsheetml/2006/main" count="996" uniqueCount="638">
  <si>
    <t>Inversión en Activo Fijo</t>
  </si>
  <si>
    <t>Bienes de Uso</t>
  </si>
  <si>
    <t>Terreno y sus mejoras:</t>
  </si>
  <si>
    <t>Edificio y obras complementarias:</t>
  </si>
  <si>
    <t>Instalaciones industriales:</t>
  </si>
  <si>
    <t>Máquinas operativas:</t>
  </si>
  <si>
    <t xml:space="preserve">    importadas, valor FOB, con repuestos:</t>
  </si>
  <si>
    <t xml:space="preserve">    nacionales, precio en fábrica del proveedor:</t>
  </si>
  <si>
    <t>Gastos conexos a la importación de maquinaria:</t>
  </si>
  <si>
    <t>Transporte y montaje de la maquinaria:</t>
  </si>
  <si>
    <t>Muebles y útiles:</t>
  </si>
  <si>
    <t>Infraestructura en predio propio:</t>
  </si>
  <si>
    <t xml:space="preserve">Imprevistos: </t>
  </si>
  <si>
    <t>Total Bienes de uso:</t>
  </si>
  <si>
    <t>b) Gastos asimilables o cargos diferidos:</t>
  </si>
  <si>
    <t>Investigaciones y estudios:</t>
  </si>
  <si>
    <t>Constitución y organización de la empresa:</t>
  </si>
  <si>
    <t>Gastos de Administración e Ingeniería</t>
  </si>
  <si>
    <t>Total gastos asimilables o cargos diferidos:</t>
  </si>
  <si>
    <t>c) Total Inversiones iniciales Activo Fijo, sin IVA</t>
  </si>
  <si>
    <t>e) TOTAL INVERSIONES INICIALES ACTIVO FIJO</t>
  </si>
  <si>
    <t>Rodados y equipos auxiliares:</t>
  </si>
  <si>
    <t>a) Bienes de Uso</t>
  </si>
  <si>
    <t>Año 0</t>
  </si>
  <si>
    <t>Año 1</t>
  </si>
  <si>
    <t>Año 2</t>
  </si>
  <si>
    <t>Año 3</t>
  </si>
  <si>
    <t>Año 4</t>
  </si>
  <si>
    <t>Año 5</t>
  </si>
  <si>
    <t>Inversión Inicial en Activo Fijo</t>
  </si>
  <si>
    <t>Gasto interno (en $)</t>
  </si>
  <si>
    <t>Gasto Externo (en U$S)</t>
  </si>
  <si>
    <t>Tasa de Cambio</t>
  </si>
  <si>
    <t>$ por cada</t>
  </si>
  <si>
    <t>U$S</t>
  </si>
  <si>
    <t>Tasa porcentual de IVA</t>
  </si>
  <si>
    <t>Tasa porcentual de Impuesto a las Ganancias</t>
  </si>
  <si>
    <t xml:space="preserve">    edificios y obras complementarias</t>
  </si>
  <si>
    <t>años</t>
  </si>
  <si>
    <t xml:space="preserve">    instalaciones industriales</t>
  </si>
  <si>
    <t xml:space="preserve">    máquinas, equipos y accesorios</t>
  </si>
  <si>
    <t xml:space="preserve">    rodados y equipos auxiliares</t>
  </si>
  <si>
    <t xml:space="preserve">    muebles y útiles</t>
  </si>
  <si>
    <t xml:space="preserve">    repuestos iniciales</t>
  </si>
  <si>
    <t>Se considera una depreciación lineal y un valor residual nulo</t>
  </si>
  <si>
    <t>Tiempo de Amortización Activos Fijos:</t>
  </si>
  <si>
    <t>Otros Activos y Cargos Diferidos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</si>
  <si>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</si>
  <si>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</si>
  <si>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</si>
  <si>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</si>
  <si>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</si>
  <si>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</si>
  <si>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</si>
  <si>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</si>
  <si>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Máquinas operativas: (*)</t>
  </si>
  <si>
    <t>Rodados y equipos auxiliares: (**)</t>
  </si>
  <si>
    <t>Muebles y útiles: (***)</t>
  </si>
  <si>
    <t>Imprevistos</t>
  </si>
  <si>
    <t>Repuestos (****)</t>
  </si>
  <si>
    <t>Subtotal</t>
  </si>
  <si>
    <t xml:space="preserve">Cargos Diferidos </t>
  </si>
  <si>
    <t>Totales, s/IVA</t>
  </si>
  <si>
    <t>Ventas Anuales Promedio</t>
  </si>
  <si>
    <t>Precio Promedio</t>
  </si>
  <si>
    <t>en Unidades</t>
  </si>
  <si>
    <t>en $</t>
  </si>
  <si>
    <t xml:space="preserve">Cantidad de personal total </t>
  </si>
  <si>
    <t>en Producción</t>
  </si>
  <si>
    <t>en Comercialización</t>
  </si>
  <si>
    <t>en Administración</t>
  </si>
  <si>
    <t>personas</t>
  </si>
  <si>
    <t>Nombre del Producto</t>
  </si>
  <si>
    <t>Tamaño de la planta en metros cuadrados</t>
  </si>
  <si>
    <t>m2</t>
  </si>
  <si>
    <t>Periodo de Instalación</t>
  </si>
  <si>
    <t>Período de Puesta en Marcha</t>
  </si>
  <si>
    <t>en meses</t>
  </si>
  <si>
    <t>Honorarios al Directorio</t>
  </si>
  <si>
    <t>Variable sobre Utilidad economica antes de HD e IG</t>
  </si>
  <si>
    <t>Rubros</t>
  </si>
  <si>
    <t>Gastos en el Area de Producción</t>
  </si>
  <si>
    <t>Gastos de fabricación:</t>
  </si>
  <si>
    <t>Gastos Total de Producción</t>
  </si>
  <si>
    <t>Gastos a activar</t>
  </si>
  <si>
    <t>Mercadería en Curso y Semielaborada</t>
  </si>
  <si>
    <t>Total gastos a activar</t>
  </si>
  <si>
    <t>Costo en el Area de Producción</t>
  </si>
  <si>
    <t>Menos:</t>
  </si>
  <si>
    <t>Costo de producción anual</t>
  </si>
  <si>
    <t>Materia prima</t>
  </si>
  <si>
    <t>Mano de obra directa</t>
  </si>
  <si>
    <t xml:space="preserve">  Amortizaciones</t>
  </si>
  <si>
    <t xml:space="preserve">  Personal indirecto</t>
  </si>
  <si>
    <t xml:space="preserve">  Materiales</t>
  </si>
  <si>
    <t xml:space="preserve">  Energía eléctrica</t>
  </si>
  <si>
    <t xml:space="preserve">  Combustibles</t>
  </si>
  <si>
    <t xml:space="preserve">  Tasas e impuestos</t>
  </si>
  <si>
    <t xml:space="preserve">  Seguros</t>
  </si>
  <si>
    <t xml:space="preserve">  Imprevistos</t>
  </si>
  <si>
    <t>COSTO TOTAL DE PRODUCCION</t>
  </si>
  <si>
    <t>Puesta en marcha</t>
  </si>
  <si>
    <t>Total acumulado:</t>
  </si>
  <si>
    <t>Personal</t>
  </si>
  <si>
    <t>Amortizaciones de A. Fijo</t>
  </si>
  <si>
    <t>Materiales</t>
  </si>
  <si>
    <t>Electricidad</t>
  </si>
  <si>
    <t>Combustible</t>
  </si>
  <si>
    <t>Varios</t>
  </si>
  <si>
    <t>Tasas e impuestos</t>
  </si>
  <si>
    <t>Seguros</t>
  </si>
  <si>
    <t>Costo total de Admistración</t>
  </si>
  <si>
    <t>Gastos en el Area de Administración</t>
  </si>
  <si>
    <t>Gastos en el Area de Comercialización</t>
  </si>
  <si>
    <t>Costo total de Comercialización</t>
  </si>
  <si>
    <t>Energía Eléctrica</t>
  </si>
  <si>
    <t>% Costo Variable</t>
  </si>
  <si>
    <t>% Costo Constante</t>
  </si>
  <si>
    <t>% Gasto Variable</t>
  </si>
  <si>
    <t>% Gasto Constante</t>
  </si>
  <si>
    <t>VENTAS ANUALES</t>
  </si>
  <si>
    <t>COSTO DE PRODUCCION DE LO VENDIDO</t>
  </si>
  <si>
    <t>UTILIDAD ECONOMICA (a/H. D. e Impuesto)</t>
  </si>
  <si>
    <t xml:space="preserve">Impuesto a la ganancia </t>
  </si>
  <si>
    <t>UTILIDAD ECONOMICA (d/H.D. e Impuesto)</t>
  </si>
  <si>
    <t>% sobre VENTAS</t>
  </si>
  <si>
    <t>Utilidad Económica (d/H.D. e Impuesto)</t>
  </si>
  <si>
    <t>Amortización anual</t>
  </si>
  <si>
    <t>Total</t>
  </si>
  <si>
    <t>COSTO TOTAL Y RESULTADO A NIVEL ECONOMICO</t>
  </si>
  <si>
    <t xml:space="preserve">Consumo de materia prima </t>
  </si>
  <si>
    <t>Gastos de fabricación</t>
  </si>
  <si>
    <t>Gastos de Producción</t>
  </si>
  <si>
    <t>Variación Mercadería en proceso</t>
  </si>
  <si>
    <t>GASTO DE ADMINISTRACION</t>
  </si>
  <si>
    <t xml:space="preserve">GASTO DE COMERCIALIZACION </t>
  </si>
  <si>
    <t>COSTO ANUAL DE LO VENDIDO</t>
  </si>
  <si>
    <t>FONDOS AUTOGENERADOS</t>
  </si>
  <si>
    <t>COSTO DE PRODUCCION ANUAL</t>
  </si>
  <si>
    <t>Producción anual en Unidades</t>
  </si>
  <si>
    <t>Costo de producción unitario Promedio</t>
  </si>
  <si>
    <t>Costo de prod. Unitario Promedio</t>
  </si>
  <si>
    <t>Costo total unitario promedio</t>
  </si>
  <si>
    <t>Costo Variable Sector de Producción</t>
  </si>
  <si>
    <t>Costo Constante Sector de Producción</t>
  </si>
  <si>
    <t>PUNTO DE EQUILIBRIO</t>
  </si>
  <si>
    <t>HACER DIAGRAMA DE PUNTO DE EQUILIBRIO PARA EL AÑO 1 Y PARA EL AÑO 10</t>
  </si>
  <si>
    <t>Costo Variable Sector de Administración</t>
  </si>
  <si>
    <t>Costo Constante Sector de Administración</t>
  </si>
  <si>
    <t>Costo Variable Sector de Comercialización</t>
  </si>
  <si>
    <t>Costo Constante Sector de Comercialización</t>
  </si>
  <si>
    <t>UTILIDAD MARGINAL</t>
  </si>
  <si>
    <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</si>
  <si>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</si>
  <si>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c) Bienes de cambio:</t>
  </si>
  <si>
    <t xml:space="preserve">    Stock de materias prima:</t>
  </si>
  <si>
    <t xml:space="preserve">   Stock de materiales:</t>
  </si>
  <si>
    <t xml:space="preserve">   d) Total Activo de Trabajo, sin IVA:</t>
  </si>
  <si>
    <t>2. Menos:</t>
  </si>
  <si>
    <t xml:space="preserve">    Bienes de cambio:</t>
  </si>
  <si>
    <t xml:space="preserve">   Mercadería en curso y semielaborada</t>
  </si>
  <si>
    <t xml:space="preserve">   Stock de elaborados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</si>
  <si>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</si>
  <si>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</si>
  <si>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</si>
  <si>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</si>
  <si>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</si>
  <si>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</si>
  <si>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</si>
  <si>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</si>
  <si>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</si>
  <si>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</si>
  <si>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</si>
  <si>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</si>
  <si>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</si>
  <si>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</si>
  <si>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</si>
  <si>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INVERSIONES EN ACTIVO DE TRABAJO</t>
  </si>
  <si>
    <t xml:space="preserve">   b) Crédito por Ventas</t>
  </si>
  <si>
    <t xml:space="preserve">    Bienes de uso</t>
  </si>
  <si>
    <t xml:space="preserve">    Asimilables</t>
  </si>
  <si>
    <t xml:space="preserve">    Subtotal Activo Fijo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</si>
  <si>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</si>
  <si>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</si>
  <si>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</si>
  <si>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</si>
  <si>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</si>
  <si>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</si>
  <si>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</si>
  <si>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>IVA:</t>
  </si>
  <si>
    <t xml:space="preserve">   Subtotal IVA Inversión</t>
  </si>
  <si>
    <t>Año 0: Preinversion</t>
  </si>
  <si>
    <t>Año 0: Instalación</t>
  </si>
  <si>
    <t>Totales</t>
  </si>
  <si>
    <t>Inversiones en Activo Fijo</t>
  </si>
  <si>
    <t>Inversiones en A. de Trabajo</t>
  </si>
  <si>
    <t xml:space="preserve">    Subtotal Activo Trabajo</t>
  </si>
  <si>
    <t xml:space="preserve">    por inversión A. Fijo</t>
  </si>
  <si>
    <t xml:space="preserve">    por inversión A. T.</t>
  </si>
  <si>
    <t>Inversiones Totales</t>
  </si>
  <si>
    <t>Calendario de Inversiones</t>
  </si>
  <si>
    <t>IVA plan de Explotación, Cancelación del Credito Fiscal y pago al Fisco por IVA</t>
  </si>
  <si>
    <t>Rubros que abonan IVA</t>
  </si>
  <si>
    <t>Materia Prima</t>
  </si>
  <si>
    <t>Energía eléctrica</t>
  </si>
  <si>
    <t>Combustibles</t>
  </si>
  <si>
    <t xml:space="preserve">   (s/mano de obra directa)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</si>
  <si>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</si>
  <si>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</si>
  <si>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</si>
  <si>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</si>
  <si>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</si>
  <si>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</si>
  <si>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d) Crédito Fiscal Final Año</t>
  </si>
  <si>
    <t xml:space="preserve">    Pago al Fisco por IVA</t>
  </si>
  <si>
    <t>TOTALES PARA LAS TRES AREAS</t>
  </si>
  <si>
    <t>Menos: Puesta en marcha</t>
  </si>
  <si>
    <t>Merc. en proceso</t>
  </si>
  <si>
    <t>Stock elaborados</t>
  </si>
  <si>
    <t>c) Crédito Fiscal del Año</t>
  </si>
  <si>
    <t>Año</t>
  </si>
  <si>
    <t>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</si>
  <si>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</si>
  <si>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</si>
  <si>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</si>
  <si>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</si>
  <si>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</si>
  <si>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Amortizaciones</t>
  </si>
  <si>
    <t>Cobro Credito Fiscal</t>
  </si>
  <si>
    <t>Total Ingresos</t>
  </si>
  <si>
    <t>Formulación del Proyecto a Nivel Económico</t>
  </si>
  <si>
    <t>Suma.</t>
  </si>
  <si>
    <t>Saldo Anual</t>
  </si>
  <si>
    <t>Saldo Acumulado</t>
  </si>
  <si>
    <t>Beneficio Neto</t>
  </si>
  <si>
    <t>Periodo de Recupero de la Inversión</t>
  </si>
  <si>
    <t>TIR</t>
  </si>
  <si>
    <t>en años</t>
  </si>
  <si>
    <t>Tasa de Credito Bancario</t>
  </si>
  <si>
    <t>% sobre el total del Rubro</t>
  </si>
  <si>
    <t>Dias de Financiación de Proveedores</t>
  </si>
  <si>
    <t>% sobre Compras</t>
  </si>
  <si>
    <t>Rubro a financiar</t>
  </si>
  <si>
    <t>Tasa de financiación</t>
  </si>
  <si>
    <t>anual</t>
  </si>
  <si>
    <t>PRIMERA ESTRUCTURA FINANCIERA</t>
  </si>
  <si>
    <t>Capital Propio</t>
  </si>
  <si>
    <t>monto</t>
  </si>
  <si>
    <t>%</t>
  </si>
  <si>
    <t xml:space="preserve">Activo Fijo </t>
  </si>
  <si>
    <t xml:space="preserve">Activo de Trabajo </t>
  </si>
  <si>
    <t xml:space="preserve">IVA </t>
  </si>
  <si>
    <t>Total Inversión</t>
  </si>
  <si>
    <t>CréditoS</t>
  </si>
  <si>
    <t>día/mes/año</t>
  </si>
  <si>
    <t>deuda</t>
  </si>
  <si>
    <t>amortización</t>
  </si>
  <si>
    <t>interés</t>
  </si>
  <si>
    <t>kd</t>
  </si>
  <si>
    <t>gasto</t>
  </si>
  <si>
    <t>semestral</t>
  </si>
  <si>
    <t>prom. anual</t>
  </si>
  <si>
    <t>bancario</t>
  </si>
  <si>
    <t>gastos preoperativos:</t>
  </si>
  <si>
    <t>Totales:</t>
  </si>
  <si>
    <t xml:space="preserve">deuda </t>
  </si>
  <si>
    <t>CUADRO RESUMEN DE CREDITOS</t>
  </si>
  <si>
    <t>Ventas netas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</si>
  <si>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</si>
  <si>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</si>
  <si>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</si>
  <si>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</si>
  <si>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</si>
  <si>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</si>
  <si>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RESULTADO (d/Hon. e Imp.)</t>
  </si>
  <si>
    <t>CUADRO DE RESULTADOS PROFORMA</t>
  </si>
  <si>
    <t>(-) Costo de producción de lo Vendido</t>
  </si>
  <si>
    <t>Menos: Impuesto a la Ganancia</t>
  </si>
  <si>
    <t>a) Inversión y calendario de activo fijo: incrementos</t>
  </si>
  <si>
    <t>Cargos diferidos:</t>
  </si>
  <si>
    <t>Totales de activo fijo, sin IVA</t>
  </si>
  <si>
    <t>Totales de activo fijo, con IVA</t>
  </si>
  <si>
    <t>b) Inversión y calendario de activo de trabajo: incrementos</t>
  </si>
  <si>
    <t>Totales activo de trabajo, sin IVA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</si>
  <si>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</si>
  <si>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</si>
  <si>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</si>
  <si>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</si>
  <si>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</si>
  <si>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</si>
  <si>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</si>
  <si>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</si>
  <si>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Porcentaje</t>
  </si>
  <si>
    <t>Capital propio</t>
  </si>
  <si>
    <t>SEGUNDA ESTRUCTURA FINANCIERA</t>
  </si>
  <si>
    <t>Bienes de uso</t>
  </si>
  <si>
    <t xml:space="preserve">IVA   </t>
  </si>
  <si>
    <t>Disponibilidad mínima</t>
  </si>
  <si>
    <t>Crédito por ventas (valor contable)</t>
  </si>
  <si>
    <t>Bienes de cambio (valor contable)</t>
  </si>
  <si>
    <t>Amortizaciones en inventarios</t>
  </si>
  <si>
    <t>Amortizaciones en crédito</t>
  </si>
  <si>
    <t>Utilidades en crédito</t>
  </si>
  <si>
    <t>IVA</t>
  </si>
  <si>
    <t>Crédito renovable</t>
  </si>
  <si>
    <t>Crédito no renovable</t>
  </si>
  <si>
    <t>PUNTO DE EQUILIBRIO ECONOMICO FINANCIERO</t>
  </si>
  <si>
    <t>Gasto Financiero</t>
  </si>
  <si>
    <t>a) IVA pagado en el Costo Total de lo Vendido:</t>
  </si>
  <si>
    <t xml:space="preserve">  IVA abonado en Costo Total de lo Vendido:</t>
  </si>
  <si>
    <t>e) Recuepro de Credito Fiscal</t>
  </si>
  <si>
    <t xml:space="preserve">  Total pagado en el Area Administrativa</t>
  </si>
  <si>
    <t xml:space="preserve">  Total pagado en el Area Comercial </t>
  </si>
  <si>
    <t xml:space="preserve">  Total pagado por Financiación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</si>
  <si>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</si>
  <si>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</si>
  <si>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</si>
  <si>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</si>
  <si>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</si>
  <si>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FUENTES: Totales</t>
  </si>
  <si>
    <t>Saldo ejercicio anterior</t>
  </si>
  <si>
    <t>Otros ingresos</t>
  </si>
  <si>
    <t>USOS: Totales</t>
  </si>
  <si>
    <t>Dividendos en efectivo</t>
  </si>
  <si>
    <t>Otros egresos</t>
  </si>
  <si>
    <t>FUENTES - USOS</t>
  </si>
  <si>
    <t>Saldo al ejercicio siguiente (acumulado)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</si>
  <si>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</si>
  <si>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</si>
  <si>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</si>
  <si>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</si>
  <si>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</si>
  <si>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Costo de lo Vendido</t>
  </si>
  <si>
    <t>Impuesto a la Ganancia</t>
  </si>
  <si>
    <t>Cancelación de deudas</t>
  </si>
  <si>
    <t xml:space="preserve">Honorarios del Directorio </t>
  </si>
  <si>
    <t xml:space="preserve">IVA inversión </t>
  </si>
  <si>
    <t xml:space="preserve">Más: Amortizaciones del ejercicio </t>
  </si>
  <si>
    <t>CUADRO DE FUENTES Y USOS</t>
  </si>
  <si>
    <t>Saldo Propio del Ejercicio</t>
  </si>
  <si>
    <t>ACTIVO CORRIENTE: Total</t>
  </si>
  <si>
    <t xml:space="preserve">Caja y Bancos: </t>
  </si>
  <si>
    <t>ACTIVO NO CORRIENTE: Total</t>
  </si>
  <si>
    <t>Cargos Diferidos:</t>
  </si>
  <si>
    <t xml:space="preserve">   - valor final del ejercicio</t>
  </si>
  <si>
    <t>ACTIVO TOTAL:</t>
  </si>
  <si>
    <t>PASIVO CORRIENTE: Total</t>
  </si>
  <si>
    <t>PASIVO NO CORRIENTE: Total</t>
  </si>
  <si>
    <t>PASIVO TOTAL:</t>
  </si>
  <si>
    <t>PATRIMONIO NETO:</t>
  </si>
  <si>
    <t>Utilidad acumulada</t>
  </si>
  <si>
    <t>PASIVO + PATRIMONIO NETO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</si>
  <si>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</si>
  <si>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</si>
  <si>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</si>
  <si>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</si>
  <si>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</si>
  <si>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 xml:space="preserve">   - valor inicial </t>
  </si>
  <si>
    <t>Utilidad del ejercicio</t>
  </si>
  <si>
    <t xml:space="preserve">     más inversiones del ejercicio </t>
  </si>
  <si>
    <r>
      <t xml:space="preserve">     menos amortizaciones del ejerc.</t>
    </r>
    <r>
      <rPr>
        <b/>
        <sz val="10"/>
        <rFont val="Arial"/>
        <family val="2"/>
      </rPr>
      <t/>
    </r>
  </si>
  <si>
    <t xml:space="preserve">     más inversiones del ejercicio</t>
  </si>
  <si>
    <t xml:space="preserve">     menos amortizaciones del ejerc</t>
  </si>
  <si>
    <t xml:space="preserve">Crédito Fiscal </t>
  </si>
  <si>
    <t>Deudas comerciales</t>
  </si>
  <si>
    <t>Deudas bancarias</t>
  </si>
  <si>
    <t>Capital societario</t>
  </si>
  <si>
    <t>BALANCES PROFORMAS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</si>
  <si>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</si>
  <si>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</si>
  <si>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</si>
  <si>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</si>
  <si>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</si>
  <si>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</si>
  <si>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</si>
  <si>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</si>
  <si>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TOR</t>
  </si>
  <si>
    <t>en años para el inversor</t>
  </si>
  <si>
    <t>para el inversor</t>
  </si>
  <si>
    <t>d) IVA: 21 %</t>
  </si>
  <si>
    <t xml:space="preserve">  Alquiler</t>
  </si>
  <si>
    <t>Alquiler</t>
  </si>
  <si>
    <t xml:space="preserve">   (-) Gasto de puesta en marcha</t>
  </si>
  <si>
    <t xml:space="preserve">   (-) Mercaderia en Proceso Final</t>
  </si>
  <si>
    <t xml:space="preserve">   (+) Mercaderia en Proceso Inicial</t>
  </si>
  <si>
    <t xml:space="preserve">   (-) 'Puesta en marcha</t>
  </si>
  <si>
    <t xml:space="preserve">   (+) Stock de elaborados Inicial</t>
  </si>
  <si>
    <t xml:space="preserve">   (-)  Stock de elaborados Final</t>
  </si>
  <si>
    <t>CVT</t>
  </si>
  <si>
    <t>CFT</t>
  </si>
  <si>
    <t>VENTAS</t>
  </si>
  <si>
    <t>CT</t>
  </si>
  <si>
    <t>m</t>
  </si>
  <si>
    <t>b</t>
  </si>
  <si>
    <t>Ecuacion de Recta:</t>
  </si>
  <si>
    <t>Ventas = mX+b</t>
  </si>
  <si>
    <t>CT = mX+b</t>
  </si>
  <si>
    <t>Interseccion</t>
  </si>
  <si>
    <t>Ventas = CT</t>
  </si>
  <si>
    <t>X</t>
  </si>
  <si>
    <t>Y</t>
  </si>
  <si>
    <t>AÑO 1</t>
  </si>
  <si>
    <t>AÑO 10</t>
  </si>
  <si>
    <t>Variación de Stock de Elaborado</t>
  </si>
  <si>
    <t>TOTAL PARA LAS 3 AREAS</t>
  </si>
  <si>
    <r>
      <t>VAN</t>
    </r>
    <r>
      <rPr>
        <b/>
        <vertAlign val="subscript"/>
        <sz val="10"/>
        <rFont val="Arial"/>
        <family val="2"/>
      </rPr>
      <t xml:space="preserve"> 0,18%</t>
    </r>
  </si>
  <si>
    <t>MOD</t>
  </si>
  <si>
    <t>MOI</t>
  </si>
  <si>
    <t>Año 1 bis</t>
  </si>
  <si>
    <t>TARIFA NETA OPERARIO CALIFICADO</t>
  </si>
  <si>
    <t>Cargo</t>
  </si>
  <si>
    <t>Logisticos (2)</t>
  </si>
  <si>
    <t>Analistas (4)</t>
  </si>
  <si>
    <t>Supersvisores (1)</t>
  </si>
  <si>
    <t>Gerentes (5)</t>
  </si>
  <si>
    <t>Gerente General (1)</t>
  </si>
  <si>
    <t>TN Producidas</t>
  </si>
  <si>
    <t>TARIFA BRUTA OPERARIO CALIFICADO</t>
  </si>
  <si>
    <t>SUELDO MENSUAL</t>
  </si>
  <si>
    <t>TN no recuperables</t>
  </si>
  <si>
    <t>CARGAS:</t>
  </si>
  <si>
    <t>SUELDO ANUAL NETO</t>
  </si>
  <si>
    <t>TN recuperables</t>
  </si>
  <si>
    <t>SUELDO ANUAL BRUTO</t>
  </si>
  <si>
    <t>Total MP</t>
  </si>
  <si>
    <t>SUELDO ANUAL BRUTO POR SECTOR</t>
  </si>
  <si>
    <t xml:space="preserve"> Determinación del Stock promedio de Materia prima y el programa de compras</t>
  </si>
  <si>
    <t>CALCULADO POR OPERARIO</t>
  </si>
  <si>
    <t>TARIFA POR HORA POR SECTOR</t>
  </si>
  <si>
    <t>Cantidad de Botellas</t>
  </si>
  <si>
    <t>TN de MP p/ Botella</t>
  </si>
  <si>
    <t>CALCULADO POR CARGO</t>
  </si>
  <si>
    <t>Precio MP $ / TN</t>
  </si>
  <si>
    <t>Total MP $</t>
  </si>
  <si>
    <t>x tonelada</t>
  </si>
  <si>
    <t>Total Botella c/ Tapa</t>
  </si>
  <si>
    <t>x Botella c/ Tapa</t>
  </si>
  <si>
    <t>B)</t>
  </si>
  <si>
    <t>REFRIGERIO (0,5 horas por dia trabajado)</t>
  </si>
  <si>
    <t>Total MP Año</t>
  </si>
  <si>
    <t>C)</t>
  </si>
  <si>
    <t>FERIADOS NACIONALES PAGOS</t>
  </si>
  <si>
    <t>D)</t>
  </si>
  <si>
    <t>FERIADO PAGO, DIA DEL GREMIO</t>
  </si>
  <si>
    <t>Total MOD Año (12)</t>
  </si>
  <si>
    <t>E)</t>
  </si>
  <si>
    <t>VACACIONES</t>
  </si>
  <si>
    <t>F)</t>
  </si>
  <si>
    <t>ENFERMEDAD</t>
  </si>
  <si>
    <t>Supervisor (1)</t>
  </si>
  <si>
    <t>G)</t>
  </si>
  <si>
    <t>ACCIDENTES </t>
  </si>
  <si>
    <t>H)</t>
  </si>
  <si>
    <t>AGUINALDO</t>
  </si>
  <si>
    <t>Total MOI proceso Año (3)</t>
  </si>
  <si>
    <t>I) TOTAL DE CARGAS</t>
  </si>
  <si>
    <t xml:space="preserve">  Combustibles (GAS)</t>
  </si>
  <si>
    <t>APORTES:</t>
  </si>
  <si>
    <t>J)</t>
  </si>
  <si>
    <t>Asig. Fam. (Contr. Patron. Regim. Asig. Famil.)</t>
  </si>
  <si>
    <t>K)</t>
  </si>
  <si>
    <t>OBRA SOCIAL + ANSSAL</t>
  </si>
  <si>
    <t>Total Indirectos (10)</t>
  </si>
  <si>
    <t>L)</t>
  </si>
  <si>
    <t>FONDO NACIONAL DE EMPLEO</t>
  </si>
  <si>
    <t>M)</t>
  </si>
  <si>
    <t>SIJP (Regimen Nac. Jubil. Y Pens.)</t>
  </si>
  <si>
    <t>N)</t>
  </si>
  <si>
    <t>INSSJP Instit. Nac. Servic. Soc. Jubil. y Pension.</t>
  </si>
  <si>
    <t>O)</t>
  </si>
  <si>
    <t>TOTAL DE APORTES</t>
  </si>
  <si>
    <t>TOTAL SUELDO NETO MOD</t>
  </si>
  <si>
    <t>TOTAL SUELDO NETO MOI</t>
  </si>
  <si>
    <t>OTROS GASTOS (12%)</t>
  </si>
  <si>
    <t>TOTAL MOD ANUAL</t>
  </si>
  <si>
    <t>TOTAL INDIRECTOS ANUAL</t>
  </si>
  <si>
    <t>Año 2-10</t>
  </si>
  <si>
    <t>Cons especifico</t>
  </si>
  <si>
    <t>( $/kg )</t>
  </si>
  <si>
    <t>Gasto Anual</t>
  </si>
  <si>
    <t>( $/año )</t>
  </si>
  <si>
    <t>Gasto Especif</t>
  </si>
  <si>
    <t>Cons. Total MP</t>
  </si>
  <si>
    <t>( Kg )</t>
  </si>
  <si>
    <t>Cons. MP x PT</t>
  </si>
  <si>
    <t>Cons. MP en Merc en curso</t>
  </si>
  <si>
    <t>Exceso Cons. MP Pta en marcha</t>
  </si>
  <si>
    <t>Costo MP  en Merc en Curso y SE</t>
  </si>
  <si>
    <t>Costo exceso MP Pta en marcha</t>
  </si>
  <si>
    <t>Gasto Anual MOD</t>
  </si>
  <si>
    <t>Hs trab/año x Op</t>
  </si>
  <si>
    <t>Tarifa Bruta Operario</t>
  </si>
  <si>
    <t>Tarifa Bruta Op Especializado</t>
  </si>
  <si>
    <t>Cargas Sociales</t>
  </si>
  <si>
    <t>Adicionales (Asist. Perf, Antigüedad, etc)</t>
  </si>
  <si>
    <t>Jornales</t>
  </si>
  <si>
    <t>( $/hr )</t>
  </si>
  <si>
    <t>Gasto Especifico</t>
  </si>
  <si>
    <t>Integracion del grupo de trabajo</t>
  </si>
  <si>
    <t>Gasto PT</t>
  </si>
  <si>
    <t>Gasto Merc en curso y SE</t>
  </si>
  <si>
    <t>Exceso Gasto MOD Pta en Marcha</t>
  </si>
  <si>
    <t>Alicuota Anual</t>
  </si>
  <si>
    <t>Imputacion Especif</t>
  </si>
  <si>
    <t>Año 4-5</t>
  </si>
  <si>
    <t>Año 1-3</t>
  </si>
  <si>
    <t>Alicuota Rtos Imp</t>
  </si>
  <si>
    <t>Total Alicuota Anual</t>
  </si>
  <si>
    <t>Imp Especif (Año 2-3)</t>
  </si>
  <si>
    <t>Imp Especif (Año 1)</t>
  </si>
  <si>
    <t>Amort Imputada en la Merc en Curso y SE</t>
  </si>
  <si>
    <t>Año 2-3</t>
  </si>
  <si>
    <t>Personal Indirecto</t>
  </si>
  <si>
    <t>Sueldo Mensual</t>
  </si>
  <si>
    <t>C. Soc y Adicionales</t>
  </si>
  <si>
    <t>Cant x Turno</t>
  </si>
  <si>
    <t>Mantenimiento</t>
  </si>
  <si>
    <t>Gasto Merc en Proc</t>
  </si>
  <si>
    <t>Gasto Merc en proceso</t>
  </si>
  <si>
    <t>Repuestos</t>
  </si>
  <si>
    <t>Produccion</t>
  </si>
  <si>
    <t>Gastos</t>
  </si>
  <si>
    <t>Gasto Importacion</t>
  </si>
  <si>
    <t>Incr Anual prom Gto Mant (10%)</t>
  </si>
  <si>
    <t>Gasto Total Materiales por Mant. Y Rtos</t>
  </si>
  <si>
    <t>Gasto en Merc en Curso y SE</t>
  </si>
  <si>
    <t>Gasto en Merc en curso y SE</t>
  </si>
  <si>
    <t>Exceso Gto Materiales en la Pta en Marcha</t>
  </si>
  <si>
    <t>Caracteristicas del Credito para la compra de maquinaria y equipos</t>
  </si>
  <si>
    <r>
      <rPr>
        <b/>
        <sz val="10"/>
        <rFont val="Arial"/>
        <family val="2"/>
      </rPr>
      <t>Destino:</t>
    </r>
    <r>
      <rPr>
        <sz val="10"/>
        <rFont val="Arial"/>
        <family val="2"/>
      </rPr>
      <t xml:space="preserve"> Financiar hasta el</t>
    </r>
  </si>
  <si>
    <t>Importe de la Inversion:</t>
  </si>
  <si>
    <t>Monto del Credito:</t>
  </si>
  <si>
    <r>
      <rPr>
        <b/>
        <sz val="10"/>
        <rFont val="Arial"/>
        <family val="2"/>
      </rPr>
      <t>Intereses:</t>
    </r>
    <r>
      <rPr>
        <sz val="10"/>
        <rFont val="Arial"/>
        <family val="2"/>
      </rPr>
      <t xml:space="preserve"> Sobre los saldos deudores se aplicara una tasa del</t>
    </r>
  </si>
  <si>
    <t>semestral y se pagaran los intereses por semestre vencido (sistema aleman)</t>
  </si>
  <si>
    <r>
      <rPr>
        <b/>
        <sz val="10"/>
        <rFont val="Arial"/>
        <family val="2"/>
      </rPr>
      <t>Garantia:</t>
    </r>
    <r>
      <rPr>
        <sz val="10"/>
        <rFont val="Arial"/>
        <family val="2"/>
      </rPr>
      <t xml:space="preserve"> Se construira garantia prendaria en primer grado sobre la maquinaria a adquirir hasta un valor total igual al</t>
    </r>
  </si>
  <si>
    <t>del credito</t>
  </si>
  <si>
    <r>
      <rPr>
        <b/>
        <sz val="10"/>
        <rFont val="Arial"/>
        <family val="2"/>
      </rPr>
      <t>Comisiones y gastos bancarios:</t>
    </r>
    <r>
      <rPr>
        <sz val="10"/>
        <rFont val="Arial"/>
        <family val="2"/>
      </rPr>
      <t xml:space="preserve"> Seran el</t>
    </r>
  </si>
  <si>
    <t>del credito para este destino</t>
  </si>
  <si>
    <t>cuota</t>
  </si>
  <si>
    <t>maquinaria y equipos</t>
  </si>
  <si>
    <t>Caracteristicas del Credito para la compra de activo de trabajo</t>
  </si>
  <si>
    <t xml:space="preserve">Tasa anual de pago semestral vencido: </t>
  </si>
  <si>
    <t>Terreno</t>
  </si>
  <si>
    <t xml:space="preserve"> </t>
  </si>
  <si>
    <t xml:space="preserve"> financiero</t>
  </si>
  <si>
    <t xml:space="preserve">  Total pagado en el Area de Producción</t>
  </si>
  <si>
    <t>Efecto Palanca</t>
  </si>
  <si>
    <t>Ac ult año CR proforma</t>
  </si>
  <si>
    <t>Saldo anual f - int pagados (form financiero)</t>
  </si>
  <si>
    <t>Util ej + acum balance ult año</t>
  </si>
  <si>
    <t>Ut. - HD - IIGG (form financiero)</t>
  </si>
  <si>
    <t>BN = Saldo Acumulado (CFyU) + Vr AF + AT - Creditos renovables - Aporte de Capital.</t>
  </si>
  <si>
    <t>Verificacion:</t>
  </si>
  <si>
    <t>i</t>
  </si>
  <si>
    <t>VAN</t>
  </si>
  <si>
    <r>
      <t>E</t>
    </r>
    <r>
      <rPr>
        <b/>
        <vertAlign val="subscript"/>
        <sz val="10"/>
        <rFont val="Arial"/>
        <family val="2"/>
      </rPr>
      <t>0</t>
    </r>
  </si>
  <si>
    <r>
      <t>VAN + E</t>
    </r>
    <r>
      <rPr>
        <b/>
        <vertAlign val="subscript"/>
        <sz val="10"/>
        <rFont val="Arial"/>
        <family val="2"/>
      </rPr>
      <t>0</t>
    </r>
  </si>
  <si>
    <t>itot</t>
  </si>
  <si>
    <r>
      <rPr>
        <b/>
        <sz val="10"/>
        <rFont val="Arial"/>
        <family val="2"/>
      </rPr>
      <t xml:space="preserve">Institucion otorgante: </t>
    </r>
    <r>
      <rPr>
        <sz val="10"/>
        <rFont val="Arial"/>
        <family val="2"/>
      </rPr>
      <t>Banco Credicop</t>
    </r>
  </si>
  <si>
    <t>BN</t>
  </si>
  <si>
    <t>Amor/AF</t>
  </si>
  <si>
    <t>Ko</t>
  </si>
  <si>
    <t>ESTA PLANILLA PUEDE SER UTILIZADA SOLAMENTE PARA EL TRABAJO PRACTICO:</t>
  </si>
  <si>
    <t>Buje de suspensión IVECO Daily</t>
  </si>
  <si>
    <t>ESTA PLANILLA PUEDE SER UTILIZADA SOLAMENTE PARA EL TRABAJO PRACTICO</t>
  </si>
  <si>
    <t>HACER DIAGRAMA DE PUNTO DE EQUILIBRIO PARA EL AÑO 1 Y PARA EL AÑO 5</t>
  </si>
  <si>
    <t>Venta anual, en Unidades Buje Iveco Daily</t>
  </si>
  <si>
    <t>Precio de venta Buje Iveco Daily</t>
  </si>
  <si>
    <t>AÑO 5</t>
  </si>
  <si>
    <t>Gasto Anual MP y SE</t>
  </si>
  <si>
    <t>Costo caucho</t>
  </si>
  <si>
    <t>Costo caño galv.</t>
  </si>
  <si>
    <t>Costo buje SAV</t>
  </si>
  <si>
    <t>( $/u )</t>
  </si>
  <si>
    <t>Año 2-5</t>
  </si>
  <si>
    <t>Caucho</t>
  </si>
  <si>
    <t>Buje SAV</t>
  </si>
  <si>
    <t>Caño galv.</t>
  </si>
  <si>
    <t>(kg/año)</t>
  </si>
  <si>
    <t>(u/año)</t>
  </si>
  <si>
    <t>Cons Real MP (ej 1)</t>
  </si>
  <si>
    <t>Cons Programado MP (ej 1)</t>
  </si>
  <si>
    <t>( Kg ) - ej 9</t>
  </si>
  <si>
    <t>( Kg ) - ej 6</t>
  </si>
  <si>
    <t>Operarios en planta</t>
  </si>
  <si>
    <t>Op. Esp. en planta</t>
  </si>
  <si>
    <t>Datos adicionales</t>
  </si>
  <si>
    <t>Maquinas</t>
  </si>
  <si>
    <t>$ Ars</t>
  </si>
  <si>
    <t>Muebles y utiles</t>
  </si>
  <si>
    <t>Alquileres</t>
  </si>
  <si>
    <t>Torno de 700MM</t>
  </si>
  <si>
    <t>Sillas</t>
  </si>
  <si>
    <t>Galpon/Edificio</t>
  </si>
  <si>
    <t>Vulcanizadora</t>
  </si>
  <si>
    <t>Escritorios</t>
  </si>
  <si>
    <t>Sierra</t>
  </si>
  <si>
    <t>Computadoras</t>
  </si>
  <si>
    <t>Compresor</t>
  </si>
  <si>
    <t>Termotanque</t>
  </si>
  <si>
    <t>Matriz</t>
  </si>
  <si>
    <t>Heladera</t>
  </si>
  <si>
    <t>Aire acond.</t>
  </si>
  <si>
    <t xml:space="preserve">   Durante el período de instalación:</t>
  </si>
  <si>
    <t xml:space="preserve">   Gastos de puesta en marcha (al año 1):</t>
  </si>
  <si>
    <t xml:space="preserve">   Patentes y Licencias:</t>
  </si>
  <si>
    <t xml:space="preserve">   Infraestructura en predio ajeno:</t>
  </si>
  <si>
    <t xml:space="preserve">   Imprevistos:</t>
  </si>
  <si>
    <t>Mantenimiento, se contrata en forma particular</t>
  </si>
  <si>
    <t>Logistica/deposito</t>
  </si>
  <si>
    <t>Jefe Produccion/calidad</t>
  </si>
  <si>
    <t>Gerente General</t>
  </si>
  <si>
    <t>Jefe ADM/Comercial</t>
  </si>
  <si>
    <t>Imprevistos aprox. 4,5%:</t>
  </si>
  <si>
    <t>ADM</t>
  </si>
  <si>
    <t>monto mensual</t>
  </si>
  <si>
    <t>Op Especializado ( 1 )</t>
  </si>
  <si>
    <t>Operario ( 3 ):</t>
  </si>
  <si>
    <t>b) Saldo Crédito Fiscal Anterior</t>
  </si>
  <si>
    <t>Infraestructura en predio propio</t>
  </si>
  <si>
    <t>Kc</t>
  </si>
  <si>
    <t>Anual Prestamos PYME Banco Credicoop</t>
  </si>
  <si>
    <t>del valor de la adquisicion de maquinaria para la fabricacion de bujes</t>
  </si>
  <si>
    <r>
      <rPr>
        <b/>
        <sz val="10"/>
        <rFont val="Arial"/>
        <family val="2"/>
      </rPr>
      <t xml:space="preserve">Amortizacion: </t>
    </r>
    <r>
      <rPr>
        <sz val="10"/>
        <rFont val="Arial"/>
        <family val="2"/>
      </rPr>
      <t>8 cuotas semestrales iguales y consecutivas a pagar a partir del año 1 de proyecto.</t>
    </r>
  </si>
  <si>
    <t>01/01 año -1</t>
  </si>
  <si>
    <t>30/06 año -1</t>
  </si>
  <si>
    <t>31/12 año -1</t>
  </si>
  <si>
    <t>01/01 año 01</t>
  </si>
  <si>
    <t>30/06 año 01</t>
  </si>
  <si>
    <t>31/12 año 01</t>
  </si>
  <si>
    <t>31/12 año 02</t>
  </si>
  <si>
    <t>30/06 año 02</t>
  </si>
  <si>
    <t>30/06 año 03</t>
  </si>
  <si>
    <t>31/12 año 03</t>
  </si>
  <si>
    <t>30/06 año 04</t>
  </si>
  <si>
    <t>31/12 año 04</t>
  </si>
  <si>
    <t>30/06 año 05</t>
  </si>
  <si>
    <t>31/12 año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</si>
</sst>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7" formatCode="&quot;$&quot;\ #,##0.00;&quot;$&quot;\ \-#,##0.00"/>
    <numFmt numFmtId="8" formatCode="&quot;$&quot;\ #,##0.00;[Red]&quot;$&quot;\ \-#,##0.00"/>
    <numFmt numFmtId="44" formatCode="_ &quot;$&quot;\ * #,##0.00_ ;_ &quot;$&quot;\ * \-#,##0.00_ ;_ &quot;$&quot;\ * &quot;-&quot;??_ ;_ @_ 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0.000"/>
    <numFmt numFmtId="168" formatCode="_(\U&quot;$&quot;* #,##0.00_);_(\U&quot;$&quot;* \(#,##0.00\);_(\U&quot;$&quot;* &quot;-&quot;??_);_(@_)"/>
    <numFmt numFmtId="169" formatCode="&quot;$&quot;\ #,##0.00"/>
    <numFmt numFmtId="170" formatCode="_(&quot;$&quot;* #,##0_);_(&quot;$&quot;* \(#,##0\);_(&quot;$&quot;* &quot;-&quot;??_);_(@_)"/>
    <numFmt numFmtId="171" formatCode="_ [$USD]\ * #,##0.00_ ;_ [$USD]\ * \-#,##0.00_ ;_ [$USD]\ * &quot;-&quot;??_ ;_ @_ "/>
    <numFmt numFmtId="172" formatCode="0.00000"/>
    <numFmt numFmtId="173" formatCode="0.0000%"/>
    <numFmt numFmtId="174" formatCode="0.0000"/>
    <numFmt numFmtId="175" formatCode="&quot;$&quot;\ #,##0.000"/>
    <numFmt numFmtId="176" formatCode="_(* #,##0.000_);_(* \(#,##0.000\);_(* &quot;-&quot;??_);_(@_)"/>
    <numFmt numFmtId="177" formatCode="&quot;$&quot;\ #,##0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Symbol"/>
      <family val="1"/>
      <charset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vertAlign val="subscript"/>
      <sz val="10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b/>
      <u/>
      <sz val="12"/>
      <color rgb="FFFFFF00"/>
      <name val="Arial"/>
      <family val="2"/>
    </font>
    <font>
      <b/>
      <sz val="10"/>
      <color theme="4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theme="0" tint="-0.499984740745262"/>
      </left>
      <right style="dashed">
        <color theme="0" tint="-0.499984740745262"/>
      </right>
      <top style="medium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medium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medium">
        <color theme="0" tint="-0.499984740745262"/>
      </bottom>
      <diagonal/>
    </border>
    <border>
      <left style="dashed">
        <color theme="0" tint="-0.499984740745262"/>
      </left>
      <right style="medium">
        <color theme="0" tint="-0.499984740745262"/>
      </right>
      <top style="dashed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dashed">
        <color theme="0" tint="-0.499984740745262"/>
      </right>
      <top style="medium">
        <color theme="0" tint="-0.499984740745262"/>
      </top>
      <bottom style="dashed">
        <color theme="0" tint="-0.499984740745262"/>
      </bottom>
      <diagonal/>
    </border>
    <border>
      <left style="medium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medium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/>
      <top style="medium">
        <color rgb="FF00B050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rgb="FF00B050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5" fillId="0" borderId="0"/>
    <xf numFmtId="9" fontId="1" fillId="0" borderId="0" applyFont="0" applyFill="0" applyBorder="0" applyAlignment="0" applyProtection="0"/>
  </cellStyleXfs>
  <cellXfs count="669">
    <xf numFmtId="0" fontId="0" fillId="0" borderId="0" xfId="0"/>
    <xf numFmtId="0" fontId="2" fillId="0" borderId="0" xfId="0" applyFont="1"/>
    <xf numFmtId="164" fontId="0" fillId="0" borderId="1" xfId="2" applyFont="1" applyFill="1" applyBorder="1"/>
    <xf numFmtId="0" fontId="0" fillId="0" borderId="0" xfId="0" applyAlignment="1">
      <alignment horizontal="right"/>
    </xf>
    <xf numFmtId="0" fontId="2" fillId="2" borderId="2" xfId="0" applyFont="1" applyFill="1" applyBorder="1" applyAlignment="1">
      <alignment horizontal="center"/>
    </xf>
    <xf numFmtId="0" fontId="0" fillId="0" borderId="0" xfId="0" quotePrefix="1" applyAlignment="1">
      <alignment horizontal="right"/>
    </xf>
    <xf numFmtId="0" fontId="2" fillId="0" borderId="0" xfId="0" applyFont="1" applyAlignment="1">
      <alignment horizontal="right"/>
    </xf>
    <xf numFmtId="9" fontId="2" fillId="2" borderId="2" xfId="5" applyFont="1" applyFill="1" applyBorder="1"/>
    <xf numFmtId="164" fontId="0" fillId="0" borderId="1" xfId="2" applyFont="1" applyFill="1" applyBorder="1" applyAlignment="1">
      <alignment horizontal="center"/>
    </xf>
    <xf numFmtId="164" fontId="0" fillId="0" borderId="5" xfId="2" applyFont="1" applyFill="1" applyBorder="1" applyAlignment="1">
      <alignment horizontal="center"/>
    </xf>
    <xf numFmtId="0" fontId="0" fillId="0" borderId="6" xfId="0" applyFill="1" applyBorder="1"/>
    <xf numFmtId="0" fontId="2" fillId="0" borderId="6" xfId="0" applyFont="1" applyFill="1" applyBorder="1"/>
    <xf numFmtId="9" fontId="0" fillId="0" borderId="1" xfId="5" applyFont="1" applyFill="1" applyBorder="1"/>
    <xf numFmtId="9" fontId="0" fillId="0" borderId="5" xfId="5" applyFont="1" applyFill="1" applyBorder="1"/>
    <xf numFmtId="164" fontId="1" fillId="0" borderId="1" xfId="2" applyFill="1" applyBorder="1" applyAlignment="1">
      <alignment horizontal="center"/>
    </xf>
    <xf numFmtId="164" fontId="1" fillId="0" borderId="5" xfId="2" applyFill="1" applyBorder="1" applyAlignment="1">
      <alignment horizontal="center"/>
    </xf>
    <xf numFmtId="164" fontId="1" fillId="0" borderId="7" xfId="2" applyFill="1" applyBorder="1" applyAlignment="1">
      <alignment horizontal="center"/>
    </xf>
    <xf numFmtId="166" fontId="0" fillId="0" borderId="8" xfId="0" applyNumberFormat="1" applyFill="1" applyBorder="1" applyAlignment="1">
      <alignment horizontal="center"/>
    </xf>
    <xf numFmtId="164" fontId="1" fillId="0" borderId="11" xfId="2" applyFill="1" applyBorder="1" applyAlignment="1">
      <alignment horizontal="center"/>
    </xf>
    <xf numFmtId="164" fontId="0" fillId="0" borderId="8" xfId="2" applyFont="1" applyFill="1" applyBorder="1" applyAlignment="1" applyProtection="1">
      <alignment horizontal="center"/>
      <protection locked="0"/>
    </xf>
    <xf numFmtId="164" fontId="0" fillId="0" borderId="9" xfId="2" applyFont="1" applyFill="1" applyBorder="1" applyAlignment="1" applyProtection="1">
      <alignment horizontal="center"/>
      <protection locked="0"/>
    </xf>
    <xf numFmtId="164" fontId="1" fillId="0" borderId="1" xfId="2" applyFill="1" applyBorder="1" applyAlignment="1" applyProtection="1">
      <alignment horizontal="center"/>
      <protection locked="0"/>
    </xf>
    <xf numFmtId="164" fontId="1" fillId="0" borderId="10" xfId="2" applyFill="1" applyBorder="1" applyAlignment="1" applyProtection="1">
      <alignment horizontal="center"/>
      <protection locked="0"/>
    </xf>
    <xf numFmtId="164" fontId="1" fillId="0" borderId="5" xfId="2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0" fillId="0" borderId="0" xfId="0" applyProtection="1"/>
    <xf numFmtId="164" fontId="1" fillId="0" borderId="1" xfId="2" applyFill="1" applyBorder="1" applyAlignment="1" applyProtection="1">
      <alignment horizontal="center"/>
    </xf>
    <xf numFmtId="164" fontId="1" fillId="0" borderId="10" xfId="2" applyFill="1" applyBorder="1" applyAlignment="1" applyProtection="1">
      <alignment horizontal="center"/>
    </xf>
    <xf numFmtId="164" fontId="1" fillId="0" borderId="5" xfId="2" applyFill="1" applyBorder="1" applyAlignment="1" applyProtection="1">
      <alignment horizontal="center"/>
    </xf>
    <xf numFmtId="0" fontId="2" fillId="0" borderId="0" xfId="0" applyFont="1" applyProtection="1"/>
    <xf numFmtId="0" fontId="2" fillId="0" borderId="0" xfId="0" applyFont="1" applyFill="1" applyProtection="1"/>
    <xf numFmtId="164" fontId="2" fillId="0" borderId="7" xfId="2" applyFont="1" applyFill="1" applyBorder="1" applyAlignment="1" applyProtection="1">
      <alignment horizontal="center"/>
    </xf>
    <xf numFmtId="0" fontId="0" fillId="0" borderId="0" xfId="0" applyFill="1" applyProtection="1"/>
    <xf numFmtId="164" fontId="1" fillId="0" borderId="12" xfId="2" applyFill="1" applyBorder="1" applyAlignment="1" applyProtection="1">
      <alignment horizontal="center"/>
    </xf>
    <xf numFmtId="164" fontId="1" fillId="0" borderId="13" xfId="2" applyFill="1" applyBorder="1" applyAlignment="1" applyProtection="1">
      <alignment horizontal="center"/>
    </xf>
    <xf numFmtId="164" fontId="1" fillId="0" borderId="11" xfId="2" applyFill="1" applyBorder="1" applyAlignment="1" applyProtection="1">
      <alignment horizontal="center"/>
    </xf>
    <xf numFmtId="164" fontId="5" fillId="0" borderId="1" xfId="2" applyFont="1" applyFill="1" applyBorder="1" applyAlignment="1" applyProtection="1">
      <alignment horizontal="center"/>
    </xf>
    <xf numFmtId="165" fontId="5" fillId="0" borderId="1" xfId="1" applyFont="1" applyFill="1" applyBorder="1" applyAlignment="1" applyProtection="1">
      <alignment horizontal="center"/>
    </xf>
    <xf numFmtId="0" fontId="0" fillId="0" borderId="0" xfId="0" applyFill="1"/>
    <xf numFmtId="0" fontId="4" fillId="0" borderId="15" xfId="0" applyFont="1" applyFill="1" applyBorder="1"/>
    <xf numFmtId="0" fontId="2" fillId="0" borderId="16" xfId="0" applyFont="1" applyFill="1" applyBorder="1" applyAlignment="1">
      <alignment horizontal="center"/>
    </xf>
    <xf numFmtId="0" fontId="4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0" fillId="0" borderId="20" xfId="0" applyFill="1" applyBorder="1"/>
    <xf numFmtId="0" fontId="0" fillId="0" borderId="13" xfId="0" applyFill="1" applyBorder="1"/>
    <xf numFmtId="0" fontId="0" fillId="0" borderId="1" xfId="0" applyFill="1" applyBorder="1"/>
    <xf numFmtId="164" fontId="0" fillId="0" borderId="1" xfId="2" applyFont="1" applyFill="1" applyBorder="1" applyProtection="1">
      <protection locked="0"/>
    </xf>
    <xf numFmtId="0" fontId="0" fillId="0" borderId="6" xfId="0" quotePrefix="1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3" fillId="0" borderId="17" xfId="0" quotePrefix="1" applyFont="1" applyFill="1" applyBorder="1" applyAlignment="1">
      <alignment horizontal="left"/>
    </xf>
    <xf numFmtId="164" fontId="0" fillId="0" borderId="18" xfId="2" applyFont="1" applyFill="1" applyBorder="1" applyProtection="1">
      <protection locked="0"/>
    </xf>
    <xf numFmtId="0" fontId="2" fillId="0" borderId="15" xfId="0" applyFont="1" applyFill="1" applyBorder="1" applyAlignment="1">
      <alignment horizontal="center"/>
    </xf>
    <xf numFmtId="0" fontId="2" fillId="0" borderId="21" xfId="0" applyFont="1" applyFill="1" applyBorder="1"/>
    <xf numFmtId="0" fontId="2" fillId="0" borderId="17" xfId="0" applyFont="1" applyFill="1" applyBorder="1"/>
    <xf numFmtId="0" fontId="2" fillId="0" borderId="19" xfId="0" applyFont="1" applyFill="1" applyBorder="1"/>
    <xf numFmtId="0" fontId="2" fillId="0" borderId="15" xfId="0" applyFont="1" applyFill="1" applyBorder="1"/>
    <xf numFmtId="164" fontId="0" fillId="0" borderId="16" xfId="2" applyFont="1" applyFill="1" applyBorder="1"/>
    <xf numFmtId="0" fontId="0" fillId="0" borderId="16" xfId="0" applyFill="1" applyBorder="1" applyAlignment="1">
      <alignment horizontal="center"/>
    </xf>
    <xf numFmtId="0" fontId="0" fillId="0" borderId="21" xfId="0" applyFill="1" applyBorder="1"/>
    <xf numFmtId="164" fontId="0" fillId="0" borderId="5" xfId="2" applyFont="1" applyFill="1" applyBorder="1" applyProtection="1">
      <protection locked="0"/>
    </xf>
    <xf numFmtId="0" fontId="2" fillId="0" borderId="6" xfId="0" applyFont="1" applyFill="1" applyBorder="1" applyAlignment="1">
      <alignment horizontal="left"/>
    </xf>
    <xf numFmtId="166" fontId="0" fillId="0" borderId="1" xfId="0" applyNumberFormat="1" applyFill="1" applyBorder="1" applyAlignment="1">
      <alignment horizontal="center"/>
    </xf>
    <xf numFmtId="166" fontId="0" fillId="0" borderId="1" xfId="0" applyNumberFormat="1" applyFill="1" applyBorder="1"/>
    <xf numFmtId="166" fontId="0" fillId="0" borderId="5" xfId="0" applyNumberFormat="1" applyFill="1" applyBorder="1"/>
    <xf numFmtId="166" fontId="2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166" fontId="0" fillId="0" borderId="0" xfId="0" applyNumberFormat="1" applyFill="1"/>
    <xf numFmtId="0" fontId="2" fillId="0" borderId="17" xfId="0" applyFont="1" applyFill="1" applyBorder="1" applyAlignment="1">
      <alignment horizontal="left"/>
    </xf>
    <xf numFmtId="164" fontId="0" fillId="0" borderId="19" xfId="2" applyFont="1" applyFill="1" applyBorder="1" applyProtection="1">
      <protection locked="0"/>
    </xf>
    <xf numFmtId="166" fontId="2" fillId="0" borderId="0" xfId="0" applyNumberFormat="1" applyFont="1" applyFill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Continuous"/>
    </xf>
    <xf numFmtId="164" fontId="0" fillId="0" borderId="1" xfId="2" applyFont="1" applyFill="1" applyBorder="1" applyAlignment="1" applyProtection="1">
      <alignment horizontal="center"/>
      <protection locked="0"/>
    </xf>
    <xf numFmtId="164" fontId="0" fillId="0" borderId="5" xfId="2" applyFont="1" applyFill="1" applyBorder="1" applyAlignment="1" applyProtection="1">
      <alignment horizontal="center"/>
      <protection locked="0"/>
    </xf>
    <xf numFmtId="0" fontId="0" fillId="0" borderId="25" xfId="0" applyFill="1" applyBorder="1"/>
    <xf numFmtId="0" fontId="2" fillId="0" borderId="25" xfId="0" applyFont="1" applyFill="1" applyBorder="1"/>
    <xf numFmtId="0" fontId="3" fillId="0" borderId="17" xfId="0" applyFont="1" applyFill="1" applyBorder="1"/>
    <xf numFmtId="164" fontId="0" fillId="0" borderId="18" xfId="2" applyFont="1" applyFill="1" applyBorder="1" applyAlignment="1" applyProtection="1">
      <alignment horizontal="center"/>
      <protection locked="0"/>
    </xf>
    <xf numFmtId="0" fontId="0" fillId="0" borderId="15" xfId="0" applyFill="1" applyBorder="1"/>
    <xf numFmtId="0" fontId="2" fillId="0" borderId="1" xfId="0" applyFont="1" applyFill="1" applyBorder="1" applyAlignment="1">
      <alignment horizontal="center"/>
    </xf>
    <xf numFmtId="0" fontId="0" fillId="0" borderId="18" xfId="0" quotePrefix="1" applyFill="1" applyBorder="1" applyAlignment="1">
      <alignment horizontal="center"/>
    </xf>
    <xf numFmtId="0" fontId="3" fillId="0" borderId="0" xfId="0" applyFont="1" applyFill="1"/>
    <xf numFmtId="167" fontId="0" fillId="0" borderId="0" xfId="0" applyNumberFormat="1" applyFill="1" applyAlignment="1">
      <alignment horizontal="center"/>
    </xf>
    <xf numFmtId="0" fontId="3" fillId="0" borderId="15" xfId="0" applyFont="1" applyFill="1" applyBorder="1"/>
    <xf numFmtId="0" fontId="0" fillId="0" borderId="19" xfId="0" quotePrefix="1" applyFill="1" applyBorder="1" applyAlignment="1">
      <alignment horizontal="center"/>
    </xf>
    <xf numFmtId="0" fontId="3" fillId="0" borderId="6" xfId="0" applyFont="1" applyFill="1" applyBorder="1"/>
    <xf numFmtId="0" fontId="3" fillId="0" borderId="25" xfId="0" applyFont="1" applyFill="1" applyBorder="1"/>
    <xf numFmtId="0" fontId="3" fillId="0" borderId="15" xfId="0" applyFont="1" applyFill="1" applyBorder="1" applyAlignment="1">
      <alignment horizontal="centerContinuous"/>
    </xf>
    <xf numFmtId="0" fontId="3" fillId="0" borderId="17" xfId="0" applyFont="1" applyFill="1" applyBorder="1" applyAlignment="1">
      <alignment horizontal="centerContinuous"/>
    </xf>
    <xf numFmtId="164" fontId="0" fillId="0" borderId="16" xfId="2" applyFont="1" applyFill="1" applyBorder="1" applyAlignment="1" applyProtection="1">
      <alignment horizontal="center"/>
      <protection locked="0"/>
    </xf>
    <xf numFmtId="9" fontId="0" fillId="0" borderId="1" xfId="5" applyFont="1" applyFill="1" applyBorder="1" applyAlignment="1" applyProtection="1">
      <alignment horizontal="center"/>
      <protection locked="0"/>
    </xf>
    <xf numFmtId="0" fontId="4" fillId="0" borderId="16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165" fontId="5" fillId="0" borderId="1" xfId="1" applyFont="1" applyFill="1" applyBorder="1" applyAlignment="1" applyProtection="1">
      <alignment horizontal="center"/>
      <protection locked="0"/>
    </xf>
    <xf numFmtId="165" fontId="5" fillId="0" borderId="5" xfId="1" applyFont="1" applyFill="1" applyBorder="1" applyAlignment="1" applyProtection="1">
      <alignment horizontal="center"/>
      <protection locked="0"/>
    </xf>
    <xf numFmtId="164" fontId="5" fillId="0" borderId="1" xfId="2" applyFont="1" applyFill="1" applyBorder="1" applyAlignment="1" applyProtection="1">
      <alignment horizontal="center"/>
      <protection locked="0"/>
    </xf>
    <xf numFmtId="164" fontId="5" fillId="0" borderId="5" xfId="2" applyFont="1" applyFill="1" applyBorder="1" applyAlignment="1" applyProtection="1">
      <alignment horizontal="center"/>
      <protection locked="0"/>
    </xf>
    <xf numFmtId="165" fontId="5" fillId="0" borderId="1" xfId="1" applyFont="1" applyFill="1" applyBorder="1" applyProtection="1">
      <protection locked="0"/>
    </xf>
    <xf numFmtId="165" fontId="5" fillId="0" borderId="5" xfId="1" applyFont="1" applyFill="1" applyBorder="1" applyProtection="1">
      <protection locked="0"/>
    </xf>
    <xf numFmtId="164" fontId="2" fillId="0" borderId="1" xfId="2" applyFont="1" applyFill="1" applyBorder="1" applyAlignment="1" applyProtection="1">
      <alignment horizontal="center"/>
      <protection locked="0"/>
    </xf>
    <xf numFmtId="164" fontId="2" fillId="0" borderId="5" xfId="2" applyFont="1" applyFill="1" applyBorder="1" applyAlignment="1" applyProtection="1">
      <alignment horizontal="center"/>
      <protection locked="0"/>
    </xf>
    <xf numFmtId="164" fontId="2" fillId="0" borderId="1" xfId="2" applyFont="1" applyFill="1" applyBorder="1" applyAlignment="1">
      <alignment horizontal="center"/>
    </xf>
    <xf numFmtId="164" fontId="2" fillId="0" borderId="5" xfId="2" applyFont="1" applyFill="1" applyBorder="1" applyAlignment="1">
      <alignment horizontal="center"/>
    </xf>
    <xf numFmtId="0" fontId="2" fillId="0" borderId="6" xfId="0" quotePrefix="1" applyFont="1" applyFill="1" applyBorder="1" applyAlignment="1">
      <alignment horizontal="left"/>
    </xf>
    <xf numFmtId="9" fontId="0" fillId="0" borderId="1" xfId="5" applyFont="1" applyFill="1" applyBorder="1" applyProtection="1">
      <protection locked="0"/>
    </xf>
    <xf numFmtId="9" fontId="0" fillId="0" borderId="5" xfId="5" applyFont="1" applyFill="1" applyBorder="1" applyProtection="1">
      <protection locked="0"/>
    </xf>
    <xf numFmtId="0" fontId="4" fillId="0" borderId="0" xfId="0" applyFont="1" applyFill="1"/>
    <xf numFmtId="0" fontId="2" fillId="0" borderId="26" xfId="0" applyFont="1" applyFill="1" applyBorder="1"/>
    <xf numFmtId="0" fontId="2" fillId="0" borderId="27" xfId="0" applyFont="1" applyFill="1" applyBorder="1"/>
    <xf numFmtId="164" fontId="1" fillId="0" borderId="18" xfId="2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center" wrapText="1"/>
    </xf>
    <xf numFmtId="0" fontId="5" fillId="0" borderId="26" xfId="0" applyFont="1" applyFill="1" applyBorder="1"/>
    <xf numFmtId="164" fontId="1" fillId="0" borderId="28" xfId="2" applyFill="1" applyBorder="1" applyAlignment="1" applyProtection="1">
      <alignment horizontal="center"/>
      <protection locked="0"/>
    </xf>
    <xf numFmtId="0" fontId="4" fillId="0" borderId="22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centerContinuous"/>
    </xf>
    <xf numFmtId="0" fontId="2" fillId="0" borderId="30" xfId="0" applyFont="1" applyFill="1" applyBorder="1"/>
    <xf numFmtId="0" fontId="0" fillId="0" borderId="31" xfId="0" applyFill="1" applyBorder="1"/>
    <xf numFmtId="164" fontId="1" fillId="0" borderId="11" xfId="2" applyFill="1" applyBorder="1" applyAlignment="1" applyProtection="1">
      <alignment horizontal="center"/>
      <protection locked="0"/>
    </xf>
    <xf numFmtId="0" fontId="2" fillId="0" borderId="31" xfId="0" applyFont="1" applyFill="1" applyBorder="1"/>
    <xf numFmtId="0" fontId="1" fillId="0" borderId="31" xfId="0" applyFont="1" applyFill="1" applyBorder="1"/>
    <xf numFmtId="0" fontId="5" fillId="0" borderId="31" xfId="0" applyFont="1" applyFill="1" applyBorder="1"/>
    <xf numFmtId="0" fontId="2" fillId="0" borderId="31" xfId="0" applyFont="1" applyFill="1" applyBorder="1" applyAlignment="1">
      <alignment horizontal="left"/>
    </xf>
    <xf numFmtId="0" fontId="2" fillId="0" borderId="32" xfId="0" applyFont="1" applyFill="1" applyBorder="1"/>
    <xf numFmtId="164" fontId="1" fillId="0" borderId="33" xfId="2" applyFill="1" applyBorder="1" applyAlignment="1" applyProtection="1">
      <alignment horizontal="center"/>
      <protection locked="0"/>
    </xf>
    <xf numFmtId="0" fontId="2" fillId="0" borderId="0" xfId="0" applyFont="1" applyFill="1"/>
    <xf numFmtId="0" fontId="1" fillId="0" borderId="0" xfId="0" applyFont="1" applyFill="1"/>
    <xf numFmtId="0" fontId="5" fillId="0" borderId="0" xfId="0" applyFont="1" applyFill="1"/>
    <xf numFmtId="0" fontId="2" fillId="0" borderId="0" xfId="0" applyFont="1" applyFill="1" applyAlignment="1">
      <alignment horizontal="left"/>
    </xf>
    <xf numFmtId="0" fontId="2" fillId="0" borderId="30" xfId="0" applyFont="1" applyFill="1" applyBorder="1" applyAlignment="1">
      <alignment horizontal="center"/>
    </xf>
    <xf numFmtId="164" fontId="1" fillId="0" borderId="12" xfId="2" applyFill="1" applyBorder="1" applyAlignment="1" applyProtection="1">
      <alignment horizontal="center"/>
      <protection locked="0"/>
    </xf>
    <xf numFmtId="164" fontId="1" fillId="0" borderId="13" xfId="2" applyFill="1" applyBorder="1" applyAlignment="1" applyProtection="1">
      <alignment horizontal="center"/>
      <protection locked="0"/>
    </xf>
    <xf numFmtId="164" fontId="1" fillId="0" borderId="34" xfId="2" applyFill="1" applyBorder="1" applyAlignment="1" applyProtection="1">
      <alignment horizontal="center"/>
      <protection locked="0"/>
    </xf>
    <xf numFmtId="164" fontId="1" fillId="0" borderId="7" xfId="2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164" fontId="0" fillId="0" borderId="2" xfId="2" applyFont="1" applyFill="1" applyBorder="1" applyProtection="1">
      <protection locked="0"/>
    </xf>
    <xf numFmtId="167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6" fillId="0" borderId="0" xfId="0" applyFont="1" applyFill="1"/>
    <xf numFmtId="1" fontId="0" fillId="0" borderId="0" xfId="0" applyNumberForma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6" xfId="0" quotePrefix="1" applyFont="1" applyFill="1" applyBorder="1" applyAlignment="1">
      <alignment horizontal="centerContinuous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164" fontId="2" fillId="0" borderId="18" xfId="2" applyFont="1" applyFill="1" applyBorder="1" applyAlignment="1" applyProtection="1">
      <alignment horizontal="center"/>
      <protection locked="0"/>
    </xf>
    <xf numFmtId="9" fontId="2" fillId="0" borderId="18" xfId="5" applyFont="1" applyFill="1" applyBorder="1" applyAlignment="1" applyProtection="1">
      <alignment horizontal="center"/>
      <protection locked="0"/>
    </xf>
    <xf numFmtId="1" fontId="2" fillId="0" borderId="0" xfId="0" applyNumberFormat="1" applyFont="1" applyFill="1" applyAlignment="1">
      <alignment horizontal="center"/>
    </xf>
    <xf numFmtId="166" fontId="2" fillId="0" borderId="0" xfId="0" quotePrefix="1" applyNumberFormat="1" applyFont="1" applyFill="1" applyAlignment="1">
      <alignment horizontal="center"/>
    </xf>
    <xf numFmtId="0" fontId="4" fillId="0" borderId="35" xfId="0" applyFont="1" applyFill="1" applyBorder="1" applyAlignment="1">
      <alignment horizontal="left"/>
    </xf>
    <xf numFmtId="0" fontId="4" fillId="0" borderId="36" xfId="0" applyFont="1" applyFill="1" applyBorder="1" applyAlignment="1">
      <alignment horizontal="left"/>
    </xf>
    <xf numFmtId="0" fontId="4" fillId="0" borderId="37" xfId="0" applyFont="1" applyFill="1" applyBorder="1" applyAlignment="1">
      <alignment horizontal="left"/>
    </xf>
    <xf numFmtId="0" fontId="3" fillId="0" borderId="38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164" fontId="5" fillId="0" borderId="16" xfId="2" applyFont="1" applyFill="1" applyBorder="1" applyAlignment="1" applyProtection="1">
      <alignment horizontal="center"/>
      <protection locked="0"/>
    </xf>
    <xf numFmtId="164" fontId="5" fillId="0" borderId="16" xfId="2" applyFont="1" applyFill="1" applyBorder="1" applyProtection="1">
      <protection locked="0"/>
    </xf>
    <xf numFmtId="9" fontId="5" fillId="0" borderId="16" xfId="5" applyFont="1" applyFill="1" applyBorder="1" applyProtection="1">
      <protection locked="0"/>
    </xf>
    <xf numFmtId="164" fontId="5" fillId="0" borderId="21" xfId="2" applyFont="1" applyFill="1" applyBorder="1" applyAlignment="1" applyProtection="1">
      <alignment horizontal="center"/>
      <protection locked="0"/>
    </xf>
    <xf numFmtId="164" fontId="5" fillId="0" borderId="1" xfId="2" applyFont="1" applyFill="1" applyBorder="1" applyProtection="1">
      <protection locked="0"/>
    </xf>
    <xf numFmtId="9" fontId="5" fillId="0" borderId="1" xfId="5" applyFont="1" applyFill="1" applyBorder="1" applyProtection="1">
      <protection locked="0"/>
    </xf>
    <xf numFmtId="164" fontId="5" fillId="0" borderId="13" xfId="2" applyFont="1" applyFill="1" applyBorder="1" applyAlignment="1" applyProtection="1">
      <alignment horizontal="center"/>
      <protection locked="0"/>
    </xf>
    <xf numFmtId="164" fontId="5" fillId="0" borderId="7" xfId="2" applyFont="1" applyFill="1" applyBorder="1" applyAlignment="1" applyProtection="1">
      <alignment horizontal="center"/>
      <protection locked="0"/>
    </xf>
    <xf numFmtId="9" fontId="5" fillId="0" borderId="1" xfId="5" applyFon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>
      <alignment horizontal="center"/>
    </xf>
    <xf numFmtId="164" fontId="2" fillId="0" borderId="18" xfId="2" applyFont="1" applyFill="1" applyBorder="1"/>
    <xf numFmtId="9" fontId="2" fillId="0" borderId="18" xfId="5" applyFont="1" applyFill="1" applyBorder="1"/>
    <xf numFmtId="164" fontId="2" fillId="0" borderId="19" xfId="2" applyFont="1" applyFill="1" applyBorder="1" applyAlignment="1" applyProtection="1">
      <alignment horizontal="center"/>
      <protection locked="0"/>
    </xf>
    <xf numFmtId="0" fontId="4" fillId="0" borderId="22" xfId="0" applyFont="1" applyFill="1" applyBorder="1" applyAlignment="1" applyProtection="1">
      <alignment horizontal="left"/>
    </xf>
    <xf numFmtId="0" fontId="4" fillId="0" borderId="23" xfId="0" applyFont="1" applyFill="1" applyBorder="1" applyAlignment="1" applyProtection="1">
      <alignment horizontal="center"/>
    </xf>
    <xf numFmtId="0" fontId="4" fillId="0" borderId="24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Continuous"/>
    </xf>
    <xf numFmtId="0" fontId="2" fillId="0" borderId="18" xfId="0" applyFont="1" applyFill="1" applyBorder="1" applyAlignment="1" applyProtection="1">
      <alignment horizontal="center"/>
    </xf>
    <xf numFmtId="0" fontId="2" fillId="0" borderId="19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left"/>
    </xf>
    <xf numFmtId="0" fontId="2" fillId="0" borderId="27" xfId="0" applyFont="1" applyFill="1" applyBorder="1" applyProtection="1"/>
    <xf numFmtId="0" fontId="0" fillId="0" borderId="0" xfId="0" quotePrefix="1" applyFill="1" applyAlignment="1" applyProtection="1">
      <alignment horizontal="left"/>
    </xf>
    <xf numFmtId="0" fontId="0" fillId="0" borderId="40" xfId="0" applyFill="1" applyBorder="1" applyProtection="1"/>
    <xf numFmtId="9" fontId="1" fillId="0" borderId="5" xfId="5" applyFill="1" applyBorder="1" applyAlignment="1" applyProtection="1">
      <alignment horizontal="center"/>
      <protection locked="0"/>
    </xf>
    <xf numFmtId="9" fontId="1" fillId="0" borderId="19" xfId="5" applyFill="1" applyBorder="1" applyAlignment="1" applyProtection="1">
      <alignment horizontal="center"/>
      <protection locked="0"/>
    </xf>
    <xf numFmtId="0" fontId="2" fillId="0" borderId="6" xfId="0" applyFont="1" applyFill="1" applyBorder="1" applyProtection="1"/>
    <xf numFmtId="0" fontId="2" fillId="0" borderId="6" xfId="0" applyFont="1" applyFill="1" applyBorder="1" applyAlignment="1" applyProtection="1">
      <alignment horizontal="left"/>
    </xf>
    <xf numFmtId="0" fontId="2" fillId="0" borderId="17" xfId="0" applyFont="1" applyFill="1" applyBorder="1" applyProtection="1"/>
    <xf numFmtId="0" fontId="4" fillId="0" borderId="0" xfId="0" applyFont="1" applyFill="1" applyProtection="1"/>
    <xf numFmtId="0" fontId="4" fillId="0" borderId="29" xfId="0" applyFont="1" applyFill="1" applyBorder="1" applyAlignment="1" applyProtection="1">
      <alignment horizontal="left"/>
    </xf>
    <xf numFmtId="0" fontId="3" fillId="0" borderId="25" xfId="0" applyFont="1" applyFill="1" applyBorder="1" applyAlignment="1" applyProtection="1">
      <alignment horizontal="centerContinuous"/>
    </xf>
    <xf numFmtId="0" fontId="2" fillId="0" borderId="18" xfId="0" applyFont="1" applyFill="1" applyBorder="1" applyAlignment="1" applyProtection="1">
      <alignment horizontal="center" wrapText="1"/>
    </xf>
    <xf numFmtId="0" fontId="2" fillId="0" borderId="30" xfId="0" applyFont="1" applyFill="1" applyBorder="1" applyProtection="1"/>
    <xf numFmtId="0" fontId="0" fillId="0" borderId="31" xfId="0" applyFill="1" applyBorder="1" applyProtection="1"/>
    <xf numFmtId="0" fontId="0" fillId="0" borderId="31" xfId="0" quotePrefix="1" applyFill="1" applyBorder="1" applyAlignment="1" applyProtection="1">
      <alignment horizontal="left"/>
    </xf>
    <xf numFmtId="0" fontId="2" fillId="0" borderId="31" xfId="0" applyFont="1" applyFill="1" applyBorder="1" applyProtection="1"/>
    <xf numFmtId="0" fontId="5" fillId="0" borderId="31" xfId="0" applyFont="1" applyFill="1" applyBorder="1" applyProtection="1"/>
    <xf numFmtId="0" fontId="2" fillId="0" borderId="31" xfId="0" applyFont="1" applyFill="1" applyBorder="1" applyAlignment="1" applyProtection="1">
      <alignment horizontal="left"/>
    </xf>
    <xf numFmtId="0" fontId="2" fillId="0" borderId="32" xfId="0" applyFont="1" applyFill="1" applyBorder="1" applyProtection="1"/>
    <xf numFmtId="0" fontId="4" fillId="0" borderId="15" xfId="0" applyFont="1" applyFill="1" applyBorder="1" applyAlignment="1" applyProtection="1">
      <alignment horizontal="left"/>
    </xf>
    <xf numFmtId="0" fontId="4" fillId="0" borderId="16" xfId="0" applyFont="1" applyFill="1" applyBorder="1" applyAlignment="1" applyProtection="1">
      <alignment horizontal="center"/>
    </xf>
    <xf numFmtId="0" fontId="4" fillId="0" borderId="21" xfId="0" applyFont="1" applyFill="1" applyBorder="1" applyAlignment="1" applyProtection="1">
      <alignment horizontal="center"/>
    </xf>
    <xf numFmtId="0" fontId="0" fillId="0" borderId="25" xfId="0" applyFill="1" applyBorder="1" applyProtection="1"/>
    <xf numFmtId="0" fontId="2" fillId="0" borderId="8" xfId="0" applyFont="1" applyFill="1" applyBorder="1" applyAlignment="1" applyProtection="1">
      <alignment horizontal="center"/>
    </xf>
    <xf numFmtId="0" fontId="2" fillId="0" borderId="15" xfId="0" applyFont="1" applyFill="1" applyBorder="1" applyProtection="1"/>
    <xf numFmtId="0" fontId="0" fillId="0" borderId="6" xfId="0" applyFill="1" applyBorder="1" applyProtection="1"/>
    <xf numFmtId="0" fontId="2" fillId="0" borderId="25" xfId="0" applyFont="1" applyFill="1" applyBorder="1" applyAlignment="1" applyProtection="1">
      <alignment horizontal="center"/>
    </xf>
    <xf numFmtId="0" fontId="2" fillId="0" borderId="28" xfId="0" applyFont="1" applyFill="1" applyBorder="1" applyAlignment="1" applyProtection="1">
      <alignment horizontal="center" wrapText="1"/>
    </xf>
    <xf numFmtId="0" fontId="2" fillId="0" borderId="19" xfId="0" applyFont="1" applyFill="1" applyBorder="1" applyAlignment="1" applyProtection="1">
      <alignment horizontal="center" wrapText="1"/>
    </xf>
    <xf numFmtId="0" fontId="2" fillId="0" borderId="30" xfId="0" applyFont="1" applyFill="1" applyBorder="1" applyAlignment="1" applyProtection="1">
      <alignment horizontal="center"/>
    </xf>
    <xf numFmtId="0" fontId="2" fillId="0" borderId="31" xfId="0" applyFont="1" applyFill="1" applyBorder="1" applyAlignment="1" applyProtection="1">
      <alignment horizontal="center"/>
    </xf>
    <xf numFmtId="0" fontId="2" fillId="0" borderId="32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right"/>
    </xf>
    <xf numFmtId="9" fontId="1" fillId="0" borderId="2" xfId="5" applyFont="1" applyFill="1" applyBorder="1" applyProtection="1">
      <protection locked="0"/>
    </xf>
    <xf numFmtId="0" fontId="0" fillId="0" borderId="0" xfId="0" applyFill="1" applyBorder="1" applyAlignment="1" applyProtection="1">
      <alignment horizontal="center"/>
    </xf>
    <xf numFmtId="167" fontId="0" fillId="0" borderId="0" xfId="0" applyNumberFormat="1" applyFill="1" applyBorder="1" applyAlignment="1" applyProtection="1">
      <alignment horizontal="center"/>
    </xf>
    <xf numFmtId="167" fontId="0" fillId="0" borderId="0" xfId="0" applyNumberFormat="1" applyFill="1" applyAlignment="1" applyProtection="1">
      <alignment horizontal="center"/>
    </xf>
    <xf numFmtId="166" fontId="0" fillId="0" borderId="0" xfId="0" applyNumberFormat="1" applyFill="1" applyBorder="1" applyAlignment="1" applyProtection="1">
      <alignment horizontal="center"/>
    </xf>
    <xf numFmtId="0" fontId="6" fillId="0" borderId="0" xfId="0" applyFont="1" applyFill="1" applyProtection="1"/>
    <xf numFmtId="1" fontId="0" fillId="0" borderId="0" xfId="0" applyNumberFormat="1" applyFill="1" applyBorder="1" applyAlignment="1" applyProtection="1">
      <alignment horizontal="center"/>
    </xf>
    <xf numFmtId="166" fontId="0" fillId="0" borderId="0" xfId="0" applyNumberFormat="1" applyFill="1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9" fontId="1" fillId="0" borderId="2" xfId="5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164" fontId="5" fillId="0" borderId="10" xfId="2" applyFont="1" applyFill="1" applyBorder="1" applyAlignment="1" applyProtection="1">
      <alignment horizontal="center"/>
      <protection locked="0"/>
    </xf>
    <xf numFmtId="164" fontId="2" fillId="0" borderId="10" xfId="2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</xf>
    <xf numFmtId="164" fontId="2" fillId="0" borderId="1" xfId="2" applyFont="1" applyFill="1" applyBorder="1" applyProtection="1">
      <protection locked="0"/>
    </xf>
    <xf numFmtId="44" fontId="0" fillId="0" borderId="1" xfId="2" applyNumberFormat="1" applyFont="1" applyFill="1" applyBorder="1" applyProtection="1">
      <protection locked="0"/>
    </xf>
    <xf numFmtId="168" fontId="0" fillId="0" borderId="1" xfId="2" applyNumberFormat="1" applyFont="1" applyFill="1" applyBorder="1" applyProtection="1">
      <protection locked="0"/>
    </xf>
    <xf numFmtId="164" fontId="2" fillId="0" borderId="18" xfId="2" applyFont="1" applyFill="1" applyBorder="1" applyProtection="1">
      <protection locked="0"/>
    </xf>
    <xf numFmtId="9" fontId="0" fillId="0" borderId="0" xfId="5" applyFont="1" applyFill="1"/>
    <xf numFmtId="164" fontId="2" fillId="0" borderId="5" xfId="2" applyFont="1" applyFill="1" applyBorder="1" applyProtection="1">
      <protection locked="0"/>
    </xf>
    <xf numFmtId="164" fontId="2" fillId="0" borderId="19" xfId="2" applyFont="1" applyFill="1" applyBorder="1" applyProtection="1">
      <protection locked="0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8" fontId="5" fillId="0" borderId="1" xfId="2" applyNumberFormat="1" applyFont="1" applyFill="1" applyBorder="1" applyProtection="1">
      <protection locked="0"/>
    </xf>
    <xf numFmtId="164" fontId="1" fillId="4" borderId="13" xfId="2" applyFill="1" applyBorder="1" applyAlignment="1" applyProtection="1">
      <alignment horizontal="center"/>
      <protection locked="0"/>
    </xf>
    <xf numFmtId="164" fontId="1" fillId="4" borderId="1" xfId="2" applyFill="1" applyBorder="1" applyAlignment="1">
      <alignment horizontal="center"/>
    </xf>
    <xf numFmtId="164" fontId="1" fillId="4" borderId="33" xfId="2" applyFill="1" applyBorder="1" applyAlignment="1" applyProtection="1">
      <alignment horizontal="center"/>
      <protection locked="0"/>
    </xf>
    <xf numFmtId="164" fontId="1" fillId="4" borderId="27" xfId="2" applyFill="1" applyBorder="1" applyAlignment="1" applyProtection="1">
      <alignment horizontal="center"/>
      <protection locked="0"/>
    </xf>
    <xf numFmtId="164" fontId="1" fillId="0" borderId="42" xfId="2" applyFill="1" applyBorder="1" applyAlignment="1" applyProtection="1">
      <alignment horizontal="center"/>
      <protection locked="0"/>
    </xf>
    <xf numFmtId="164" fontId="1" fillId="0" borderId="43" xfId="2" applyFill="1" applyBorder="1" applyAlignment="1">
      <alignment horizontal="center"/>
    </xf>
    <xf numFmtId="164" fontId="1" fillId="0" borderId="44" xfId="2" applyFill="1" applyBorder="1" applyAlignment="1" applyProtection="1">
      <alignment horizontal="center"/>
      <protection locked="0"/>
    </xf>
    <xf numFmtId="164" fontId="1" fillId="0" borderId="9" xfId="2" applyFill="1" applyBorder="1" applyAlignment="1" applyProtection="1">
      <alignment horizontal="center"/>
      <protection locked="0"/>
    </xf>
    <xf numFmtId="0" fontId="5" fillId="0" borderId="6" xfId="0" applyFont="1" applyFill="1" applyBorder="1"/>
    <xf numFmtId="164" fontId="0" fillId="0" borderId="21" xfId="2" applyFont="1" applyFill="1" applyBorder="1" applyAlignment="1" applyProtection="1">
      <alignment horizontal="center"/>
      <protection locked="0"/>
    </xf>
    <xf numFmtId="164" fontId="2" fillId="0" borderId="8" xfId="2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>
      <alignment horizontal="left"/>
    </xf>
    <xf numFmtId="164" fontId="0" fillId="0" borderId="1" xfId="5" applyNumberFormat="1" applyFont="1" applyFill="1" applyBorder="1" applyProtection="1">
      <protection locked="0"/>
    </xf>
    <xf numFmtId="9" fontId="0" fillId="0" borderId="18" xfId="5" applyFont="1" applyFill="1" applyBorder="1" applyProtection="1">
      <protection locked="0"/>
    </xf>
    <xf numFmtId="0" fontId="0" fillId="0" borderId="8" xfId="0" quotePrefix="1" applyFill="1" applyBorder="1" applyAlignment="1">
      <alignment horizontal="center"/>
    </xf>
    <xf numFmtId="164" fontId="2" fillId="0" borderId="16" xfId="2" applyFont="1" applyFill="1" applyBorder="1" applyAlignment="1" applyProtection="1">
      <alignment horizontal="center"/>
      <protection locked="0"/>
    </xf>
    <xf numFmtId="164" fontId="2" fillId="0" borderId="21" xfId="2" applyFont="1" applyFill="1" applyBorder="1" applyAlignment="1" applyProtection="1">
      <alignment horizontal="center"/>
      <protection locked="0"/>
    </xf>
    <xf numFmtId="164" fontId="2" fillId="0" borderId="9" xfId="2" applyFont="1" applyFill="1" applyBorder="1" applyAlignment="1" applyProtection="1">
      <alignment horizontal="center"/>
      <protection locked="0"/>
    </xf>
    <xf numFmtId="164" fontId="0" fillId="0" borderId="5" xfId="5" applyNumberFormat="1" applyFont="1" applyFill="1" applyBorder="1" applyProtection="1">
      <protection locked="0"/>
    </xf>
    <xf numFmtId="0" fontId="2" fillId="0" borderId="45" xfId="0" applyFont="1" applyFill="1" applyBorder="1"/>
    <xf numFmtId="164" fontId="0" fillId="0" borderId="38" xfId="2" applyFont="1" applyFill="1" applyBorder="1"/>
    <xf numFmtId="164" fontId="0" fillId="0" borderId="46" xfId="2" applyFont="1" applyFill="1" applyBorder="1"/>
    <xf numFmtId="164" fontId="5" fillId="0" borderId="21" xfId="2" applyFont="1" applyFill="1" applyBorder="1" applyProtection="1">
      <protection locked="0"/>
    </xf>
    <xf numFmtId="164" fontId="5" fillId="0" borderId="5" xfId="2" applyFont="1" applyFill="1" applyBorder="1" applyProtection="1">
      <protection locked="0"/>
    </xf>
    <xf numFmtId="9" fontId="0" fillId="0" borderId="19" xfId="5" applyFont="1" applyFill="1" applyBorder="1" applyProtection="1">
      <protection locked="0"/>
    </xf>
    <xf numFmtId="10" fontId="7" fillId="5" borderId="8" xfId="5" applyNumberFormat="1" applyFont="1" applyFill="1" applyBorder="1" applyAlignment="1" applyProtection="1">
      <alignment horizontal="center"/>
      <protection locked="0"/>
    </xf>
    <xf numFmtId="10" fontId="7" fillId="5" borderId="9" xfId="5" applyNumberFormat="1" applyFont="1" applyFill="1" applyBorder="1" applyAlignment="1" applyProtection="1">
      <alignment horizontal="center"/>
      <protection locked="0"/>
    </xf>
    <xf numFmtId="10" fontId="7" fillId="5" borderId="18" xfId="5" applyNumberFormat="1" applyFont="1" applyFill="1" applyBorder="1" applyAlignment="1" applyProtection="1">
      <alignment horizontal="center"/>
      <protection locked="0"/>
    </xf>
    <xf numFmtId="10" fontId="7" fillId="5" borderId="19" xfId="5" applyNumberFormat="1" applyFont="1" applyFill="1" applyBorder="1" applyAlignment="1" applyProtection="1">
      <alignment horizontal="center"/>
      <protection locked="0"/>
    </xf>
    <xf numFmtId="9" fontId="7" fillId="5" borderId="8" xfId="5" applyFont="1" applyFill="1" applyBorder="1" applyAlignment="1" applyProtection="1">
      <alignment horizontal="center"/>
      <protection locked="0"/>
    </xf>
    <xf numFmtId="9" fontId="7" fillId="5" borderId="9" xfId="5" applyFont="1" applyFill="1" applyBorder="1" applyAlignment="1" applyProtection="1">
      <alignment horizontal="center"/>
      <protection locked="0"/>
    </xf>
    <xf numFmtId="9" fontId="7" fillId="5" borderId="18" xfId="5" applyFont="1" applyFill="1" applyBorder="1" applyAlignment="1" applyProtection="1">
      <alignment horizontal="center"/>
      <protection locked="0"/>
    </xf>
    <xf numFmtId="9" fontId="7" fillId="5" borderId="19" xfId="5" applyFont="1" applyFill="1" applyBorder="1" applyAlignment="1" applyProtection="1">
      <alignment horizontal="center"/>
      <protection locked="0"/>
    </xf>
    <xf numFmtId="9" fontId="7" fillId="5" borderId="1" xfId="5" applyFont="1" applyFill="1" applyBorder="1" applyAlignment="1" applyProtection="1">
      <alignment horizontal="center"/>
      <protection locked="0"/>
    </xf>
    <xf numFmtId="9" fontId="7" fillId="5" borderId="5" xfId="5" applyFont="1" applyFill="1" applyBorder="1" applyAlignment="1" applyProtection="1">
      <alignment horizontal="center"/>
      <protection locked="0"/>
    </xf>
    <xf numFmtId="10" fontId="7" fillId="5" borderId="1" xfId="5" applyNumberFormat="1" applyFont="1" applyFill="1" applyBorder="1" applyAlignment="1" applyProtection="1">
      <alignment horizontal="center"/>
      <protection locked="0"/>
    </xf>
    <xf numFmtId="10" fontId="7" fillId="5" borderId="5" xfId="5" applyNumberFormat="1" applyFont="1" applyFill="1" applyBorder="1" applyAlignment="1" applyProtection="1">
      <alignment horizontal="center"/>
      <protection locked="0"/>
    </xf>
    <xf numFmtId="44" fontId="0" fillId="0" borderId="0" xfId="0" applyNumberFormat="1" applyFill="1"/>
    <xf numFmtId="0" fontId="5" fillId="0" borderId="0" xfId="0" applyFont="1" applyFill="1" applyBorder="1"/>
    <xf numFmtId="164" fontId="0" fillId="0" borderId="0" xfId="0" applyNumberFormat="1" applyFill="1"/>
    <xf numFmtId="9" fontId="0" fillId="0" borderId="0" xfId="0" applyNumberFormat="1" applyFill="1"/>
    <xf numFmtId="164" fontId="5" fillId="0" borderId="0" xfId="2" applyFont="1" applyFill="1" applyBorder="1"/>
    <xf numFmtId="164" fontId="0" fillId="0" borderId="0" xfId="2" applyFont="1" applyFill="1"/>
    <xf numFmtId="0" fontId="2" fillId="0" borderId="0" xfId="0" applyFont="1" applyFill="1" applyAlignment="1">
      <alignment horizontal="center"/>
    </xf>
    <xf numFmtId="165" fontId="0" fillId="0" borderId="0" xfId="1" applyFont="1" applyFill="1"/>
    <xf numFmtId="0" fontId="5" fillId="0" borderId="47" xfId="0" applyFont="1" applyFill="1" applyBorder="1"/>
    <xf numFmtId="0" fontId="5" fillId="0" borderId="48" xfId="0" applyFont="1" applyFill="1" applyBorder="1"/>
    <xf numFmtId="0" fontId="5" fillId="0" borderId="49" xfId="0" applyFont="1" applyFill="1" applyBorder="1" applyAlignment="1">
      <alignment horizontal="right" wrapText="1"/>
    </xf>
    <xf numFmtId="165" fontId="0" fillId="0" borderId="50" xfId="1" applyFont="1" applyFill="1" applyBorder="1"/>
    <xf numFmtId="0" fontId="5" fillId="0" borderId="49" xfId="0" applyFont="1" applyFill="1" applyBorder="1" applyAlignment="1">
      <alignment horizontal="right"/>
    </xf>
    <xf numFmtId="0" fontId="0" fillId="0" borderId="50" xfId="0" applyFill="1" applyBorder="1"/>
    <xf numFmtId="0" fontId="0" fillId="0" borderId="49" xfId="0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2" fillId="0" borderId="49" xfId="0" applyFont="1" applyFill="1" applyBorder="1" applyAlignment="1">
      <alignment horizontal="right"/>
    </xf>
    <xf numFmtId="9" fontId="2" fillId="0" borderId="50" xfId="5" applyFont="1" applyFill="1" applyBorder="1"/>
    <xf numFmtId="0" fontId="2" fillId="0" borderId="53" xfId="0" applyFont="1" applyFill="1" applyBorder="1" applyAlignment="1">
      <alignment horizontal="right"/>
    </xf>
    <xf numFmtId="7" fontId="2" fillId="0" borderId="54" xfId="0" applyNumberFormat="1" applyFont="1" applyFill="1" applyBorder="1"/>
    <xf numFmtId="0" fontId="2" fillId="0" borderId="22" xfId="0" applyFont="1" applyFill="1" applyBorder="1"/>
    <xf numFmtId="164" fontId="1" fillId="0" borderId="16" xfId="2" applyFill="1" applyBorder="1" applyAlignment="1">
      <alignment horizontal="center"/>
    </xf>
    <xf numFmtId="164" fontId="1" fillId="0" borderId="21" xfId="2" applyFill="1" applyBorder="1" applyAlignment="1">
      <alignment horizontal="center"/>
    </xf>
    <xf numFmtId="0" fontId="2" fillId="0" borderId="55" xfId="0" applyFont="1" applyFill="1" applyBorder="1"/>
    <xf numFmtId="0" fontId="0" fillId="0" borderId="55" xfId="0" applyFill="1" applyBorder="1"/>
    <xf numFmtId="0" fontId="2" fillId="0" borderId="56" xfId="0" applyFont="1" applyFill="1" applyBorder="1"/>
    <xf numFmtId="164" fontId="2" fillId="4" borderId="18" xfId="2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>
      <alignment horizontal="center" wrapText="1"/>
    </xf>
    <xf numFmtId="0" fontId="2" fillId="0" borderId="23" xfId="0" applyFont="1" applyFill="1" applyBorder="1"/>
    <xf numFmtId="164" fontId="2" fillId="0" borderId="11" xfId="2" applyFont="1" applyFill="1" applyBorder="1" applyAlignment="1" applyProtection="1">
      <alignment horizontal="center"/>
      <protection locked="0"/>
    </xf>
    <xf numFmtId="164" fontId="1" fillId="0" borderId="15" xfId="2" applyFill="1" applyBorder="1" applyAlignment="1">
      <alignment horizontal="center"/>
    </xf>
    <xf numFmtId="164" fontId="1" fillId="0" borderId="6" xfId="2" applyFill="1" applyBorder="1" applyAlignment="1" applyProtection="1">
      <alignment horizontal="center"/>
      <protection locked="0"/>
    </xf>
    <xf numFmtId="164" fontId="2" fillId="0" borderId="6" xfId="2" applyFont="1" applyFill="1" applyBorder="1" applyAlignment="1" applyProtection="1">
      <alignment horizontal="center"/>
      <protection locked="0"/>
    </xf>
    <xf numFmtId="164" fontId="2" fillId="0" borderId="57" xfId="2" applyFont="1" applyFill="1" applyBorder="1" applyAlignment="1" applyProtection="1">
      <alignment horizontal="center"/>
      <protection locked="0"/>
    </xf>
    <xf numFmtId="164" fontId="1" fillId="0" borderId="6" xfId="2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164" fontId="10" fillId="0" borderId="1" xfId="2" applyFont="1" applyFill="1" applyBorder="1" applyAlignment="1" applyProtection="1">
      <alignment horizontal="center"/>
      <protection locked="0"/>
    </xf>
    <xf numFmtId="0" fontId="20" fillId="0" borderId="0" xfId="0" applyFont="1" applyFill="1"/>
    <xf numFmtId="0" fontId="21" fillId="0" borderId="0" xfId="0" applyFont="1" applyFill="1" applyBorder="1"/>
    <xf numFmtId="164" fontId="21" fillId="0" borderId="0" xfId="0" applyNumberFormat="1" applyFont="1" applyFill="1"/>
    <xf numFmtId="0" fontId="21" fillId="0" borderId="0" xfId="0" applyFont="1" applyFill="1"/>
    <xf numFmtId="170" fontId="2" fillId="0" borderId="2" xfId="2" applyNumberFormat="1" applyFont="1" applyFill="1" applyBorder="1" applyProtection="1">
      <protection locked="0"/>
    </xf>
    <xf numFmtId="0" fontId="0" fillId="0" borderId="0" xfId="0" applyFill="1" applyAlignment="1">
      <alignment horizontal="center" vertical="center"/>
    </xf>
    <xf numFmtId="0" fontId="0" fillId="6" borderId="0" xfId="0" applyFill="1"/>
    <xf numFmtId="0" fontId="2" fillId="7" borderId="0" xfId="0" applyFont="1" applyFill="1" applyAlignment="1">
      <alignment horizontal="center"/>
    </xf>
    <xf numFmtId="0" fontId="5" fillId="0" borderId="0" xfId="0" applyFont="1"/>
    <xf numFmtId="0" fontId="0" fillId="8" borderId="88" xfId="0" applyFill="1" applyBorder="1" applyAlignment="1">
      <alignment horizontal="center" vertical="center"/>
    </xf>
    <xf numFmtId="0" fontId="0" fillId="8" borderId="89" xfId="0" applyFill="1" applyBorder="1" applyAlignment="1">
      <alignment horizontal="center" vertical="center"/>
    </xf>
    <xf numFmtId="0" fontId="5" fillId="8" borderId="88" xfId="0" applyFont="1" applyFill="1" applyBorder="1" applyAlignment="1">
      <alignment horizontal="center" vertical="center"/>
    </xf>
    <xf numFmtId="2" fontId="0" fillId="6" borderId="0" xfId="0" applyNumberFormat="1" applyFill="1"/>
    <xf numFmtId="2" fontId="0" fillId="0" borderId="0" xfId="0" applyNumberFormat="1"/>
    <xf numFmtId="2" fontId="0" fillId="0" borderId="90" xfId="0" applyNumberFormat="1" applyFill="1" applyBorder="1" applyAlignment="1">
      <alignment horizontal="center" vertical="center"/>
    </xf>
    <xf numFmtId="2" fontId="0" fillId="0" borderId="91" xfId="0" applyNumberFormat="1" applyFill="1" applyBorder="1" applyAlignment="1">
      <alignment horizontal="center" vertical="center"/>
    </xf>
    <xf numFmtId="2" fontId="0" fillId="0" borderId="90" xfId="0" applyNumberFormat="1" applyBorder="1" applyAlignment="1">
      <alignment horizontal="center" vertical="center"/>
    </xf>
    <xf numFmtId="2" fontId="0" fillId="0" borderId="91" xfId="0" applyNumberFormat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7" borderId="90" xfId="0" applyNumberFormat="1" applyFill="1" applyBorder="1" applyAlignment="1">
      <alignment horizontal="center" vertical="center"/>
    </xf>
    <xf numFmtId="2" fontId="0" fillId="7" borderId="91" xfId="0" applyNumberFormat="1" applyFill="1" applyBorder="1" applyAlignment="1">
      <alignment horizontal="center" vertical="center"/>
    </xf>
    <xf numFmtId="2" fontId="5" fillId="0" borderId="0" xfId="0" applyNumberFormat="1" applyFont="1"/>
    <xf numFmtId="2" fontId="5" fillId="0" borderId="90" xfId="0" applyNumberFormat="1" applyFont="1" applyFill="1" applyBorder="1" applyAlignment="1">
      <alignment horizontal="center" vertical="center"/>
    </xf>
    <xf numFmtId="164" fontId="22" fillId="9" borderId="0" xfId="0" applyNumberFormat="1" applyFont="1" applyFill="1" applyAlignment="1">
      <alignment horizontal="center" vertical="center"/>
    </xf>
    <xf numFmtId="0" fontId="12" fillId="0" borderId="0" xfId="0" applyFont="1"/>
    <xf numFmtId="172" fontId="0" fillId="0" borderId="92" xfId="0" applyNumberFormat="1" applyFill="1" applyBorder="1" applyAlignment="1">
      <alignment horizontal="center" vertical="center"/>
    </xf>
    <xf numFmtId="172" fontId="0" fillId="0" borderId="93" xfId="0" applyNumberForma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0" fillId="0" borderId="0" xfId="2" applyFont="1" applyFill="1" applyAlignment="1">
      <alignment horizontal="center" vertical="center"/>
    </xf>
    <xf numFmtId="173" fontId="0" fillId="0" borderId="0" xfId="5" applyNumberFormat="1" applyFont="1" applyFill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44" fontId="0" fillId="0" borderId="0" xfId="0" applyNumberForma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164" fontId="22" fillId="1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4" fontId="5" fillId="0" borderId="0" xfId="2" applyFont="1" applyFill="1" applyAlignment="1">
      <alignment horizontal="center" vertical="center"/>
    </xf>
    <xf numFmtId="2" fontId="13" fillId="6" borderId="0" xfId="0" applyNumberFormat="1" applyFont="1" applyFill="1"/>
    <xf numFmtId="2" fontId="23" fillId="11" borderId="0" xfId="0" applyNumberFormat="1" applyFont="1" applyFill="1"/>
    <xf numFmtId="0" fontId="0" fillId="0" borderId="0" xfId="0" applyFill="1" applyAlignment="1">
      <alignment horizontal="left" vertical="center"/>
    </xf>
    <xf numFmtId="0" fontId="5" fillId="12" borderId="94" xfId="0" applyFont="1" applyFill="1" applyBorder="1" applyAlignment="1">
      <alignment horizontal="left" vertical="center"/>
    </xf>
    <xf numFmtId="0" fontId="5" fillId="12" borderId="95" xfId="0" applyFont="1" applyFill="1" applyBorder="1" applyAlignment="1">
      <alignment horizontal="left" vertical="center"/>
    </xf>
    <xf numFmtId="0" fontId="0" fillId="12" borderId="95" xfId="0" applyFill="1" applyBorder="1" applyAlignment="1">
      <alignment horizontal="left" vertical="center"/>
    </xf>
    <xf numFmtId="0" fontId="0" fillId="7" borderId="95" xfId="0" applyFill="1" applyBorder="1" applyAlignment="1">
      <alignment horizontal="left" vertical="center"/>
    </xf>
    <xf numFmtId="0" fontId="0" fillId="12" borderId="96" xfId="0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2" fillId="9" borderId="0" xfId="0" applyFont="1" applyFill="1" applyAlignment="1">
      <alignment horizontal="left" vertical="center"/>
    </xf>
    <xf numFmtId="0" fontId="22" fillId="10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169" fontId="0" fillId="7" borderId="0" xfId="0" applyNumberFormat="1" applyFill="1"/>
    <xf numFmtId="169" fontId="0" fillId="7" borderId="0" xfId="0" applyNumberFormat="1" applyFill="1" applyBorder="1"/>
    <xf numFmtId="0" fontId="5" fillId="10" borderId="0" xfId="0" applyFont="1" applyFill="1" applyBorder="1"/>
    <xf numFmtId="0" fontId="0" fillId="10" borderId="0" xfId="0" applyFill="1" applyBorder="1"/>
    <xf numFmtId="0" fontId="14" fillId="10" borderId="0" xfId="0" applyFont="1" applyFill="1" applyBorder="1" applyAlignment="1">
      <alignment wrapText="1"/>
    </xf>
    <xf numFmtId="0" fontId="0" fillId="10" borderId="0" xfId="0" applyFill="1"/>
    <xf numFmtId="0" fontId="5" fillId="10" borderId="0" xfId="0" applyFont="1" applyFill="1"/>
    <xf numFmtId="4" fontId="0" fillId="10" borderId="0" xfId="0" applyNumberFormat="1" applyFill="1"/>
    <xf numFmtId="174" fontId="0" fillId="10" borderId="0" xfId="0" applyNumberFormat="1" applyFill="1"/>
    <xf numFmtId="169" fontId="0" fillId="10" borderId="0" xfId="0" applyNumberFormat="1" applyFill="1"/>
    <xf numFmtId="175" fontId="0" fillId="10" borderId="0" xfId="0" applyNumberFormat="1" applyFill="1"/>
    <xf numFmtId="164" fontId="2" fillId="0" borderId="2" xfId="2" applyNumberFormat="1" applyFont="1" applyFill="1" applyBorder="1" applyProtection="1">
      <protection locked="0"/>
    </xf>
    <xf numFmtId="2" fontId="2" fillId="0" borderId="2" xfId="0" applyNumberFormat="1" applyFont="1" applyFill="1" applyBorder="1" applyProtection="1">
      <protection locked="0"/>
    </xf>
    <xf numFmtId="0" fontId="0" fillId="4" borderId="0" xfId="0" applyFill="1"/>
    <xf numFmtId="0" fontId="5" fillId="4" borderId="0" xfId="0" applyFont="1" applyFill="1"/>
    <xf numFmtId="10" fontId="0" fillId="10" borderId="0" xfId="0" applyNumberFormat="1" applyFill="1"/>
    <xf numFmtId="0" fontId="13" fillId="10" borderId="0" xfId="0" applyFont="1" applyFill="1"/>
    <xf numFmtId="0" fontId="2" fillId="10" borderId="0" xfId="0" applyFont="1" applyFill="1"/>
    <xf numFmtId="0" fontId="16" fillId="10" borderId="0" xfId="0" applyFont="1" applyFill="1"/>
    <xf numFmtId="169" fontId="5" fillId="10" borderId="0" xfId="0" applyNumberFormat="1" applyFont="1" applyFill="1"/>
    <xf numFmtId="0" fontId="14" fillId="10" borderId="0" xfId="0" applyFont="1" applyFill="1" applyAlignment="1">
      <alignment horizontal="center" vertical="center" wrapText="1"/>
    </xf>
    <xf numFmtId="0" fontId="14" fillId="10" borderId="0" xfId="0" applyFont="1" applyFill="1" applyAlignment="1">
      <alignment horizontal="center" vertical="center"/>
    </xf>
    <xf numFmtId="169" fontId="14" fillId="10" borderId="0" xfId="0" applyNumberFormat="1" applyFont="1" applyFill="1"/>
    <xf numFmtId="10" fontId="14" fillId="10" borderId="0" xfId="0" applyNumberFormat="1" applyFont="1" applyFill="1"/>
    <xf numFmtId="2" fontId="14" fillId="10" borderId="0" xfId="0" applyNumberFormat="1" applyFont="1" applyFill="1"/>
    <xf numFmtId="0" fontId="5" fillId="10" borderId="0" xfId="0" applyFont="1" applyFill="1" applyAlignment="1">
      <alignment horizontal="center"/>
    </xf>
    <xf numFmtId="0" fontId="14" fillId="10" borderId="0" xfId="0" applyFont="1" applyFill="1"/>
    <xf numFmtId="10" fontId="2" fillId="0" borderId="2" xfId="5" applyNumberFormat="1" applyFont="1" applyFill="1" applyBorder="1" applyProtection="1">
      <protection locked="0"/>
    </xf>
    <xf numFmtId="9" fontId="0" fillId="3" borderId="58" xfId="5" applyFont="1" applyFill="1" applyBorder="1" applyProtection="1">
      <protection locked="0"/>
    </xf>
    <xf numFmtId="9" fontId="0" fillId="3" borderId="59" xfId="5" applyFont="1" applyFill="1" applyBorder="1" applyProtection="1">
      <protection locked="0"/>
    </xf>
    <xf numFmtId="9" fontId="0" fillId="3" borderId="2" xfId="5" applyFont="1" applyFill="1" applyBorder="1" applyProtection="1">
      <protection locked="0"/>
    </xf>
    <xf numFmtId="0" fontId="2" fillId="0" borderId="60" xfId="0" applyFont="1" applyFill="1" applyBorder="1"/>
    <xf numFmtId="0" fontId="0" fillId="0" borderId="61" xfId="0" applyFill="1" applyBorder="1"/>
    <xf numFmtId="0" fontId="0" fillId="0" borderId="62" xfId="0" applyFill="1" applyBorder="1"/>
    <xf numFmtId="0" fontId="0" fillId="0" borderId="0" xfId="0" applyFill="1" applyBorder="1"/>
    <xf numFmtId="0" fontId="5" fillId="0" borderId="49" xfId="0" applyFont="1" applyFill="1" applyBorder="1"/>
    <xf numFmtId="10" fontId="0" fillId="0" borderId="2" xfId="5" applyNumberFormat="1" applyFont="1" applyFill="1" applyBorder="1" applyAlignment="1">
      <alignment horizontal="center" vertical="center"/>
    </xf>
    <xf numFmtId="164" fontId="0" fillId="0" borderId="2" xfId="2" applyFont="1" applyFill="1" applyBorder="1"/>
    <xf numFmtId="0" fontId="5" fillId="0" borderId="50" xfId="0" applyFont="1" applyFill="1" applyBorder="1"/>
    <xf numFmtId="0" fontId="2" fillId="0" borderId="49" xfId="0" applyFont="1" applyFill="1" applyBorder="1"/>
    <xf numFmtId="0" fontId="5" fillId="0" borderId="53" xfId="0" applyFont="1" applyFill="1" applyBorder="1"/>
    <xf numFmtId="0" fontId="0" fillId="0" borderId="63" xfId="0" applyFill="1" applyBorder="1"/>
    <xf numFmtId="0" fontId="5" fillId="0" borderId="63" xfId="0" applyFont="1" applyFill="1" applyBorder="1"/>
    <xf numFmtId="0" fontId="0" fillId="0" borderId="54" xfId="0" applyFill="1" applyBorder="1"/>
    <xf numFmtId="0" fontId="2" fillId="0" borderId="45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2" fillId="0" borderId="64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2" fillId="0" borderId="65" xfId="0" applyFont="1" applyFill="1" applyBorder="1" applyAlignment="1">
      <alignment horizontal="center"/>
    </xf>
    <xf numFmtId="15" fontId="5" fillId="0" borderId="6" xfId="0" applyNumberFormat="1" applyFont="1" applyFill="1" applyBorder="1" applyAlignment="1" applyProtection="1">
      <alignment horizontal="center"/>
      <protection locked="0"/>
    </xf>
    <xf numFmtId="0" fontId="2" fillId="0" borderId="66" xfId="0" applyFont="1" applyFill="1" applyBorder="1" applyAlignment="1">
      <alignment horizontal="right"/>
    </xf>
    <xf numFmtId="164" fontId="2" fillId="0" borderId="66" xfId="2" applyFont="1" applyFill="1" applyBorder="1" applyAlignment="1">
      <alignment horizontal="center"/>
    </xf>
    <xf numFmtId="164" fontId="2" fillId="0" borderId="67" xfId="2" applyFont="1" applyFill="1" applyBorder="1" applyAlignment="1" applyProtection="1">
      <alignment horizontal="center"/>
      <protection locked="0"/>
    </xf>
    <xf numFmtId="15" fontId="5" fillId="0" borderId="20" xfId="0" applyNumberFormat="1" applyFont="1" applyFill="1" applyBorder="1" applyAlignment="1" applyProtection="1">
      <alignment horizontal="center"/>
      <protection locked="0"/>
    </xf>
    <xf numFmtId="15" fontId="5" fillId="0" borderId="6" xfId="0" quotePrefix="1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/>
    </xf>
    <xf numFmtId="0" fontId="2" fillId="0" borderId="62" xfId="0" applyFont="1" applyFill="1" applyBorder="1"/>
    <xf numFmtId="0" fontId="2" fillId="0" borderId="53" xfId="0" applyFont="1" applyFill="1" applyBorder="1"/>
    <xf numFmtId="164" fontId="2" fillId="0" borderId="67" xfId="2" applyFont="1" applyFill="1" applyBorder="1" applyAlignment="1">
      <alignment horizontal="right"/>
    </xf>
    <xf numFmtId="164" fontId="5" fillId="0" borderId="68" xfId="2" applyFont="1" applyFill="1" applyBorder="1" applyAlignment="1" applyProtection="1">
      <alignment horizontal="center"/>
      <protection locked="0"/>
    </xf>
    <xf numFmtId="10" fontId="5" fillId="0" borderId="1" xfId="5" applyNumberFormat="1" applyFont="1" applyFill="1" applyBorder="1" applyAlignment="1" applyProtection="1">
      <alignment horizontal="center"/>
      <protection locked="0"/>
    </xf>
    <xf numFmtId="9" fontId="2" fillId="0" borderId="67" xfId="5" applyFont="1" applyFill="1" applyBorder="1" applyAlignment="1">
      <alignment horizontal="center"/>
    </xf>
    <xf numFmtId="49" fontId="0" fillId="0" borderId="0" xfId="0" applyNumberFormat="1" applyFill="1" applyAlignment="1">
      <alignment horizontal="center" vertical="center"/>
    </xf>
    <xf numFmtId="0" fontId="3" fillId="0" borderId="49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164" fontId="5" fillId="0" borderId="34" xfId="2" applyFont="1" applyFill="1" applyBorder="1" applyAlignment="1" applyProtection="1">
      <alignment horizontal="center"/>
      <protection locked="0"/>
    </xf>
    <xf numFmtId="164" fontId="2" fillId="0" borderId="28" xfId="2" applyFont="1" applyFill="1" applyBorder="1" applyAlignment="1" applyProtection="1">
      <alignment horizontal="center"/>
      <protection locked="0"/>
    </xf>
    <xf numFmtId="164" fontId="2" fillId="0" borderId="69" xfId="2" applyFont="1" applyFill="1" applyBorder="1" applyAlignment="1">
      <alignment horizontal="center"/>
    </xf>
    <xf numFmtId="164" fontId="2" fillId="0" borderId="65" xfId="2" applyFont="1" applyFill="1" applyBorder="1" applyAlignment="1">
      <alignment horizontal="center"/>
    </xf>
    <xf numFmtId="164" fontId="2" fillId="0" borderId="70" xfId="2" applyFont="1" applyFill="1" applyBorder="1" applyAlignment="1">
      <alignment horizontal="right"/>
    </xf>
    <xf numFmtId="164" fontId="2" fillId="0" borderId="71" xfId="2" applyFont="1" applyFill="1" applyBorder="1" applyAlignment="1">
      <alignment horizontal="right"/>
    </xf>
    <xf numFmtId="164" fontId="5" fillId="0" borderId="41" xfId="2" applyFont="1" applyFill="1" applyBorder="1" applyAlignment="1" applyProtection="1">
      <alignment horizontal="center"/>
      <protection locked="0"/>
    </xf>
    <xf numFmtId="0" fontId="0" fillId="0" borderId="72" xfId="0" applyFill="1" applyBorder="1"/>
    <xf numFmtId="0" fontId="0" fillId="0" borderId="72" xfId="0" applyFill="1" applyBorder="1" applyProtection="1"/>
    <xf numFmtId="164" fontId="1" fillId="0" borderId="34" xfId="2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Continuous"/>
    </xf>
    <xf numFmtId="0" fontId="2" fillId="0" borderId="73" xfId="0" applyFont="1" applyFill="1" applyBorder="1" applyAlignment="1" applyProtection="1">
      <alignment horizontal="center"/>
    </xf>
    <xf numFmtId="0" fontId="2" fillId="0" borderId="20" xfId="0" applyFont="1" applyFill="1" applyBorder="1" applyProtection="1"/>
    <xf numFmtId="164" fontId="0" fillId="0" borderId="13" xfId="2" applyFont="1" applyFill="1" applyBorder="1" applyProtection="1">
      <protection locked="0"/>
    </xf>
    <xf numFmtId="165" fontId="2" fillId="0" borderId="1" xfId="1" applyFont="1" applyFill="1" applyBorder="1" applyAlignment="1" applyProtection="1">
      <alignment horizontal="center"/>
      <protection locked="0"/>
    </xf>
    <xf numFmtId="165" fontId="2" fillId="0" borderId="5" xfId="1" applyFont="1" applyFill="1" applyBorder="1" applyAlignment="1" applyProtection="1">
      <alignment horizontal="center"/>
      <protection locked="0"/>
    </xf>
    <xf numFmtId="164" fontId="0" fillId="0" borderId="0" xfId="0" applyNumberFormat="1" applyFill="1" applyProtection="1"/>
    <xf numFmtId="0" fontId="2" fillId="0" borderId="72" xfId="0" applyFont="1" applyFill="1" applyBorder="1" applyProtection="1"/>
    <xf numFmtId="164" fontId="5" fillId="4" borderId="18" xfId="2" applyFont="1" applyFill="1" applyBorder="1" applyProtection="1">
      <protection locked="0"/>
    </xf>
    <xf numFmtId="164" fontId="2" fillId="4" borderId="19" xfId="2" applyFont="1" applyFill="1" applyBorder="1" applyAlignment="1" applyProtection="1">
      <alignment horizontal="center"/>
      <protection locked="0"/>
    </xf>
    <xf numFmtId="165" fontId="2" fillId="0" borderId="16" xfId="1" applyFont="1" applyFill="1" applyBorder="1" applyAlignment="1" applyProtection="1">
      <alignment horizontal="center"/>
      <protection locked="0"/>
    </xf>
    <xf numFmtId="165" fontId="2" fillId="0" borderId="1" xfId="1" applyFont="1" applyFill="1" applyBorder="1" applyProtection="1">
      <protection locked="0"/>
    </xf>
    <xf numFmtId="44" fontId="0" fillId="0" borderId="0" xfId="0" applyNumberFormat="1" applyFill="1" applyProtection="1"/>
    <xf numFmtId="164" fontId="2" fillId="13" borderId="19" xfId="2" applyFont="1" applyFill="1" applyBorder="1" applyAlignment="1" applyProtection="1">
      <alignment horizontal="center"/>
      <protection locked="0"/>
    </xf>
    <xf numFmtId="164" fontId="2" fillId="0" borderId="51" xfId="2" applyFont="1" applyFill="1" applyBorder="1" applyAlignment="1" applyProtection="1">
      <alignment horizontal="center"/>
      <protection locked="0"/>
    </xf>
    <xf numFmtId="164" fontId="1" fillId="0" borderId="49" xfId="2" applyFill="1" applyBorder="1" applyAlignment="1" applyProtection="1">
      <alignment horizontal="center"/>
      <protection locked="0"/>
    </xf>
    <xf numFmtId="164" fontId="1" fillId="0" borderId="97" xfId="2" applyFill="1" applyBorder="1" applyAlignment="1" applyProtection="1">
      <alignment horizontal="center"/>
      <protection locked="0"/>
    </xf>
    <xf numFmtId="164" fontId="1" fillId="0" borderId="98" xfId="2" applyFill="1" applyBorder="1" applyAlignment="1" applyProtection="1">
      <alignment horizontal="center"/>
      <protection locked="0"/>
    </xf>
    <xf numFmtId="2" fontId="0" fillId="0" borderId="2" xfId="0" applyNumberFormat="1" applyFill="1" applyBorder="1" applyProtection="1">
      <protection locked="0"/>
    </xf>
    <xf numFmtId="2" fontId="5" fillId="0" borderId="2" xfId="0" applyNumberFormat="1" applyFont="1" applyFill="1" applyBorder="1" applyProtection="1">
      <protection locked="0"/>
    </xf>
    <xf numFmtId="0" fontId="5" fillId="0" borderId="0" xfId="4" applyFont="1" applyFill="1" applyProtection="1"/>
    <xf numFmtId="0" fontId="5" fillId="0" borderId="0" xfId="3" applyFont="1" applyFill="1" applyProtection="1"/>
    <xf numFmtId="0" fontId="5" fillId="0" borderId="0" xfId="4" applyFill="1" applyProtection="1"/>
    <xf numFmtId="0" fontId="5" fillId="0" borderId="0" xfId="3" applyFont="1" applyFill="1" applyBorder="1" applyProtection="1"/>
    <xf numFmtId="0" fontId="5" fillId="0" borderId="0" xfId="3" applyFont="1" applyFill="1"/>
    <xf numFmtId="44" fontId="5" fillId="14" borderId="0" xfId="4" applyNumberFormat="1" applyFont="1" applyFill="1" applyProtection="1"/>
    <xf numFmtId="164" fontId="5" fillId="15" borderId="0" xfId="4" applyNumberFormat="1" applyFont="1" applyFill="1" applyProtection="1"/>
    <xf numFmtId="44" fontId="5" fillId="15" borderId="0" xfId="4" applyNumberFormat="1" applyFont="1" applyFill="1" applyProtection="1"/>
    <xf numFmtId="165" fontId="5" fillId="0" borderId="44" xfId="1" applyNumberFormat="1" applyFont="1" applyFill="1" applyBorder="1" applyAlignment="1">
      <alignment horizontal="center"/>
    </xf>
    <xf numFmtId="9" fontId="5" fillId="0" borderId="74" xfId="5" applyFont="1" applyFill="1" applyBorder="1" applyAlignment="1">
      <alignment horizontal="center"/>
    </xf>
    <xf numFmtId="9" fontId="5" fillId="0" borderId="75" xfId="5" applyFont="1" applyFill="1" applyBorder="1" applyAlignment="1">
      <alignment horizontal="center"/>
    </xf>
    <xf numFmtId="9" fontId="5" fillId="0" borderId="76" xfId="5" applyFont="1" applyFill="1" applyBorder="1" applyAlignment="1">
      <alignment horizontal="center"/>
    </xf>
    <xf numFmtId="0" fontId="2" fillId="0" borderId="77" xfId="4" applyFont="1" applyFill="1" applyBorder="1" applyAlignment="1">
      <alignment horizontal="center"/>
    </xf>
    <xf numFmtId="164" fontId="5" fillId="0" borderId="74" xfId="4" applyNumberFormat="1" applyFont="1" applyFill="1" applyBorder="1" applyAlignment="1">
      <alignment horizontal="center"/>
    </xf>
    <xf numFmtId="164" fontId="5" fillId="0" borderId="75" xfId="4" applyNumberFormat="1" applyFont="1" applyFill="1" applyBorder="1" applyAlignment="1">
      <alignment horizontal="center"/>
    </xf>
    <xf numFmtId="164" fontId="5" fillId="0" borderId="76" xfId="4" applyNumberFormat="1" applyFont="1" applyFill="1" applyBorder="1" applyAlignment="1">
      <alignment horizontal="center"/>
    </xf>
    <xf numFmtId="166" fontId="2" fillId="0" borderId="77" xfId="4" applyNumberFormat="1" applyFont="1" applyFill="1" applyBorder="1" applyAlignment="1">
      <alignment horizontal="center"/>
    </xf>
    <xf numFmtId="164" fontId="5" fillId="0" borderId="77" xfId="4" applyNumberFormat="1" applyFont="1" applyFill="1" applyBorder="1" applyAlignment="1">
      <alignment horizontal="center"/>
    </xf>
    <xf numFmtId="164" fontId="5" fillId="0" borderId="0" xfId="4" applyNumberFormat="1" applyFont="1" applyFill="1" applyBorder="1" applyAlignment="1">
      <alignment horizontal="center"/>
    </xf>
    <xf numFmtId="164" fontId="5" fillId="0" borderId="78" xfId="4" applyNumberFormat="1" applyFont="1" applyFill="1" applyBorder="1" applyAlignment="1">
      <alignment horizontal="center"/>
    </xf>
    <xf numFmtId="0" fontId="2" fillId="0" borderId="79" xfId="4" applyFont="1" applyFill="1" applyBorder="1" applyAlignment="1">
      <alignment horizontal="center"/>
    </xf>
    <xf numFmtId="164" fontId="5" fillId="0" borderId="79" xfId="4" applyNumberFormat="1" applyFill="1" applyBorder="1"/>
    <xf numFmtId="164" fontId="5" fillId="0" borderId="80" xfId="4" applyNumberFormat="1" applyFill="1" applyBorder="1"/>
    <xf numFmtId="164" fontId="5" fillId="0" borderId="81" xfId="4" applyNumberFormat="1" applyFill="1" applyBorder="1"/>
    <xf numFmtId="164" fontId="2" fillId="13" borderId="42" xfId="2" applyFont="1" applyFill="1" applyBorder="1" applyAlignment="1" applyProtection="1">
      <alignment horizontal="center"/>
      <protection locked="0"/>
    </xf>
    <xf numFmtId="10" fontId="17" fillId="16" borderId="2" xfId="5" applyNumberFormat="1" applyFont="1" applyFill="1" applyBorder="1" applyAlignment="1">
      <alignment horizontal="center" vertical="center"/>
    </xf>
    <xf numFmtId="0" fontId="2" fillId="0" borderId="82" xfId="0" applyFont="1" applyFill="1" applyBorder="1" applyAlignment="1" applyProtection="1">
      <alignment horizontal="right"/>
    </xf>
    <xf numFmtId="2" fontId="2" fillId="0" borderId="82" xfId="0" applyNumberFormat="1" applyFont="1" applyFill="1" applyBorder="1" applyProtection="1"/>
    <xf numFmtId="165" fontId="2" fillId="17" borderId="1" xfId="1" applyFont="1" applyFill="1" applyBorder="1" applyProtection="1">
      <protection locked="0"/>
    </xf>
    <xf numFmtId="164" fontId="2" fillId="17" borderId="18" xfId="2" applyFont="1" applyFill="1" applyBorder="1" applyProtection="1">
      <protection locked="0"/>
    </xf>
    <xf numFmtId="9" fontId="5" fillId="0" borderId="83" xfId="5" applyFont="1" applyFill="1" applyBorder="1" applyAlignment="1">
      <alignment horizontal="center"/>
    </xf>
    <xf numFmtId="9" fontId="5" fillId="0" borderId="84" xfId="5" applyFont="1" applyFill="1" applyBorder="1" applyAlignment="1">
      <alignment horizontal="center"/>
    </xf>
    <xf numFmtId="9" fontId="5" fillId="0" borderId="85" xfId="5" applyFont="1" applyFill="1" applyBorder="1" applyAlignment="1">
      <alignment horizontal="center"/>
    </xf>
    <xf numFmtId="164" fontId="5" fillId="0" borderId="83" xfId="4" applyNumberFormat="1" applyFill="1" applyBorder="1"/>
    <xf numFmtId="164" fontId="5" fillId="0" borderId="44" xfId="4" applyNumberFormat="1" applyFill="1" applyBorder="1"/>
    <xf numFmtId="164" fontId="24" fillId="0" borderId="0" xfId="0" applyNumberFormat="1" applyFont="1" applyFill="1" applyProtection="1"/>
    <xf numFmtId="44" fontId="24" fillId="0" borderId="0" xfId="0" applyNumberFormat="1" applyFont="1" applyFill="1" applyProtection="1"/>
    <xf numFmtId="0" fontId="24" fillId="0" borderId="0" xfId="0" applyFont="1" applyFill="1" applyProtection="1"/>
    <xf numFmtId="0" fontId="2" fillId="0" borderId="82" xfId="0" applyFont="1" applyFill="1" applyBorder="1" applyAlignment="1" applyProtection="1">
      <alignment horizontal="center"/>
    </xf>
    <xf numFmtId="9" fontId="2" fillId="0" borderId="82" xfId="5" applyFont="1" applyFill="1" applyBorder="1" applyAlignment="1" applyProtection="1">
      <alignment horizontal="center"/>
    </xf>
    <xf numFmtId="10" fontId="2" fillId="0" borderId="50" xfId="5" applyNumberFormat="1" applyFont="1" applyFill="1" applyBorder="1"/>
    <xf numFmtId="0" fontId="25" fillId="0" borderId="0" xfId="0" applyFont="1"/>
    <xf numFmtId="0" fontId="2" fillId="0" borderId="99" xfId="0" applyFont="1" applyBorder="1"/>
    <xf numFmtId="0" fontId="0" fillId="0" borderId="0" xfId="0" applyFont="1" applyAlignment="1">
      <alignment horizontal="right"/>
    </xf>
    <xf numFmtId="10" fontId="2" fillId="19" borderId="99" xfId="0" applyNumberFormat="1" applyFont="1" applyFill="1" applyBorder="1" applyAlignment="1">
      <alignment horizontal="center"/>
    </xf>
    <xf numFmtId="0" fontId="0" fillId="0" borderId="2" xfId="0" applyBorder="1"/>
    <xf numFmtId="0" fontId="1" fillId="10" borderId="0" xfId="0" applyFont="1" applyFill="1"/>
    <xf numFmtId="8" fontId="0" fillId="10" borderId="0" xfId="0" applyNumberFormat="1" applyFill="1"/>
    <xf numFmtId="0" fontId="0" fillId="10" borderId="63" xfId="0" applyFill="1" applyBorder="1"/>
    <xf numFmtId="4" fontId="0" fillId="10" borderId="62" xfId="0" applyNumberFormat="1" applyFill="1" applyBorder="1"/>
    <xf numFmtId="4" fontId="0" fillId="10" borderId="50" xfId="0" applyNumberFormat="1" applyFill="1" applyBorder="1"/>
    <xf numFmtId="0" fontId="0" fillId="10" borderId="50" xfId="0" applyFill="1" applyBorder="1"/>
    <xf numFmtId="174" fontId="0" fillId="10" borderId="50" xfId="0" applyNumberFormat="1" applyFill="1" applyBorder="1"/>
    <xf numFmtId="169" fontId="0" fillId="7" borderId="50" xfId="0" applyNumberFormat="1" applyFill="1" applyBorder="1"/>
    <xf numFmtId="169" fontId="0" fillId="10" borderId="50" xfId="0" applyNumberFormat="1" applyFill="1" applyBorder="1"/>
    <xf numFmtId="4" fontId="0" fillId="10" borderId="58" xfId="0" applyNumberFormat="1" applyFill="1" applyBorder="1"/>
    <xf numFmtId="4" fontId="0" fillId="10" borderId="38" xfId="0" applyNumberFormat="1" applyFill="1" applyBorder="1"/>
    <xf numFmtId="0" fontId="0" fillId="10" borderId="38" xfId="0" applyFill="1" applyBorder="1"/>
    <xf numFmtId="174" fontId="0" fillId="10" borderId="38" xfId="0" applyNumberFormat="1" applyFill="1" applyBorder="1"/>
    <xf numFmtId="169" fontId="0" fillId="7" borderId="38" xfId="0" applyNumberFormat="1" applyFill="1" applyBorder="1"/>
    <xf numFmtId="169" fontId="0" fillId="10" borderId="38" xfId="0" applyNumberFormat="1" applyFill="1" applyBorder="1"/>
    <xf numFmtId="0" fontId="0" fillId="10" borderId="103" xfId="0" applyFill="1" applyBorder="1"/>
    <xf numFmtId="0" fontId="0" fillId="10" borderId="105" xfId="0" applyFill="1" applyBorder="1"/>
    <xf numFmtId="0" fontId="0" fillId="21" borderId="0" xfId="0" applyFill="1"/>
    <xf numFmtId="0" fontId="0" fillId="21" borderId="104" xfId="0" applyFill="1" applyBorder="1"/>
    <xf numFmtId="0" fontId="5" fillId="21" borderId="0" xfId="0" applyFont="1" applyFill="1" applyBorder="1"/>
    <xf numFmtId="0" fontId="0" fillId="21" borderId="0" xfId="0" applyFill="1" applyBorder="1"/>
    <xf numFmtId="2" fontId="0" fillId="21" borderId="50" xfId="0" applyNumberFormat="1" applyFill="1" applyBorder="1"/>
    <xf numFmtId="2" fontId="0" fillId="21" borderId="38" xfId="0" applyNumberFormat="1" applyFill="1" applyBorder="1"/>
    <xf numFmtId="2" fontId="0" fillId="21" borderId="0" xfId="0" applyNumberFormat="1" applyFill="1" applyBorder="1"/>
    <xf numFmtId="0" fontId="14" fillId="21" borderId="0" xfId="0" applyFont="1" applyFill="1" applyBorder="1" applyAlignment="1">
      <alignment wrapText="1"/>
    </xf>
    <xf numFmtId="164" fontId="0" fillId="0" borderId="57" xfId="2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176" fontId="0" fillId="0" borderId="1" xfId="1" applyNumberFormat="1" applyFont="1" applyFill="1" applyBorder="1" applyProtection="1">
      <protection locked="0"/>
    </xf>
    <xf numFmtId="176" fontId="0" fillId="0" borderId="1" xfId="1" applyNumberFormat="1" applyFont="1" applyFill="1" applyBorder="1" applyAlignment="1">
      <alignment horizontal="center"/>
    </xf>
    <xf numFmtId="176" fontId="0" fillId="0" borderId="1" xfId="0" applyNumberFormat="1" applyFill="1" applyBorder="1"/>
    <xf numFmtId="171" fontId="0" fillId="10" borderId="0" xfId="0" applyNumberFormat="1" applyFill="1"/>
    <xf numFmtId="0" fontId="1" fillId="21" borderId="0" xfId="0" applyFont="1" applyFill="1" applyBorder="1"/>
    <xf numFmtId="0" fontId="0" fillId="10" borderId="0" xfId="0" applyFill="1" applyAlignment="1">
      <alignment horizontal="left"/>
    </xf>
    <xf numFmtId="0" fontId="13" fillId="0" borderId="0" xfId="0" applyFont="1" applyFill="1"/>
    <xf numFmtId="0" fontId="26" fillId="0" borderId="0" xfId="0" applyFont="1" applyFill="1"/>
    <xf numFmtId="0" fontId="0" fillId="0" borderId="0" xfId="0" applyFill="1" applyAlignment="1">
      <alignment horizontal="center"/>
    </xf>
    <xf numFmtId="0" fontId="26" fillId="0" borderId="0" xfId="0" applyFont="1" applyFill="1" applyAlignment="1">
      <alignment horizontal="left"/>
    </xf>
    <xf numFmtId="169" fontId="2" fillId="0" borderId="0" xfId="0" applyNumberFormat="1" applyFont="1" applyFill="1"/>
    <xf numFmtId="169" fontId="0" fillId="0" borderId="0" xfId="0" applyNumberFormat="1" applyFill="1"/>
    <xf numFmtId="164" fontId="19" fillId="0" borderId="0" xfId="2" applyFont="1" applyFill="1" applyBorder="1" applyProtection="1">
      <protection locked="0"/>
    </xf>
    <xf numFmtId="164" fontId="7" fillId="22" borderId="10" xfId="2" applyFont="1" applyFill="1" applyBorder="1" applyAlignment="1" applyProtection="1">
      <protection locked="0"/>
    </xf>
    <xf numFmtId="164" fontId="7" fillId="22" borderId="26" xfId="2" applyFont="1" applyFill="1" applyBorder="1" applyAlignment="1" applyProtection="1">
      <protection locked="0"/>
    </xf>
    <xf numFmtId="164" fontId="7" fillId="22" borderId="11" xfId="2" applyFont="1" applyFill="1" applyBorder="1" applyAlignment="1" applyProtection="1">
      <protection locked="0"/>
    </xf>
    <xf numFmtId="0" fontId="1" fillId="0" borderId="6" xfId="0" quotePrefix="1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/>
    <xf numFmtId="177" fontId="0" fillId="7" borderId="0" xfId="0" applyNumberFormat="1" applyFill="1"/>
    <xf numFmtId="0" fontId="4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164" fontId="0" fillId="0" borderId="0" xfId="2" applyFont="1" applyFill="1" applyBorder="1" applyAlignment="1" applyProtection="1">
      <alignment horizontal="center"/>
      <protection locked="0"/>
    </xf>
    <xf numFmtId="164" fontId="0" fillId="0" borderId="0" xfId="2" applyFont="1" applyFill="1" applyBorder="1" applyAlignment="1" applyProtection="1">
      <protection locked="0"/>
    </xf>
    <xf numFmtId="164" fontId="10" fillId="0" borderId="0" xfId="2" applyFont="1" applyFill="1" applyBorder="1" applyAlignment="1" applyProtection="1">
      <alignment horizontal="center"/>
      <protection locked="0"/>
    </xf>
    <xf numFmtId="164" fontId="2" fillId="0" borderId="0" xfId="2" applyFont="1" applyFill="1" applyBorder="1" applyAlignment="1" applyProtection="1">
      <alignment horizontal="center"/>
      <protection locked="0"/>
    </xf>
    <xf numFmtId="166" fontId="0" fillId="0" borderId="0" xfId="0" applyNumberFormat="1" applyFill="1" applyBorder="1"/>
    <xf numFmtId="10" fontId="7" fillId="0" borderId="0" xfId="5" applyNumberFormat="1" applyFont="1" applyFill="1" applyBorder="1" applyAlignment="1" applyProtection="1">
      <alignment horizontal="center"/>
      <protection locked="0"/>
    </xf>
    <xf numFmtId="164" fontId="10" fillId="0" borderId="5" xfId="2" applyFont="1" applyFill="1" applyBorder="1" applyAlignment="1" applyProtection="1">
      <alignment horizontal="center"/>
      <protection locked="0"/>
    </xf>
    <xf numFmtId="166" fontId="0" fillId="0" borderId="9" xfId="0" applyNumberFormat="1" applyFill="1" applyBorder="1" applyAlignment="1">
      <alignment horizontal="center"/>
    </xf>
    <xf numFmtId="0" fontId="2" fillId="0" borderId="24" xfId="0" applyFont="1" applyFill="1" applyBorder="1" applyAlignment="1"/>
    <xf numFmtId="0" fontId="2" fillId="0" borderId="0" xfId="0" applyFont="1" applyFill="1" applyBorder="1" applyAlignment="1"/>
    <xf numFmtId="0" fontId="0" fillId="0" borderId="0" xfId="0" quotePrefix="1" applyFill="1" applyBorder="1" applyAlignment="1">
      <alignment horizontal="center"/>
    </xf>
    <xf numFmtId="164" fontId="0" fillId="0" borderId="0" xfId="2" applyFont="1" applyFill="1" applyBorder="1" applyProtection="1">
      <protection locked="0"/>
    </xf>
    <xf numFmtId="0" fontId="0" fillId="0" borderId="106" xfId="0" applyFill="1" applyBorder="1" applyAlignment="1">
      <alignment horizontal="center"/>
    </xf>
    <xf numFmtId="164" fontId="0" fillId="0" borderId="24" xfId="2" applyFont="1" applyFill="1" applyBorder="1" applyAlignment="1" applyProtection="1">
      <alignment horizontal="center"/>
      <protection locked="0"/>
    </xf>
    <xf numFmtId="164" fontId="0" fillId="0" borderId="57" xfId="2" applyFont="1" applyFill="1" applyBorder="1" applyProtection="1">
      <protection locked="0"/>
    </xf>
    <xf numFmtId="164" fontId="2" fillId="0" borderId="42" xfId="2" applyFont="1" applyFill="1" applyBorder="1" applyAlignment="1" applyProtection="1">
      <alignment horizontal="center"/>
      <protection locked="0"/>
    </xf>
    <xf numFmtId="0" fontId="2" fillId="0" borderId="57" xfId="0" applyFont="1" applyFill="1" applyBorder="1" applyAlignment="1">
      <alignment horizontal="center"/>
    </xf>
    <xf numFmtId="0" fontId="0" fillId="0" borderId="9" xfId="0" quotePrefix="1" applyFill="1" applyBorder="1" applyAlignment="1">
      <alignment horizontal="center"/>
    </xf>
    <xf numFmtId="164" fontId="0" fillId="0" borderId="19" xfId="2" applyFont="1" applyFill="1" applyBorder="1" applyAlignment="1" applyProtection="1">
      <alignment horizontal="center"/>
      <protection locked="0"/>
    </xf>
    <xf numFmtId="167" fontId="2" fillId="0" borderId="0" xfId="0" applyNumberFormat="1" applyFont="1" applyFill="1" applyBorder="1" applyAlignment="1"/>
    <xf numFmtId="9" fontId="7" fillId="0" borderId="0" xfId="5" applyFont="1" applyFill="1" applyBorder="1" applyAlignment="1" applyProtection="1">
      <alignment horizontal="center"/>
      <protection locked="0"/>
    </xf>
    <xf numFmtId="0" fontId="3" fillId="0" borderId="41" xfId="0" applyFont="1" applyFill="1" applyBorder="1" applyAlignment="1"/>
    <xf numFmtId="0" fontId="3" fillId="0" borderId="23" xfId="0" applyFont="1" applyFill="1" applyBorder="1" applyAlignment="1"/>
    <xf numFmtId="0" fontId="3" fillId="0" borderId="24" xfId="0" applyFont="1" applyFill="1" applyBorder="1" applyAlignment="1"/>
    <xf numFmtId="164" fontId="0" fillId="0" borderId="0" xfId="2" applyFon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165" fontId="5" fillId="0" borderId="0" xfId="1" applyFont="1" applyFill="1" applyBorder="1" applyAlignment="1" applyProtection="1">
      <alignment horizontal="center"/>
      <protection locked="0"/>
    </xf>
    <xf numFmtId="164" fontId="5" fillId="0" borderId="0" xfId="2" applyFont="1" applyFill="1" applyBorder="1" applyAlignment="1" applyProtection="1">
      <alignment horizontal="center"/>
      <protection locked="0"/>
    </xf>
    <xf numFmtId="4" fontId="2" fillId="0" borderId="0" xfId="2" applyNumberFormat="1" applyFont="1" applyFill="1" applyBorder="1" applyAlignment="1" applyProtection="1">
      <alignment horizontal="center"/>
      <protection locked="0"/>
    </xf>
    <xf numFmtId="164" fontId="2" fillId="0" borderId="0" xfId="2" applyFont="1" applyFill="1" applyBorder="1" applyAlignment="1">
      <alignment horizontal="center"/>
    </xf>
    <xf numFmtId="9" fontId="0" fillId="0" borderId="0" xfId="5" applyFont="1" applyFill="1" applyBorder="1" applyProtection="1">
      <protection locked="0"/>
    </xf>
    <xf numFmtId="9" fontId="0" fillId="0" borderId="0" xfId="5" applyFont="1" applyFill="1" applyBorder="1"/>
    <xf numFmtId="164" fontId="0" fillId="0" borderId="0" xfId="5" applyNumberFormat="1" applyFont="1" applyFill="1" applyBorder="1" applyProtection="1">
      <protection locked="0"/>
    </xf>
    <xf numFmtId="164" fontId="0" fillId="0" borderId="0" xfId="2" applyFont="1" applyFill="1" applyBorder="1"/>
    <xf numFmtId="164" fontId="5" fillId="0" borderId="0" xfId="2" applyFont="1" applyFill="1" applyBorder="1" applyProtection="1">
      <protection locked="0"/>
    </xf>
    <xf numFmtId="164" fontId="0" fillId="0" borderId="72" xfId="2" applyFont="1" applyFill="1" applyBorder="1" applyProtection="1">
      <protection locked="0"/>
    </xf>
    <xf numFmtId="164" fontId="0" fillId="0" borderId="72" xfId="2" applyFont="1" applyFill="1" applyBorder="1"/>
    <xf numFmtId="0" fontId="4" fillId="0" borderId="0" xfId="0" applyFont="1" applyFill="1" applyBorder="1" applyAlignment="1">
      <alignment horizontal="center"/>
    </xf>
    <xf numFmtId="164" fontId="1" fillId="0" borderId="0" xfId="2" applyFill="1" applyBorder="1" applyAlignment="1">
      <alignment horizontal="center"/>
    </xf>
    <xf numFmtId="164" fontId="1" fillId="0" borderId="0" xfId="2" applyFill="1" applyBorder="1" applyAlignment="1" applyProtection="1">
      <alignment horizontal="center"/>
      <protection locked="0"/>
    </xf>
    <xf numFmtId="0" fontId="2" fillId="0" borderId="106" xfId="0" applyFont="1" applyFill="1" applyBorder="1" applyAlignment="1">
      <alignment horizontal="center"/>
    </xf>
    <xf numFmtId="164" fontId="1" fillId="0" borderId="24" xfId="2" applyFill="1" applyBorder="1" applyAlignment="1">
      <alignment horizontal="center"/>
    </xf>
    <xf numFmtId="164" fontId="1" fillId="0" borderId="57" xfId="2" applyFill="1" applyBorder="1" applyAlignment="1" applyProtection="1">
      <alignment horizontal="center"/>
      <protection locked="0"/>
    </xf>
    <xf numFmtId="164" fontId="1" fillId="0" borderId="57" xfId="2" applyFill="1" applyBorder="1" applyAlignment="1">
      <alignment horizontal="center"/>
    </xf>
    <xf numFmtId="4" fontId="2" fillId="0" borderId="1" xfId="2" applyNumberFormat="1" applyFont="1" applyFill="1" applyBorder="1" applyAlignment="1" applyProtection="1">
      <alignment horizontal="center"/>
      <protection locked="0"/>
    </xf>
    <xf numFmtId="0" fontId="15" fillId="10" borderId="83" xfId="0" applyFont="1" applyFill="1" applyBorder="1" applyAlignment="1">
      <alignment horizontal="center"/>
    </xf>
    <xf numFmtId="0" fontId="15" fillId="10" borderId="84" xfId="0" applyFont="1" applyFill="1" applyBorder="1" applyAlignment="1">
      <alignment horizontal="center"/>
    </xf>
    <xf numFmtId="0" fontId="15" fillId="10" borderId="85" xfId="0" applyFont="1" applyFill="1" applyBorder="1" applyAlignment="1">
      <alignment horizontal="center"/>
    </xf>
    <xf numFmtId="0" fontId="4" fillId="18" borderId="83" xfId="0" applyFont="1" applyFill="1" applyBorder="1" applyAlignment="1">
      <alignment horizontal="center"/>
    </xf>
    <xf numFmtId="0" fontId="4" fillId="18" borderId="84" xfId="0" applyFont="1" applyFill="1" applyBorder="1" applyAlignment="1">
      <alignment horizontal="center"/>
    </xf>
    <xf numFmtId="0" fontId="2" fillId="10" borderId="0" xfId="0" applyFont="1" applyFill="1" applyAlignment="1">
      <alignment horizontal="center"/>
    </xf>
    <xf numFmtId="0" fontId="2" fillId="10" borderId="83" xfId="0" applyFont="1" applyFill="1" applyBorder="1" applyAlignment="1">
      <alignment horizontal="center"/>
    </xf>
    <xf numFmtId="0" fontId="2" fillId="10" borderId="84" xfId="0" applyFont="1" applyFill="1" applyBorder="1" applyAlignment="1">
      <alignment horizontal="center"/>
    </xf>
    <xf numFmtId="0" fontId="2" fillId="10" borderId="85" xfId="0" applyFont="1" applyFill="1" applyBorder="1" applyAlignment="1">
      <alignment horizontal="center"/>
    </xf>
    <xf numFmtId="0" fontId="2" fillId="21" borderId="83" xfId="0" applyFont="1" applyFill="1" applyBorder="1" applyAlignment="1">
      <alignment horizontal="center"/>
    </xf>
    <xf numFmtId="0" fontId="2" fillId="21" borderId="84" xfId="0" applyFont="1" applyFill="1" applyBorder="1" applyAlignment="1">
      <alignment horizontal="center"/>
    </xf>
    <xf numFmtId="0" fontId="2" fillId="21" borderId="85" xfId="0" applyFont="1" applyFill="1" applyBorder="1" applyAlignment="1">
      <alignment horizontal="center"/>
    </xf>
    <xf numFmtId="0" fontId="4" fillId="18" borderId="85" xfId="0" applyFont="1" applyFill="1" applyBorder="1" applyAlignment="1">
      <alignment horizontal="center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20" borderId="100" xfId="0" applyFill="1" applyBorder="1" applyAlignment="1" applyProtection="1">
      <alignment horizontal="left"/>
      <protection locked="0"/>
    </xf>
    <xf numFmtId="0" fontId="0" fillId="20" borderId="101" xfId="0" applyFill="1" applyBorder="1" applyAlignment="1" applyProtection="1">
      <alignment horizontal="left"/>
      <protection locked="0"/>
    </xf>
    <xf numFmtId="0" fontId="0" fillId="20" borderId="102" xfId="0" applyFill="1" applyBorder="1" applyAlignment="1" applyProtection="1">
      <alignment horizontal="left"/>
      <protection locked="0"/>
    </xf>
    <xf numFmtId="0" fontId="2" fillId="0" borderId="16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57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164" fontId="0" fillId="0" borderId="10" xfId="2" applyFont="1" applyFill="1" applyBorder="1" applyAlignment="1" applyProtection="1">
      <alignment horizontal="center"/>
      <protection locked="0"/>
    </xf>
    <xf numFmtId="164" fontId="0" fillId="0" borderId="26" xfId="2" applyFont="1" applyFill="1" applyBorder="1" applyAlignment="1" applyProtection="1">
      <alignment horizontal="center"/>
      <protection locked="0"/>
    </xf>
    <xf numFmtId="164" fontId="0" fillId="0" borderId="57" xfId="2" applyFont="1" applyFill="1" applyBorder="1" applyAlignment="1" applyProtection="1">
      <alignment horizontal="center"/>
      <protection locked="0"/>
    </xf>
    <xf numFmtId="0" fontId="2" fillId="0" borderId="41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57" xfId="0" applyFont="1" applyFill="1" applyBorder="1" applyAlignment="1">
      <alignment horizontal="center"/>
    </xf>
    <xf numFmtId="167" fontId="2" fillId="0" borderId="41" xfId="0" applyNumberFormat="1" applyFont="1" applyFill="1" applyBorder="1" applyAlignment="1">
      <alignment horizontal="center"/>
    </xf>
    <xf numFmtId="167" fontId="2" fillId="0" borderId="23" xfId="0" applyNumberFormat="1" applyFont="1" applyFill="1" applyBorder="1" applyAlignment="1">
      <alignment horizontal="center"/>
    </xf>
    <xf numFmtId="167" fontId="2" fillId="0" borderId="24" xfId="0" applyNumberFormat="1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horizontal="center"/>
    </xf>
    <xf numFmtId="0" fontId="4" fillId="0" borderId="66" xfId="0" applyFont="1" applyFill="1" applyBorder="1" applyAlignment="1">
      <alignment horizontal="center"/>
    </xf>
    <xf numFmtId="0" fontId="4" fillId="0" borderId="87" xfId="0" applyFont="1" applyFill="1" applyBorder="1" applyAlignment="1">
      <alignment horizontal="center"/>
    </xf>
    <xf numFmtId="0" fontId="4" fillId="0" borderId="22" xfId="0" applyFont="1" applyFill="1" applyBorder="1" applyAlignment="1" applyProtection="1">
      <alignment horizontal="center"/>
    </xf>
    <xf numFmtId="0" fontId="4" fillId="0" borderId="23" xfId="0" applyFont="1" applyFill="1" applyBorder="1" applyAlignment="1" applyProtection="1">
      <alignment horizontal="center"/>
    </xf>
    <xf numFmtId="0" fontId="4" fillId="0" borderId="24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right"/>
    </xf>
    <xf numFmtId="0" fontId="1" fillId="0" borderId="0" xfId="0" applyFont="1" applyFill="1" applyBorder="1"/>
    <xf numFmtId="0" fontId="1" fillId="0" borderId="49" xfId="0" applyFont="1" applyFill="1" applyBorder="1"/>
    <xf numFmtId="15" fontId="1" fillId="0" borderId="15" xfId="0" applyNumberFormat="1" applyFont="1" applyFill="1" applyBorder="1" applyAlignment="1" applyProtection="1">
      <alignment horizontal="center"/>
      <protection locked="0"/>
    </xf>
    <xf numFmtId="15" fontId="1" fillId="0" borderId="20" xfId="0" applyNumberFormat="1" applyFont="1" applyFill="1" applyBorder="1" applyAlignment="1" applyProtection="1">
      <alignment horizontal="center"/>
      <protection locked="0"/>
    </xf>
    <xf numFmtId="15" fontId="1" fillId="0" borderId="6" xfId="0" applyNumberFormat="1" applyFont="1" applyFill="1" applyBorder="1" applyAlignment="1" applyProtection="1">
      <alignment horizontal="center"/>
      <protection locked="0"/>
    </xf>
    <xf numFmtId="15" fontId="1" fillId="0" borderId="6" xfId="0" quotePrefix="1" applyNumberFormat="1" applyFont="1" applyFill="1" applyBorder="1" applyAlignment="1" applyProtection="1">
      <alignment horizontal="center"/>
      <protection locked="0"/>
    </xf>
    <xf numFmtId="49" fontId="1" fillId="0" borderId="15" xfId="0" applyNumberFormat="1" applyFont="1" applyFill="1" applyBorder="1" applyAlignment="1" applyProtection="1">
      <alignment horizontal="center" vertical="center"/>
      <protection locked="0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49" fontId="1" fillId="0" borderId="17" xfId="0" applyNumberFormat="1" applyFont="1" applyFill="1" applyBorder="1" applyAlignment="1" applyProtection="1">
      <alignment horizontal="center" vertical="center"/>
      <protection locked="0"/>
    </xf>
  </cellXfs>
  <cellStyles count="6">
    <cellStyle name="Millares" xfId="1" builtinId="3"/>
    <cellStyle name="Moneda" xfId="2" builtinId="4"/>
    <cellStyle name="Normal" xfId="0" builtinId="0"/>
    <cellStyle name="Normal 2 2" xfId="3"/>
    <cellStyle name="Normal 3" xfId="4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Punto de Equilibrio Año 1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'E-Costos'!$A$149</c:f>
              <c:strCache>
                <c:ptCount val="1"/>
                <c:pt idx="0">
                  <c:v>CVT</c:v>
                </c:pt>
              </c:strCache>
            </c:strRef>
          </c:tx>
          <c:marker>
            <c:symbol val="none"/>
          </c:marker>
          <c:xVal>
            <c:numRef>
              <c:f>'E-Costos'!$C$148:$M$148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'E-Costos'!$C$149:$M$149</c:f>
              <c:numCache>
                <c:formatCode>_("$"* #,##0.00_);_("$"* \(#,##0.00\);_("$"* "-"??_);_(@_)</c:formatCode>
                <c:ptCount val="11"/>
                <c:pt idx="0">
                  <c:v>0</c:v>
                </c:pt>
                <c:pt idx="1">
                  <c:v>319826.54947401624</c:v>
                </c:pt>
                <c:pt idx="2">
                  <c:v>639653.09894803248</c:v>
                </c:pt>
                <c:pt idx="3">
                  <c:v>959479.64842204854</c:v>
                </c:pt>
                <c:pt idx="4">
                  <c:v>1279306.197896065</c:v>
                </c:pt>
                <c:pt idx="5">
                  <c:v>1599132.747370081</c:v>
                </c:pt>
                <c:pt idx="6">
                  <c:v>1918959.2968440971</c:v>
                </c:pt>
                <c:pt idx="7">
                  <c:v>2238785.8463181132</c:v>
                </c:pt>
                <c:pt idx="8">
                  <c:v>2558612.3957921299</c:v>
                </c:pt>
                <c:pt idx="9">
                  <c:v>2878438.9452661457</c:v>
                </c:pt>
                <c:pt idx="10">
                  <c:v>3198265.494740162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'E-Costos'!$A$150</c:f>
              <c:strCache>
                <c:ptCount val="1"/>
                <c:pt idx="0">
                  <c:v>CFT</c:v>
                </c:pt>
              </c:strCache>
            </c:strRef>
          </c:tx>
          <c:marker>
            <c:symbol val="none"/>
          </c:marker>
          <c:xVal>
            <c:numRef>
              <c:f>'E-Costos'!$C$148:$M$148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'E-Costos'!$C$150:$M$150</c:f>
              <c:numCache>
                <c:formatCode>_("$"* #,##0.00_);_("$"* \(#,##0.00\);_("$"* "-"??_);_(@_)</c:formatCode>
                <c:ptCount val="11"/>
                <c:pt idx="0">
                  <c:v>3749462.499983211</c:v>
                </c:pt>
                <c:pt idx="1">
                  <c:v>3749462.499983211</c:v>
                </c:pt>
                <c:pt idx="2">
                  <c:v>3749462.499983211</c:v>
                </c:pt>
                <c:pt idx="3">
                  <c:v>3749462.499983211</c:v>
                </c:pt>
                <c:pt idx="4">
                  <c:v>3749462.499983211</c:v>
                </c:pt>
                <c:pt idx="5">
                  <c:v>3749462.499983211</c:v>
                </c:pt>
                <c:pt idx="6">
                  <c:v>3749462.499983211</c:v>
                </c:pt>
                <c:pt idx="7">
                  <c:v>3749462.499983211</c:v>
                </c:pt>
                <c:pt idx="8">
                  <c:v>3749462.499983211</c:v>
                </c:pt>
                <c:pt idx="9">
                  <c:v>3749462.499983211</c:v>
                </c:pt>
                <c:pt idx="10">
                  <c:v>3749462.499983211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'E-Costos'!$A$152</c:f>
              <c:strCache>
                <c:ptCount val="1"/>
                <c:pt idx="0">
                  <c:v>VENTAS</c:v>
                </c:pt>
              </c:strCache>
            </c:strRef>
          </c:tx>
          <c:marker>
            <c:symbol val="none"/>
          </c:marker>
          <c:xVal>
            <c:numRef>
              <c:f>'E-Costos'!$C$148:$M$148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'E-Costos'!$C$152:$M$152</c:f>
              <c:numCache>
                <c:formatCode>_("$"* #,##0.00_);_("$"* \(#,##0.00\);_("$"* "-"??_);_(@_)</c:formatCode>
                <c:ptCount val="11"/>
                <c:pt idx="0">
                  <c:v>0</c:v>
                </c:pt>
                <c:pt idx="1">
                  <c:v>1120000</c:v>
                </c:pt>
                <c:pt idx="2">
                  <c:v>2240000</c:v>
                </c:pt>
                <c:pt idx="3">
                  <c:v>3360000</c:v>
                </c:pt>
                <c:pt idx="4">
                  <c:v>4480000</c:v>
                </c:pt>
                <c:pt idx="5">
                  <c:v>5600000</c:v>
                </c:pt>
                <c:pt idx="6">
                  <c:v>6720000</c:v>
                </c:pt>
                <c:pt idx="7">
                  <c:v>7839999.9999999991</c:v>
                </c:pt>
                <c:pt idx="8">
                  <c:v>8960000</c:v>
                </c:pt>
                <c:pt idx="9">
                  <c:v>10080000</c:v>
                </c:pt>
                <c:pt idx="10">
                  <c:v>11200000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'E-Costos'!$A$151</c:f>
              <c:strCache>
                <c:ptCount val="1"/>
                <c:pt idx="0">
                  <c:v>CT</c:v>
                </c:pt>
              </c:strCache>
            </c:strRef>
          </c:tx>
          <c:marker>
            <c:symbol val="none"/>
          </c:marker>
          <c:xVal>
            <c:numRef>
              <c:f>'E-Costos'!$C$148:$M$148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'E-Costos'!$C$151:$M$151</c:f>
              <c:numCache>
                <c:formatCode>_("$"* #,##0.00_);_("$"* \(#,##0.00\);_("$"* "-"??_);_(@_)</c:formatCode>
                <c:ptCount val="11"/>
                <c:pt idx="0">
                  <c:v>3749462.499983211</c:v>
                </c:pt>
                <c:pt idx="1">
                  <c:v>4069289.0494572273</c:v>
                </c:pt>
                <c:pt idx="2">
                  <c:v>4389115.5989312436</c:v>
                </c:pt>
                <c:pt idx="3">
                  <c:v>4708942.1484052595</c:v>
                </c:pt>
                <c:pt idx="4">
                  <c:v>5028768.6978792762</c:v>
                </c:pt>
                <c:pt idx="5">
                  <c:v>5348595.2473532921</c:v>
                </c:pt>
                <c:pt idx="6">
                  <c:v>5668421.7968273079</c:v>
                </c:pt>
                <c:pt idx="7">
                  <c:v>5988248.3463013247</c:v>
                </c:pt>
                <c:pt idx="8">
                  <c:v>6308074.8957753405</c:v>
                </c:pt>
                <c:pt idx="9">
                  <c:v>6627901.4452493563</c:v>
                </c:pt>
                <c:pt idx="10">
                  <c:v>6947727.9947233731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24864"/>
        <c:axId val="79325440"/>
      </c:scatterChart>
      <c:valAx>
        <c:axId val="7932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AR"/>
                  <a:t>% de las ventas</a:t>
                </a: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79325440"/>
        <c:crosses val="autoZero"/>
        <c:crossBetween val="midCat"/>
      </c:valAx>
      <c:valAx>
        <c:axId val="793254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AR"/>
                  <a:t>Gastos e Ingresos ($)</a:t>
                </a:r>
              </a:p>
            </c:rich>
          </c:tx>
          <c:layout/>
          <c:overlay val="0"/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7932486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AR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Punto de Equilibrio Año 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AR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Económico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'E-Costos'!$A$156</c:f>
              <c:strCache>
                <c:ptCount val="1"/>
                <c:pt idx="0">
                  <c:v>CVT</c:v>
                </c:pt>
              </c:strCache>
            </c:strRef>
          </c:tx>
          <c:marker>
            <c:symbol val="none"/>
          </c:marker>
          <c:xVal>
            <c:numRef>
              <c:f>'E-Costos'!$C$155:$M$155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'E-Costos'!$C$156:$M$156</c:f>
              <c:numCache>
                <c:formatCode>_("$"* #,##0.00_);_("$"* \(#,##0.00\);_("$"* "-"??_);_(@_)</c:formatCode>
                <c:ptCount val="11"/>
                <c:pt idx="0">
                  <c:v>0</c:v>
                </c:pt>
                <c:pt idx="1">
                  <c:v>394413.01916771242</c:v>
                </c:pt>
                <c:pt idx="2">
                  <c:v>788826.03833542485</c:v>
                </c:pt>
                <c:pt idx="3">
                  <c:v>1183239.0575031373</c:v>
                </c:pt>
                <c:pt idx="4">
                  <c:v>1577652.0766708497</c:v>
                </c:pt>
                <c:pt idx="5">
                  <c:v>1972065.0958385621</c:v>
                </c:pt>
                <c:pt idx="6">
                  <c:v>2366478.1150062745</c:v>
                </c:pt>
                <c:pt idx="7">
                  <c:v>2760891.134173987</c:v>
                </c:pt>
                <c:pt idx="8">
                  <c:v>3155304.1533416994</c:v>
                </c:pt>
                <c:pt idx="9">
                  <c:v>3549717.1725094118</c:v>
                </c:pt>
                <c:pt idx="10">
                  <c:v>3944130.1916771242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'E-Costos'!$A$157</c:f>
              <c:strCache>
                <c:ptCount val="1"/>
                <c:pt idx="0">
                  <c:v>CFT</c:v>
                </c:pt>
              </c:strCache>
            </c:strRef>
          </c:tx>
          <c:marker>
            <c:symbol val="none"/>
          </c:marker>
          <c:xVal>
            <c:numRef>
              <c:f>'E-Costos'!$C$155:$M$155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'E-Costos'!$C$157:$M$157</c:f>
              <c:numCache>
                <c:formatCode>_("$"* #,##0.00_);_("$"* \(#,##0.00\);_("$"* "-"??_);_(@_)</c:formatCode>
                <c:ptCount val="11"/>
                <c:pt idx="0">
                  <c:v>4052503.4419328901</c:v>
                </c:pt>
                <c:pt idx="1">
                  <c:v>4052503.4419328901</c:v>
                </c:pt>
                <c:pt idx="2">
                  <c:v>4052503.4419328901</c:v>
                </c:pt>
                <c:pt idx="3">
                  <c:v>4052503.4419328901</c:v>
                </c:pt>
                <c:pt idx="4">
                  <c:v>4052503.4419328901</c:v>
                </c:pt>
                <c:pt idx="5">
                  <c:v>4052503.4419328901</c:v>
                </c:pt>
                <c:pt idx="6">
                  <c:v>4052503.4419328901</c:v>
                </c:pt>
                <c:pt idx="7">
                  <c:v>4052503.4419328901</c:v>
                </c:pt>
                <c:pt idx="8">
                  <c:v>4052503.4419328901</c:v>
                </c:pt>
                <c:pt idx="9">
                  <c:v>4052503.4419328901</c:v>
                </c:pt>
                <c:pt idx="10">
                  <c:v>4052503.4419328901</c:v>
                </c:pt>
              </c:numCache>
            </c:numRef>
          </c:yVal>
          <c:smooth val="1"/>
        </c:ser>
        <c:ser>
          <c:idx val="3"/>
          <c:order val="2"/>
          <c:tx>
            <c:strRef>
              <c:f>'E-Costos'!$A$159</c:f>
              <c:strCache>
                <c:ptCount val="1"/>
                <c:pt idx="0">
                  <c:v>VENTAS</c:v>
                </c:pt>
              </c:strCache>
            </c:strRef>
          </c:tx>
          <c:marker>
            <c:symbol val="none"/>
          </c:marker>
          <c:xVal>
            <c:numRef>
              <c:f>'E-Costos'!$C$155:$M$155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'E-Costos'!$C$159:$M$159</c:f>
              <c:numCache>
                <c:formatCode>_("$"* #,##0.00_);_("$"* \(#,##0.00\);_("$"* "-"??_);_(@_)</c:formatCode>
                <c:ptCount val="11"/>
                <c:pt idx="0">
                  <c:v>0</c:v>
                </c:pt>
                <c:pt idx="1">
                  <c:v>1680000</c:v>
                </c:pt>
                <c:pt idx="2">
                  <c:v>3360000</c:v>
                </c:pt>
                <c:pt idx="3">
                  <c:v>5040000</c:v>
                </c:pt>
                <c:pt idx="4">
                  <c:v>6720000</c:v>
                </c:pt>
                <c:pt idx="5">
                  <c:v>8400000</c:v>
                </c:pt>
                <c:pt idx="6">
                  <c:v>10080000</c:v>
                </c:pt>
                <c:pt idx="7">
                  <c:v>11760000</c:v>
                </c:pt>
                <c:pt idx="8">
                  <c:v>13440000</c:v>
                </c:pt>
                <c:pt idx="9">
                  <c:v>15120000</c:v>
                </c:pt>
                <c:pt idx="10">
                  <c:v>16800000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'E-Costos'!$A$158</c:f>
              <c:strCache>
                <c:ptCount val="1"/>
                <c:pt idx="0">
                  <c:v>CT</c:v>
                </c:pt>
              </c:strCache>
            </c:strRef>
          </c:tx>
          <c:marker>
            <c:symbol val="none"/>
          </c:marker>
          <c:xVal>
            <c:numRef>
              <c:f>'E-Costos'!$C$155:$M$155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'E-Costos'!$C$158:$M$158</c:f>
              <c:numCache>
                <c:formatCode>_("$"* #,##0.00_);_("$"* \(#,##0.00\);_("$"* "-"??_);_(@_)</c:formatCode>
                <c:ptCount val="11"/>
                <c:pt idx="0">
                  <c:v>4052503.4419328901</c:v>
                </c:pt>
                <c:pt idx="1">
                  <c:v>4446916.4611006025</c:v>
                </c:pt>
                <c:pt idx="2">
                  <c:v>4841329.4802683145</c:v>
                </c:pt>
                <c:pt idx="3">
                  <c:v>5235742.4994360274</c:v>
                </c:pt>
                <c:pt idx="4">
                  <c:v>5630155.5186037403</c:v>
                </c:pt>
                <c:pt idx="5">
                  <c:v>6024568.5377714522</c:v>
                </c:pt>
                <c:pt idx="6">
                  <c:v>6418981.5569391642</c:v>
                </c:pt>
                <c:pt idx="7">
                  <c:v>6813394.5761068771</c:v>
                </c:pt>
                <c:pt idx="8">
                  <c:v>7207807.59527459</c:v>
                </c:pt>
                <c:pt idx="9">
                  <c:v>7602220.6144423019</c:v>
                </c:pt>
                <c:pt idx="10">
                  <c:v>7996633.6336100139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27744"/>
        <c:axId val="79328320"/>
      </c:scatterChart>
      <c:valAx>
        <c:axId val="79327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AR"/>
                  <a:t>% de las Ventas</a:t>
                </a: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79328320"/>
        <c:crosses val="autoZero"/>
        <c:crossBetween val="midCat"/>
      </c:valAx>
      <c:valAx>
        <c:axId val="79328320"/>
        <c:scaling>
          <c:orientation val="minMax"/>
          <c:max val="1200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AR"/>
                  <a:t>Gastos e Ingresos ($)</a:t>
                </a:r>
              </a:p>
            </c:rich>
          </c:tx>
          <c:layout/>
          <c:overlay val="0"/>
        </c:title>
        <c:numFmt formatCode="\$\ ###,00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79327744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16651192622274527"/>
          <c:y val="0.30723629843299294"/>
          <c:w val="0.31923084347552644"/>
          <c:h val="6.2882357527091315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'E-Form'!$L$2</c:f>
              <c:strCache>
                <c:ptCount val="1"/>
                <c:pt idx="0">
                  <c:v>Saldo Anual</c:v>
                </c:pt>
              </c:strCache>
            </c:strRef>
          </c:tx>
          <c:invertIfNegative val="0"/>
          <c:cat>
            <c:numRef>
              <c:f>'E-Form'!$A$3:$A$8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'E-Form'!$L$3:$L$8</c:f>
              <c:numCache>
                <c:formatCode>_("$"* #,##0.00_);_("$"* \(#,##0.00\);_("$"* "-"??_);_(@_)</c:formatCode>
                <c:ptCount val="6"/>
                <c:pt idx="0">
                  <c:v>-8275439.7545479881</c:v>
                </c:pt>
                <c:pt idx="1">
                  <c:v>3337535.6054424113</c:v>
                </c:pt>
                <c:pt idx="2">
                  <c:v>5472142.1881782748</c:v>
                </c:pt>
                <c:pt idx="3">
                  <c:v>5844135.0490243137</c:v>
                </c:pt>
                <c:pt idx="4">
                  <c:v>5826828.7278660592</c:v>
                </c:pt>
                <c:pt idx="5">
                  <c:v>12081675.503216451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37952"/>
        <c:axId val="79330048"/>
      </c:barChart>
      <c:lineChart>
        <c:grouping val="standard"/>
        <c:varyColors val="0"/>
        <c:ser>
          <c:idx val="1"/>
          <c:order val="1"/>
          <c:tx>
            <c:strRef>
              <c:f>'E-Form'!$M$2</c:f>
              <c:strCache>
                <c:ptCount val="1"/>
                <c:pt idx="0">
                  <c:v>Saldo Acumulado</c:v>
                </c:pt>
              </c:strCache>
            </c:strRef>
          </c:tx>
          <c:marker>
            <c:symbol val="none"/>
          </c:marker>
          <c:val>
            <c:numRef>
              <c:f>'E-Form'!$M$3:$M$8</c:f>
              <c:numCache>
                <c:formatCode>_("$"* #,##0.00_);_("$"* \(#,##0.00\);_("$"* "-"??_);_(@_)</c:formatCode>
                <c:ptCount val="6"/>
                <c:pt idx="0">
                  <c:v>-8275439.7545479881</c:v>
                </c:pt>
                <c:pt idx="1">
                  <c:v>-4937904.1491055768</c:v>
                </c:pt>
                <c:pt idx="2">
                  <c:v>534238.03907269798</c:v>
                </c:pt>
                <c:pt idx="3">
                  <c:v>6378373.0880970117</c:v>
                </c:pt>
                <c:pt idx="4">
                  <c:v>12205201.815963071</c:v>
                </c:pt>
                <c:pt idx="5">
                  <c:v>24286877.31917952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37952"/>
        <c:axId val="79330048"/>
      </c:lineChart>
      <c:catAx>
        <c:axId val="10623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330048"/>
        <c:crosses val="autoZero"/>
        <c:auto val="1"/>
        <c:lblAlgn val="ctr"/>
        <c:lblOffset val="100"/>
        <c:noMultiLvlLbl val="0"/>
      </c:catAx>
      <c:valAx>
        <c:axId val="79330048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06237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'E-Form'!$B$46</c:f>
              <c:strCache>
                <c:ptCount val="1"/>
                <c:pt idx="0">
                  <c:v>itot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'E-Form'!$C$42:$M$42</c:f>
              <c:numCache>
                <c:formatCode>0%</c:formatCode>
                <c:ptCount val="11"/>
                <c:pt idx="0">
                  <c:v>0</c:v>
                </c:pt>
                <c:pt idx="1">
                  <c:v>7.4999999999999997E-2</c:v>
                </c:pt>
                <c:pt idx="2">
                  <c:v>0.15</c:v>
                </c:pt>
                <c:pt idx="3">
                  <c:v>0.22499999999999998</c:v>
                </c:pt>
                <c:pt idx="4">
                  <c:v>0.3</c:v>
                </c:pt>
                <c:pt idx="5">
                  <c:v>0.375</c:v>
                </c:pt>
                <c:pt idx="6">
                  <c:v>0.45</c:v>
                </c:pt>
                <c:pt idx="7">
                  <c:v>0.52500000000000002</c:v>
                </c:pt>
                <c:pt idx="8">
                  <c:v>0.6</c:v>
                </c:pt>
                <c:pt idx="9">
                  <c:v>0.67499999999999993</c:v>
                </c:pt>
                <c:pt idx="10">
                  <c:v>0.75</c:v>
                </c:pt>
              </c:numCache>
            </c:numRef>
          </c:cat>
          <c:val>
            <c:numRef>
              <c:f>'E-Form'!$C$46:$M$46</c:f>
              <c:numCache>
                <c:formatCode>_("$"* #,##0.00_);_("$"* \(#,##0.00\);_("$"* "-"??_);_(@_)</c:formatCode>
                <c:ptCount val="11"/>
                <c:pt idx="0">
                  <c:v>32562317.073727507</c:v>
                </c:pt>
                <c:pt idx="1">
                  <c:v>32562317.073727507</c:v>
                </c:pt>
                <c:pt idx="2">
                  <c:v>32562317.073727507</c:v>
                </c:pt>
                <c:pt idx="3">
                  <c:v>32562317.073727507</c:v>
                </c:pt>
                <c:pt idx="4">
                  <c:v>32562317.073727507</c:v>
                </c:pt>
                <c:pt idx="5">
                  <c:v>32562317.073727507</c:v>
                </c:pt>
                <c:pt idx="6">
                  <c:v>32562317.073727507</c:v>
                </c:pt>
                <c:pt idx="7">
                  <c:v>32562317.073727507</c:v>
                </c:pt>
                <c:pt idx="8">
                  <c:v>32562317.073727507</c:v>
                </c:pt>
                <c:pt idx="9">
                  <c:v>32562317.073727507</c:v>
                </c:pt>
                <c:pt idx="10">
                  <c:v>32562317.073727507</c:v>
                </c:pt>
              </c:numCache>
            </c:numRef>
          </c:val>
        </c:ser>
        <c:ser>
          <c:idx val="1"/>
          <c:order val="1"/>
          <c:tx>
            <c:strRef>
              <c:f>'E-Form'!$B$45</c:f>
              <c:strCache>
                <c:ptCount val="1"/>
                <c:pt idx="0">
                  <c:v>VAN + E0</c:v>
                </c:pt>
              </c:strCache>
            </c:strRef>
          </c:tx>
          <c:spPr>
            <a:ln w="25400">
              <a:noFill/>
            </a:ln>
          </c:spPr>
          <c:cat>
            <c:numRef>
              <c:f>'E-Form'!$C$42:$M$42</c:f>
              <c:numCache>
                <c:formatCode>0%</c:formatCode>
                <c:ptCount val="11"/>
                <c:pt idx="0">
                  <c:v>0</c:v>
                </c:pt>
                <c:pt idx="1">
                  <c:v>7.4999999999999997E-2</c:v>
                </c:pt>
                <c:pt idx="2">
                  <c:v>0.15</c:v>
                </c:pt>
                <c:pt idx="3">
                  <c:v>0.22499999999999998</c:v>
                </c:pt>
                <c:pt idx="4">
                  <c:v>0.3</c:v>
                </c:pt>
                <c:pt idx="5">
                  <c:v>0.375</c:v>
                </c:pt>
                <c:pt idx="6">
                  <c:v>0.45</c:v>
                </c:pt>
                <c:pt idx="7">
                  <c:v>0.52500000000000002</c:v>
                </c:pt>
                <c:pt idx="8">
                  <c:v>0.6</c:v>
                </c:pt>
                <c:pt idx="9">
                  <c:v>0.67499999999999993</c:v>
                </c:pt>
                <c:pt idx="10">
                  <c:v>0.75</c:v>
                </c:pt>
              </c:numCache>
            </c:numRef>
          </c:cat>
          <c:val>
            <c:numRef>
              <c:f>'E-Form'!$C$45:$M$45</c:f>
              <c:numCache>
                <c:formatCode>_("$"* #,##0.00_);_("$"* \(#,##0.00\);_("$"* "-"??_);_(@_)</c:formatCode>
                <c:ptCount val="11"/>
                <c:pt idx="0">
                  <c:v>32562317.073727507</c:v>
                </c:pt>
                <c:pt idx="1">
                  <c:v>24133573.433105957</c:v>
                </c:pt>
                <c:pt idx="2">
                  <c:v>18662692.503627267</c:v>
                </c:pt>
                <c:pt idx="3">
                  <c:v>15003668.510076692</c:v>
                </c:pt>
                <c:pt idx="4">
                  <c:v>12493888.088544896</c:v>
                </c:pt>
                <c:pt idx="5">
                  <c:v>10735515.474217197</c:v>
                </c:pt>
                <c:pt idx="6">
                  <c:v>9481644.997244576</c:v>
                </c:pt>
                <c:pt idx="7">
                  <c:v>8574487.4414804596</c:v>
                </c:pt>
                <c:pt idx="8">
                  <c:v>7910544.8744475506</c:v>
                </c:pt>
                <c:pt idx="9">
                  <c:v>7420333.0921719763</c:v>
                </c:pt>
                <c:pt idx="10">
                  <c:v>7056220.3013634514</c:v>
                </c:pt>
              </c:numCache>
            </c:numRef>
          </c:val>
        </c:ser>
        <c:ser>
          <c:idx val="2"/>
          <c:order val="2"/>
          <c:tx>
            <c:strRef>
              <c:f>'E-Form'!$B$43</c:f>
              <c:strCache>
                <c:ptCount val="1"/>
                <c:pt idx="0">
                  <c:v>VAN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cat>
            <c:numRef>
              <c:f>'E-Form'!$C$42:$M$42</c:f>
              <c:numCache>
                <c:formatCode>0%</c:formatCode>
                <c:ptCount val="11"/>
                <c:pt idx="0">
                  <c:v>0</c:v>
                </c:pt>
                <c:pt idx="1">
                  <c:v>7.4999999999999997E-2</c:v>
                </c:pt>
                <c:pt idx="2">
                  <c:v>0.15</c:v>
                </c:pt>
                <c:pt idx="3">
                  <c:v>0.22499999999999998</c:v>
                </c:pt>
                <c:pt idx="4">
                  <c:v>0.3</c:v>
                </c:pt>
                <c:pt idx="5">
                  <c:v>0.375</c:v>
                </c:pt>
                <c:pt idx="6">
                  <c:v>0.45</c:v>
                </c:pt>
                <c:pt idx="7">
                  <c:v>0.52500000000000002</c:v>
                </c:pt>
                <c:pt idx="8">
                  <c:v>0.6</c:v>
                </c:pt>
                <c:pt idx="9">
                  <c:v>0.67499999999999993</c:v>
                </c:pt>
                <c:pt idx="10">
                  <c:v>0.75</c:v>
                </c:pt>
              </c:numCache>
            </c:numRef>
          </c:cat>
          <c:val>
            <c:numRef>
              <c:f>'E-Form'!$C$43:$M$43</c:f>
              <c:numCache>
                <c:formatCode>_("$"* #,##0.00_);_("$"* \(#,##0.00\);_("$"* "-"??_);_(@_)</c:formatCode>
                <c:ptCount val="11"/>
                <c:pt idx="0">
                  <c:v>24286877.31917952</c:v>
                </c:pt>
                <c:pt idx="1">
                  <c:v>15858133.678557968</c:v>
                </c:pt>
                <c:pt idx="2">
                  <c:v>10387252.749079278</c:v>
                </c:pt>
                <c:pt idx="3">
                  <c:v>6728228.7555287043</c:v>
                </c:pt>
                <c:pt idx="4">
                  <c:v>4218448.3339969078</c:v>
                </c:pt>
                <c:pt idx="5">
                  <c:v>2460075.7196692084</c:v>
                </c:pt>
                <c:pt idx="6">
                  <c:v>1206205.2426965884</c:v>
                </c:pt>
                <c:pt idx="7">
                  <c:v>299047.68693247077</c:v>
                </c:pt>
                <c:pt idx="8">
                  <c:v>-364894.88010043744</c:v>
                </c:pt>
                <c:pt idx="9">
                  <c:v>-855106.66237601149</c:v>
                </c:pt>
                <c:pt idx="10">
                  <c:v>-1219219.4531845362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239488"/>
        <c:axId val="84862080"/>
      </c:areaChart>
      <c:catAx>
        <c:axId val="106239488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84862080"/>
        <c:crosses val="autoZero"/>
        <c:auto val="1"/>
        <c:lblAlgn val="ctr"/>
        <c:lblOffset val="100"/>
        <c:noMultiLvlLbl val="0"/>
      </c:catAx>
      <c:valAx>
        <c:axId val="84862080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06239488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Punto de Equilibrio</a:t>
            </a:r>
            <a:r>
              <a:rPr lang="es-AR" baseline="0"/>
              <a:t> Año 1</a:t>
            </a:r>
            <a:endParaRPr lang="es-AR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'DF-2 Estructura'!$A$49</c:f>
              <c:strCache>
                <c:ptCount val="1"/>
                <c:pt idx="0">
                  <c:v>CVT</c:v>
                </c:pt>
              </c:strCache>
            </c:strRef>
          </c:tx>
          <c:marker>
            <c:symbol val="none"/>
          </c:marker>
          <c:cat>
            <c:numRef>
              <c:f>'DF-2 Estructura'!$C$48:$M$48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'DF-2 Estructura'!$C$49:$M$49</c:f>
              <c:numCache>
                <c:formatCode>_("$"* #,##0.00_);_("$"* \(#,##0.00\);_("$"* "-"??_);_(@_)</c:formatCode>
                <c:ptCount val="11"/>
                <c:pt idx="0">
                  <c:v>0</c:v>
                </c:pt>
                <c:pt idx="1">
                  <c:v>319826.54947401624</c:v>
                </c:pt>
                <c:pt idx="2">
                  <c:v>639653.09894803248</c:v>
                </c:pt>
                <c:pt idx="3">
                  <c:v>959479.64842204854</c:v>
                </c:pt>
                <c:pt idx="4">
                  <c:v>1279306.197896065</c:v>
                </c:pt>
                <c:pt idx="5">
                  <c:v>1599132.747370081</c:v>
                </c:pt>
                <c:pt idx="6">
                  <c:v>1918959.2968440971</c:v>
                </c:pt>
                <c:pt idx="7">
                  <c:v>2238785.8463181132</c:v>
                </c:pt>
                <c:pt idx="8">
                  <c:v>2558612.3957921299</c:v>
                </c:pt>
                <c:pt idx="9">
                  <c:v>2878438.9452661457</c:v>
                </c:pt>
                <c:pt idx="10">
                  <c:v>3198265.494740162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'DF-2 Estructura'!$A$50</c:f>
              <c:strCache>
                <c:ptCount val="1"/>
                <c:pt idx="0">
                  <c:v>CFT</c:v>
                </c:pt>
              </c:strCache>
            </c:strRef>
          </c:tx>
          <c:marker>
            <c:symbol val="none"/>
          </c:marker>
          <c:cat>
            <c:numRef>
              <c:f>'DF-2 Estructura'!$C$48:$M$48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'DF-2 Estructura'!$C$50:$M$50</c:f>
              <c:numCache>
                <c:formatCode>_("$"* #,##0.00_);_("$"* \(#,##0.00\);_("$"* "-"??_);_(@_)</c:formatCode>
                <c:ptCount val="11"/>
                <c:pt idx="0">
                  <c:v>4110765.2333086189</c:v>
                </c:pt>
                <c:pt idx="1">
                  <c:v>4110765.2333086189</c:v>
                </c:pt>
                <c:pt idx="2">
                  <c:v>4110765.2333086189</c:v>
                </c:pt>
                <c:pt idx="3">
                  <c:v>4110765.2333086189</c:v>
                </c:pt>
                <c:pt idx="4">
                  <c:v>4110765.2333086189</c:v>
                </c:pt>
                <c:pt idx="5">
                  <c:v>4110765.2333086189</c:v>
                </c:pt>
                <c:pt idx="6">
                  <c:v>4110765.2333086189</c:v>
                </c:pt>
                <c:pt idx="7">
                  <c:v>4110765.2333086189</c:v>
                </c:pt>
                <c:pt idx="8">
                  <c:v>4110765.2333086189</c:v>
                </c:pt>
                <c:pt idx="9">
                  <c:v>4110765.2333086189</c:v>
                </c:pt>
                <c:pt idx="10">
                  <c:v>4110765.2333086189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'DF-2 Estructura'!$A$51</c:f>
              <c:strCache>
                <c:ptCount val="1"/>
                <c:pt idx="0">
                  <c:v>CT</c:v>
                </c:pt>
              </c:strCache>
            </c:strRef>
          </c:tx>
          <c:marker>
            <c:symbol val="none"/>
          </c:marker>
          <c:cat>
            <c:numRef>
              <c:f>'DF-2 Estructura'!$C$48:$M$48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'DF-2 Estructura'!$C$51:$M$51</c:f>
              <c:numCache>
                <c:formatCode>_("$"* #,##0.00_);_("$"* \(#,##0.00\);_("$"* "-"??_);_(@_)</c:formatCode>
                <c:ptCount val="11"/>
                <c:pt idx="0">
                  <c:v>4110765.2333086189</c:v>
                </c:pt>
                <c:pt idx="1">
                  <c:v>4430591.7827826347</c:v>
                </c:pt>
                <c:pt idx="2">
                  <c:v>4750418.3322566515</c:v>
                </c:pt>
                <c:pt idx="3">
                  <c:v>5070244.8817306673</c:v>
                </c:pt>
                <c:pt idx="4">
                  <c:v>5390071.4312046841</c:v>
                </c:pt>
                <c:pt idx="5">
                  <c:v>5709897.9806786999</c:v>
                </c:pt>
                <c:pt idx="6">
                  <c:v>6029724.5301527157</c:v>
                </c:pt>
                <c:pt idx="7">
                  <c:v>6349551.0796267316</c:v>
                </c:pt>
                <c:pt idx="8">
                  <c:v>6669377.6291007493</c:v>
                </c:pt>
                <c:pt idx="9">
                  <c:v>6989204.1785747651</c:v>
                </c:pt>
                <c:pt idx="10">
                  <c:v>7309030.7280487809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'DF-2 Estructura'!$A$52</c:f>
              <c:strCache>
                <c:ptCount val="1"/>
                <c:pt idx="0">
                  <c:v>VENTAS</c:v>
                </c:pt>
              </c:strCache>
            </c:strRef>
          </c:tx>
          <c:marker>
            <c:symbol val="none"/>
          </c:marker>
          <c:cat>
            <c:numRef>
              <c:f>'DF-2 Estructura'!$C$48:$M$48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'DF-2 Estructura'!$C$52:$M$52</c:f>
              <c:numCache>
                <c:formatCode>_("$"* #,##0.00_);_("$"* \(#,##0.00\);_("$"* "-"??_);_(@_)</c:formatCode>
                <c:ptCount val="11"/>
                <c:pt idx="0">
                  <c:v>0</c:v>
                </c:pt>
                <c:pt idx="1">
                  <c:v>1120000</c:v>
                </c:pt>
                <c:pt idx="2">
                  <c:v>2240000</c:v>
                </c:pt>
                <c:pt idx="3">
                  <c:v>3360000</c:v>
                </c:pt>
                <c:pt idx="4">
                  <c:v>4480000</c:v>
                </c:pt>
                <c:pt idx="5">
                  <c:v>5600000</c:v>
                </c:pt>
                <c:pt idx="6">
                  <c:v>6720000</c:v>
                </c:pt>
                <c:pt idx="7">
                  <c:v>7839999.9999999991</c:v>
                </c:pt>
                <c:pt idx="8">
                  <c:v>8960000</c:v>
                </c:pt>
                <c:pt idx="9">
                  <c:v>10080000</c:v>
                </c:pt>
                <c:pt idx="10">
                  <c:v>11200000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1600"/>
        <c:axId val="84864384"/>
      </c:lineChart>
      <c:catAx>
        <c:axId val="1046016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crossAx val="84864384"/>
        <c:crosses val="autoZero"/>
        <c:auto val="1"/>
        <c:lblAlgn val="ctr"/>
        <c:lblOffset val="100"/>
        <c:noMultiLvlLbl val="0"/>
      </c:catAx>
      <c:valAx>
        <c:axId val="84864384"/>
        <c:scaling>
          <c:orientation val="minMax"/>
        </c:scaling>
        <c:delete val="0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04601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Punto de Equilibrio Año 5</a:t>
            </a:r>
          </a:p>
          <a:p>
            <a:pPr>
              <a:defRPr/>
            </a:pPr>
            <a:r>
              <a:rPr lang="es-AR"/>
              <a:t>Financiero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155563026269481"/>
          <c:y val="0.20079159775874411"/>
          <c:w val="0.60256013195148472"/>
          <c:h val="0.72067657295189202"/>
        </c:manualLayout>
      </c:layout>
      <c:lineChart>
        <c:grouping val="standard"/>
        <c:varyColors val="0"/>
        <c:ser>
          <c:idx val="0"/>
          <c:order val="0"/>
          <c:tx>
            <c:strRef>
              <c:f>'DF-2 Estructura'!$A$56</c:f>
              <c:strCache>
                <c:ptCount val="1"/>
                <c:pt idx="0">
                  <c:v>CVT</c:v>
                </c:pt>
              </c:strCache>
            </c:strRef>
          </c:tx>
          <c:marker>
            <c:symbol val="none"/>
          </c:marker>
          <c:cat>
            <c:numRef>
              <c:f>'DF-2 Estructura'!$C$55:$M$55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'DF-2 Estructura'!$C$56:$M$56</c:f>
              <c:numCache>
                <c:formatCode>_("$"* #,##0.00_);_("$"* \(#,##0.00\);_("$"* "-"??_);_(@_)</c:formatCode>
                <c:ptCount val="11"/>
                <c:pt idx="0">
                  <c:v>0</c:v>
                </c:pt>
                <c:pt idx="1">
                  <c:v>394413.01916771242</c:v>
                </c:pt>
                <c:pt idx="2">
                  <c:v>788826.03833542485</c:v>
                </c:pt>
                <c:pt idx="3">
                  <c:v>1183239.0575031373</c:v>
                </c:pt>
                <c:pt idx="4">
                  <c:v>1577652.0766708497</c:v>
                </c:pt>
                <c:pt idx="5">
                  <c:v>1972065.0958385621</c:v>
                </c:pt>
                <c:pt idx="6">
                  <c:v>2366478.1150062745</c:v>
                </c:pt>
                <c:pt idx="7">
                  <c:v>2760891.134173987</c:v>
                </c:pt>
                <c:pt idx="8">
                  <c:v>3155304.1533416994</c:v>
                </c:pt>
                <c:pt idx="9">
                  <c:v>3549717.1725094118</c:v>
                </c:pt>
                <c:pt idx="10">
                  <c:v>3944130.1916771242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'DF-2 Estructura'!$A$57</c:f>
              <c:strCache>
                <c:ptCount val="1"/>
                <c:pt idx="0">
                  <c:v>CFT</c:v>
                </c:pt>
              </c:strCache>
            </c:strRef>
          </c:tx>
          <c:marker>
            <c:symbol val="none"/>
          </c:marker>
          <c:cat>
            <c:numRef>
              <c:f>'DF-2 Estructura'!$C$55:$M$55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'DF-2 Estructura'!$C$57:$M$57</c:f>
              <c:numCache>
                <c:formatCode>_("$"* #,##0.00_);_("$"* \(#,##0.00\);_("$"* "-"??_);_(@_)</c:formatCode>
                <c:ptCount val="11"/>
                <c:pt idx="0">
                  <c:v>4161672.3323676726</c:v>
                </c:pt>
                <c:pt idx="1">
                  <c:v>4161672.3323676726</c:v>
                </c:pt>
                <c:pt idx="2">
                  <c:v>4161672.3323676726</c:v>
                </c:pt>
                <c:pt idx="3">
                  <c:v>4161672.3323676726</c:v>
                </c:pt>
                <c:pt idx="4">
                  <c:v>4161672.3323676726</c:v>
                </c:pt>
                <c:pt idx="5">
                  <c:v>4161672.3323676726</c:v>
                </c:pt>
                <c:pt idx="6">
                  <c:v>4161672.3323676726</c:v>
                </c:pt>
                <c:pt idx="7">
                  <c:v>4161672.3323676726</c:v>
                </c:pt>
                <c:pt idx="8">
                  <c:v>4161672.3323676726</c:v>
                </c:pt>
                <c:pt idx="9">
                  <c:v>4161672.3323676726</c:v>
                </c:pt>
                <c:pt idx="10">
                  <c:v>4161672.3323676726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'DF-2 Estructura'!$A$58</c:f>
              <c:strCache>
                <c:ptCount val="1"/>
                <c:pt idx="0">
                  <c:v>CT</c:v>
                </c:pt>
              </c:strCache>
            </c:strRef>
          </c:tx>
          <c:marker>
            <c:symbol val="none"/>
          </c:marker>
          <c:cat>
            <c:numRef>
              <c:f>'DF-2 Estructura'!$C$55:$M$55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'DF-2 Estructura'!$C$58:$M$58</c:f>
              <c:numCache>
                <c:formatCode>_("$"* #,##0.00_);_("$"* \(#,##0.00\);_("$"* "-"??_);_(@_)</c:formatCode>
                <c:ptCount val="11"/>
                <c:pt idx="0">
                  <c:v>4161672.3323676726</c:v>
                </c:pt>
                <c:pt idx="1">
                  <c:v>4556085.3515353855</c:v>
                </c:pt>
                <c:pt idx="2">
                  <c:v>4950498.3707030974</c:v>
                </c:pt>
                <c:pt idx="3">
                  <c:v>5344911.3898708094</c:v>
                </c:pt>
                <c:pt idx="4">
                  <c:v>5739324.4090385223</c:v>
                </c:pt>
                <c:pt idx="5">
                  <c:v>6133737.4282062352</c:v>
                </c:pt>
                <c:pt idx="6">
                  <c:v>6528150.4473739471</c:v>
                </c:pt>
                <c:pt idx="7">
                  <c:v>6922563.4665416591</c:v>
                </c:pt>
                <c:pt idx="8">
                  <c:v>7316976.485709372</c:v>
                </c:pt>
                <c:pt idx="9">
                  <c:v>7711389.5048770849</c:v>
                </c:pt>
                <c:pt idx="10">
                  <c:v>8105802.5240447968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'DF-2 Estructura'!$A$59</c:f>
              <c:strCache>
                <c:ptCount val="1"/>
                <c:pt idx="0">
                  <c:v>VENTAS</c:v>
                </c:pt>
              </c:strCache>
            </c:strRef>
          </c:tx>
          <c:marker>
            <c:symbol val="none"/>
          </c:marker>
          <c:cat>
            <c:numRef>
              <c:f>'DF-2 Estructura'!$C$55:$M$55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'DF-2 Estructura'!$C$59:$M$59</c:f>
              <c:numCache>
                <c:formatCode>_("$"* #,##0.00_);_("$"* \(#,##0.00\);_("$"* "-"??_);_(@_)</c:formatCode>
                <c:ptCount val="11"/>
                <c:pt idx="0">
                  <c:v>0</c:v>
                </c:pt>
                <c:pt idx="1">
                  <c:v>1680000</c:v>
                </c:pt>
                <c:pt idx="2">
                  <c:v>3360000</c:v>
                </c:pt>
                <c:pt idx="3">
                  <c:v>5040000</c:v>
                </c:pt>
                <c:pt idx="4">
                  <c:v>6720000</c:v>
                </c:pt>
                <c:pt idx="5">
                  <c:v>8400000</c:v>
                </c:pt>
                <c:pt idx="6">
                  <c:v>10080000</c:v>
                </c:pt>
                <c:pt idx="7">
                  <c:v>11760000</c:v>
                </c:pt>
                <c:pt idx="8">
                  <c:v>13440000</c:v>
                </c:pt>
                <c:pt idx="9">
                  <c:v>15120000</c:v>
                </c:pt>
                <c:pt idx="10">
                  <c:v>16800000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52512"/>
        <c:axId val="84867264"/>
      </c:lineChart>
      <c:catAx>
        <c:axId val="79552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crossAx val="84867264"/>
        <c:crosses val="autoZero"/>
        <c:auto val="1"/>
        <c:lblAlgn val="ctr"/>
        <c:lblOffset val="100"/>
        <c:noMultiLvlLbl val="0"/>
      </c:catAx>
      <c:valAx>
        <c:axId val="84867264"/>
        <c:scaling>
          <c:orientation val="minMax"/>
          <c:max val="25000000"/>
          <c:min val="0"/>
        </c:scaling>
        <c:delete val="0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795525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6712052701333127"/>
          <c:y val="0.18479638498795897"/>
          <c:w val="0.33514539642940677"/>
          <c:h val="5.05696890981410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0"/>
    <c:plotArea>
      <c:layout/>
      <c:areaChart>
        <c:grouping val="standard"/>
        <c:varyColors val="0"/>
        <c:ser>
          <c:idx val="2"/>
          <c:order val="0"/>
          <c:tx>
            <c:strRef>
              <c:f>'DF- Form'!$J$44</c:f>
              <c:strCache>
                <c:ptCount val="1"/>
                <c:pt idx="0">
                  <c:v>itot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numRef>
              <c:f>'DF- Form'!$K$40:$U$40</c:f>
              <c:numCache>
                <c:formatCode>0%</c:formatCode>
                <c:ptCount val="11"/>
                <c:pt idx="0">
                  <c:v>0</c:v>
                </c:pt>
                <c:pt idx="1">
                  <c:v>9.5000000000000001E-2</c:v>
                </c:pt>
                <c:pt idx="2">
                  <c:v>0.19</c:v>
                </c:pt>
                <c:pt idx="3">
                  <c:v>0.28500000000000003</c:v>
                </c:pt>
                <c:pt idx="4">
                  <c:v>0.38</c:v>
                </c:pt>
                <c:pt idx="5">
                  <c:v>0.47499999999999998</c:v>
                </c:pt>
                <c:pt idx="6">
                  <c:v>0.56999999999999995</c:v>
                </c:pt>
                <c:pt idx="7">
                  <c:v>0.66499999999999992</c:v>
                </c:pt>
                <c:pt idx="8">
                  <c:v>0.7599999999999999</c:v>
                </c:pt>
                <c:pt idx="9">
                  <c:v>0.85499999999999987</c:v>
                </c:pt>
                <c:pt idx="10">
                  <c:v>0.95</c:v>
                </c:pt>
              </c:numCache>
            </c:numRef>
          </c:cat>
          <c:val>
            <c:numRef>
              <c:f>'DF- Form'!$K$44:$U$44</c:f>
              <c:numCache>
                <c:formatCode>_("$"* #,##0.00_);_("$"* \(#,##0.00\);_("$"* "-"??_);_(@_)</c:formatCode>
                <c:ptCount val="11"/>
                <c:pt idx="0">
                  <c:v>32149731.125596136</c:v>
                </c:pt>
                <c:pt idx="1">
                  <c:v>32149731.125596136</c:v>
                </c:pt>
                <c:pt idx="2">
                  <c:v>32149731.125596136</c:v>
                </c:pt>
                <c:pt idx="3">
                  <c:v>32149731.125596136</c:v>
                </c:pt>
                <c:pt idx="4">
                  <c:v>32149731.125596136</c:v>
                </c:pt>
                <c:pt idx="5">
                  <c:v>32149731.125596136</c:v>
                </c:pt>
                <c:pt idx="6">
                  <c:v>32149731.125596136</c:v>
                </c:pt>
                <c:pt idx="7">
                  <c:v>32149731.125596136</c:v>
                </c:pt>
                <c:pt idx="8">
                  <c:v>32149731.125596136</c:v>
                </c:pt>
                <c:pt idx="9">
                  <c:v>32149731.125596136</c:v>
                </c:pt>
                <c:pt idx="10">
                  <c:v>32149731.125596136</c:v>
                </c:pt>
              </c:numCache>
            </c:numRef>
          </c:val>
        </c:ser>
        <c:ser>
          <c:idx val="1"/>
          <c:order val="1"/>
          <c:tx>
            <c:v>VAN Act</c:v>
          </c:tx>
          <c:spPr>
            <a:solidFill>
              <a:schemeClr val="accent2"/>
            </a:solidFill>
          </c:spPr>
          <c:cat>
            <c:numRef>
              <c:f>'DF- Form'!$K$40:$U$40</c:f>
              <c:numCache>
                <c:formatCode>0%</c:formatCode>
                <c:ptCount val="11"/>
                <c:pt idx="0">
                  <c:v>0</c:v>
                </c:pt>
                <c:pt idx="1">
                  <c:v>9.5000000000000001E-2</c:v>
                </c:pt>
                <c:pt idx="2">
                  <c:v>0.19</c:v>
                </c:pt>
                <c:pt idx="3">
                  <c:v>0.28500000000000003</c:v>
                </c:pt>
                <c:pt idx="4">
                  <c:v>0.38</c:v>
                </c:pt>
                <c:pt idx="5">
                  <c:v>0.47499999999999998</c:v>
                </c:pt>
                <c:pt idx="6">
                  <c:v>0.56999999999999995</c:v>
                </c:pt>
                <c:pt idx="7">
                  <c:v>0.66499999999999992</c:v>
                </c:pt>
                <c:pt idx="8">
                  <c:v>0.7599999999999999</c:v>
                </c:pt>
                <c:pt idx="9">
                  <c:v>0.85499999999999987</c:v>
                </c:pt>
                <c:pt idx="10">
                  <c:v>0.95</c:v>
                </c:pt>
              </c:numCache>
            </c:numRef>
          </c:cat>
          <c:val>
            <c:numRef>
              <c:f>'DF- Form'!$K$43:$U$43</c:f>
              <c:numCache>
                <c:formatCode>_("$"* #,##0.00_);_("$"* \(#,##0.00\);_("$"* "-"??_);_(@_)</c:formatCode>
                <c:ptCount val="11"/>
                <c:pt idx="0">
                  <c:v>32149731.125596136</c:v>
                </c:pt>
                <c:pt idx="1">
                  <c:v>22299341.283878095</c:v>
                </c:pt>
                <c:pt idx="2">
                  <c:v>16541061.18319585</c:v>
                </c:pt>
                <c:pt idx="3">
                  <c:v>13019632.670674201</c:v>
                </c:pt>
                <c:pt idx="4">
                  <c:v>10786873.897700414</c:v>
                </c:pt>
                <c:pt idx="5">
                  <c:v>9330040.8819389567</c:v>
                </c:pt>
                <c:pt idx="6">
                  <c:v>8358191.8425225923</c:v>
                </c:pt>
                <c:pt idx="7">
                  <c:v>7699265.2086665789</c:v>
                </c:pt>
                <c:pt idx="8">
                  <c:v>7247789.6048021521</c:v>
                </c:pt>
                <c:pt idx="9">
                  <c:v>6937059.6166770197</c:v>
                </c:pt>
                <c:pt idx="10">
                  <c:v>6723716.1747579183</c:v>
                </c:pt>
              </c:numCache>
            </c:numRef>
          </c:val>
        </c:ser>
        <c:ser>
          <c:idx val="0"/>
          <c:order val="2"/>
          <c:tx>
            <c:strRef>
              <c:f>'DF- Form'!$J$41</c:f>
              <c:strCache>
                <c:ptCount val="1"/>
                <c:pt idx="0">
                  <c:v>VAN</c:v>
                </c:pt>
              </c:strCache>
            </c:strRef>
          </c:tx>
          <c:cat>
            <c:numRef>
              <c:f>'DF- Form'!$K$40:$U$40</c:f>
              <c:numCache>
                <c:formatCode>0%</c:formatCode>
                <c:ptCount val="11"/>
                <c:pt idx="0">
                  <c:v>0</c:v>
                </c:pt>
                <c:pt idx="1">
                  <c:v>9.5000000000000001E-2</c:v>
                </c:pt>
                <c:pt idx="2">
                  <c:v>0.19</c:v>
                </c:pt>
                <c:pt idx="3">
                  <c:v>0.28500000000000003</c:v>
                </c:pt>
                <c:pt idx="4">
                  <c:v>0.38</c:v>
                </c:pt>
                <c:pt idx="5">
                  <c:v>0.47499999999999998</c:v>
                </c:pt>
                <c:pt idx="6">
                  <c:v>0.56999999999999995</c:v>
                </c:pt>
                <c:pt idx="7">
                  <c:v>0.66499999999999992</c:v>
                </c:pt>
                <c:pt idx="8">
                  <c:v>0.7599999999999999</c:v>
                </c:pt>
                <c:pt idx="9">
                  <c:v>0.85499999999999987</c:v>
                </c:pt>
                <c:pt idx="10">
                  <c:v>0.95</c:v>
                </c:pt>
              </c:numCache>
            </c:numRef>
          </c:cat>
          <c:val>
            <c:numRef>
              <c:f>'DF- Form'!$K$41:$U$41</c:f>
              <c:numCache>
                <c:formatCode>_("$"* #,##0.00_);_("$"* \(#,##0.00\);_("$"* "-"??_);_(@_)</c:formatCode>
                <c:ptCount val="11"/>
                <c:pt idx="0">
                  <c:v>23598488.06818565</c:v>
                </c:pt>
                <c:pt idx="1">
                  <c:v>13748098.226467609</c:v>
                </c:pt>
                <c:pt idx="2">
                  <c:v>7989818.125785362</c:v>
                </c:pt>
                <c:pt idx="3">
                  <c:v>4468389.6132637132</c:v>
                </c:pt>
                <c:pt idx="4">
                  <c:v>2235630.8402899262</c:v>
                </c:pt>
                <c:pt idx="5">
                  <c:v>778797.82452846889</c:v>
                </c:pt>
                <c:pt idx="6">
                  <c:v>-193051.21488789524</c:v>
                </c:pt>
                <c:pt idx="7">
                  <c:v>-851977.84874390927</c:v>
                </c:pt>
                <c:pt idx="8">
                  <c:v>-1303453.4526083362</c:v>
                </c:pt>
                <c:pt idx="9">
                  <c:v>-1614183.4407334677</c:v>
                </c:pt>
                <c:pt idx="10">
                  <c:v>-1827526.8826525696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09408"/>
        <c:axId val="104669184"/>
      </c:areaChart>
      <c:catAx>
        <c:axId val="107409408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104669184"/>
        <c:crosses val="autoZero"/>
        <c:auto val="1"/>
        <c:lblAlgn val="ctr"/>
        <c:lblOffset val="100"/>
        <c:noMultiLvlLbl val="0"/>
      </c:catAx>
      <c:valAx>
        <c:axId val="104669184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07409408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'DF- Form'!$M$2</c:f>
              <c:strCache>
                <c:ptCount val="1"/>
                <c:pt idx="0">
                  <c:v>Saldo Anual</c:v>
                </c:pt>
              </c:strCache>
            </c:strRef>
          </c:tx>
          <c:invertIfNegative val="0"/>
          <c:cat>
            <c:numRef>
              <c:f>'DF- Form'!$A$3:$A$8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'DF- Form'!$M$3:$M$8</c:f>
              <c:numCache>
                <c:formatCode>_("$"* #,##0.00_);_("$"* \(#,##0.00\);_("$"* "-"??_);_(@_)</c:formatCode>
                <c:ptCount val="6"/>
                <c:pt idx="0">
                  <c:v>-8299857.3861604882</c:v>
                </c:pt>
                <c:pt idx="1">
                  <c:v>3272733.1242608</c:v>
                </c:pt>
                <c:pt idx="2">
                  <c:v>5677122.0397069482</c:v>
                </c:pt>
                <c:pt idx="3">
                  <c:v>5659776.435904</c:v>
                </c:pt>
                <c:pt idx="4">
                  <c:v>5590795.6943023615</c:v>
                </c:pt>
                <c:pt idx="5">
                  <c:v>11697918.160172028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10944"/>
        <c:axId val="104671488"/>
      </c:barChart>
      <c:lineChart>
        <c:grouping val="standard"/>
        <c:varyColors val="0"/>
        <c:ser>
          <c:idx val="1"/>
          <c:order val="1"/>
          <c:tx>
            <c:strRef>
              <c:f>'DF- Form'!$N$2</c:f>
              <c:strCache>
                <c:ptCount val="1"/>
                <c:pt idx="0">
                  <c:v>Saldo Acumulado</c:v>
                </c:pt>
              </c:strCache>
            </c:strRef>
          </c:tx>
          <c:marker>
            <c:symbol val="none"/>
          </c:marker>
          <c:val>
            <c:numRef>
              <c:f>'DF- Form'!$N$3:$N$8</c:f>
              <c:numCache>
                <c:formatCode>_("$"* #,##0.00_);_("$"* \(#,##0.00\);_("$"* "-"??_);_(@_)</c:formatCode>
                <c:ptCount val="6"/>
                <c:pt idx="0">
                  <c:v>-8299857.3861604882</c:v>
                </c:pt>
                <c:pt idx="1">
                  <c:v>-5027124.2618996883</c:v>
                </c:pt>
                <c:pt idx="2">
                  <c:v>649997.77780725993</c:v>
                </c:pt>
                <c:pt idx="3">
                  <c:v>6309774.2137112599</c:v>
                </c:pt>
                <c:pt idx="4">
                  <c:v>11900569.908013621</c:v>
                </c:pt>
                <c:pt idx="5">
                  <c:v>23598488.06818565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10944"/>
        <c:axId val="104671488"/>
      </c:lineChart>
      <c:catAx>
        <c:axId val="10741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671488"/>
        <c:crosses val="autoZero"/>
        <c:auto val="1"/>
        <c:lblAlgn val="ctr"/>
        <c:lblOffset val="100"/>
        <c:noMultiLvlLbl val="0"/>
      </c:catAx>
      <c:valAx>
        <c:axId val="104671488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07410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160</xdr:row>
      <xdr:rowOff>19050</xdr:rowOff>
    </xdr:from>
    <xdr:to>
      <xdr:col>5</xdr:col>
      <xdr:colOff>676275</xdr:colOff>
      <xdr:row>185</xdr:row>
      <xdr:rowOff>85725</xdr:rowOff>
    </xdr:to>
    <xdr:graphicFrame macro="">
      <xdr:nvGraphicFramePr>
        <xdr:cNvPr id="32065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185</xdr:row>
      <xdr:rowOff>142875</xdr:rowOff>
    </xdr:from>
    <xdr:to>
      <xdr:col>5</xdr:col>
      <xdr:colOff>685800</xdr:colOff>
      <xdr:row>215</xdr:row>
      <xdr:rowOff>38100</xdr:rowOff>
    </xdr:to>
    <xdr:graphicFrame macro="">
      <xdr:nvGraphicFramePr>
        <xdr:cNvPr id="32065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769285</xdr:colOff>
      <xdr:row>173</xdr:row>
      <xdr:rowOff>0</xdr:rowOff>
    </xdr:from>
    <xdr:to>
      <xdr:col>1</xdr:col>
      <xdr:colOff>771525</xdr:colOff>
      <xdr:row>181</xdr:row>
      <xdr:rowOff>28016</xdr:rowOff>
    </xdr:to>
    <xdr:cxnSp macro="">
      <xdr:nvCxnSpPr>
        <xdr:cNvPr id="3" name="2 Conector recto"/>
        <xdr:cNvCxnSpPr/>
      </xdr:nvCxnSpPr>
      <xdr:spPr>
        <a:xfrm flipH="1">
          <a:off x="3655360" y="28575000"/>
          <a:ext cx="2240" cy="1323416"/>
        </a:xfrm>
        <a:prstGeom prst="line">
          <a:avLst/>
        </a:prstGeom>
        <a:ln>
          <a:prstDash val="sysDash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1457325</xdr:colOff>
      <xdr:row>173</xdr:row>
      <xdr:rowOff>28575</xdr:rowOff>
    </xdr:from>
    <xdr:to>
      <xdr:col>1</xdr:col>
      <xdr:colOff>783291</xdr:colOff>
      <xdr:row>173</xdr:row>
      <xdr:rowOff>32498</xdr:rowOff>
    </xdr:to>
    <xdr:cxnSp macro="">
      <xdr:nvCxnSpPr>
        <xdr:cNvPr id="6" name="5 Conector recto"/>
        <xdr:cNvCxnSpPr/>
      </xdr:nvCxnSpPr>
      <xdr:spPr>
        <a:xfrm flipH="1" flipV="1">
          <a:off x="1457325" y="28603575"/>
          <a:ext cx="2212041" cy="3923"/>
        </a:xfrm>
        <a:prstGeom prst="line">
          <a:avLst/>
        </a:prstGeom>
        <a:ln>
          <a:prstDash val="sysDash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203</xdr:row>
      <xdr:rowOff>47625</xdr:rowOff>
    </xdr:from>
    <xdr:to>
      <xdr:col>1</xdr:col>
      <xdr:colOff>85725</xdr:colOff>
      <xdr:row>211</xdr:row>
      <xdr:rowOff>95250</xdr:rowOff>
    </xdr:to>
    <xdr:cxnSp macro="">
      <xdr:nvCxnSpPr>
        <xdr:cNvPr id="8" name="7 Conector recto"/>
        <xdr:cNvCxnSpPr/>
      </xdr:nvCxnSpPr>
      <xdr:spPr>
        <a:xfrm>
          <a:off x="2971800" y="33537525"/>
          <a:ext cx="0" cy="1343025"/>
        </a:xfrm>
        <a:prstGeom prst="line">
          <a:avLst/>
        </a:prstGeom>
        <a:ln>
          <a:prstDash val="sysDash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1247775</xdr:colOff>
      <xdr:row>203</xdr:row>
      <xdr:rowOff>9525</xdr:rowOff>
    </xdr:from>
    <xdr:to>
      <xdr:col>1</xdr:col>
      <xdr:colOff>123825</xdr:colOff>
      <xdr:row>203</xdr:row>
      <xdr:rowOff>38100</xdr:rowOff>
    </xdr:to>
    <xdr:cxnSp macro="">
      <xdr:nvCxnSpPr>
        <xdr:cNvPr id="9" name="8 Conector recto"/>
        <xdr:cNvCxnSpPr/>
      </xdr:nvCxnSpPr>
      <xdr:spPr>
        <a:xfrm flipH="1">
          <a:off x="1247775" y="33499425"/>
          <a:ext cx="1762125" cy="28575"/>
        </a:xfrm>
        <a:prstGeom prst="line">
          <a:avLst/>
        </a:prstGeom>
        <a:ln>
          <a:prstDash val="sysDash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605678</xdr:colOff>
      <xdr:row>181</xdr:row>
      <xdr:rowOff>46503</xdr:rowOff>
    </xdr:from>
    <xdr:to>
      <xdr:col>1</xdr:col>
      <xdr:colOff>972671</xdr:colOff>
      <xdr:row>182</xdr:row>
      <xdr:rowOff>70596</xdr:rowOff>
    </xdr:to>
    <xdr:sp macro="" textlink="">
      <xdr:nvSpPr>
        <xdr:cNvPr id="13" name="12 Rectángulo"/>
        <xdr:cNvSpPr/>
      </xdr:nvSpPr>
      <xdr:spPr>
        <a:xfrm>
          <a:off x="3491753" y="29916903"/>
          <a:ext cx="366993" cy="186018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AR" sz="800" b="1"/>
            <a:t>48%</a:t>
          </a:r>
        </a:p>
      </xdr:txBody>
    </xdr:sp>
    <xdr:clientData/>
  </xdr:twoCellAnchor>
  <xdr:twoCellAnchor>
    <xdr:from>
      <xdr:col>0</xdr:col>
      <xdr:colOff>708211</xdr:colOff>
      <xdr:row>172</xdr:row>
      <xdr:rowOff>138391</xdr:rowOff>
    </xdr:from>
    <xdr:to>
      <xdr:col>0</xdr:col>
      <xdr:colOff>1432111</xdr:colOff>
      <xdr:row>174</xdr:row>
      <xdr:rowOff>57710</xdr:rowOff>
    </xdr:to>
    <xdr:sp macro="" textlink="">
      <xdr:nvSpPr>
        <xdr:cNvPr id="16" name="15 Rectángulo"/>
        <xdr:cNvSpPr/>
      </xdr:nvSpPr>
      <xdr:spPr>
        <a:xfrm>
          <a:off x="708211" y="28551466"/>
          <a:ext cx="723900" cy="243169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AR" sz="800" b="1"/>
            <a:t>M$</a:t>
          </a:r>
          <a:r>
            <a:rPr lang="es-AR" sz="800" b="1" baseline="0"/>
            <a:t> 5,330</a:t>
          </a:r>
          <a:endParaRPr lang="es-AR" sz="800" b="1"/>
        </a:p>
      </xdr:txBody>
    </xdr:sp>
    <xdr:clientData/>
  </xdr:twoCellAnchor>
  <xdr:twoCellAnchor>
    <xdr:from>
      <xdr:col>0</xdr:col>
      <xdr:colOff>2755527</xdr:colOff>
      <xdr:row>211</xdr:row>
      <xdr:rowOff>159684</xdr:rowOff>
    </xdr:from>
    <xdr:to>
      <xdr:col>1</xdr:col>
      <xdr:colOff>295275</xdr:colOff>
      <xdr:row>213</xdr:row>
      <xdr:rowOff>38100</xdr:rowOff>
    </xdr:to>
    <xdr:sp macro="" textlink="">
      <xdr:nvSpPr>
        <xdr:cNvPr id="17" name="16 Rectángulo"/>
        <xdr:cNvSpPr/>
      </xdr:nvSpPr>
      <xdr:spPr>
        <a:xfrm>
          <a:off x="2755527" y="34944984"/>
          <a:ext cx="425823" cy="202266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AR" sz="800" b="1"/>
            <a:t>32%</a:t>
          </a:r>
        </a:p>
      </xdr:txBody>
    </xdr:sp>
    <xdr:clientData/>
  </xdr:twoCellAnchor>
  <xdr:twoCellAnchor>
    <xdr:from>
      <xdr:col>0</xdr:col>
      <xdr:colOff>462243</xdr:colOff>
      <xdr:row>202</xdr:row>
      <xdr:rowOff>145676</xdr:rowOff>
    </xdr:from>
    <xdr:to>
      <xdr:col>0</xdr:col>
      <xdr:colOff>1186143</xdr:colOff>
      <xdr:row>204</xdr:row>
      <xdr:rowOff>31376</xdr:rowOff>
    </xdr:to>
    <xdr:sp macro="" textlink="">
      <xdr:nvSpPr>
        <xdr:cNvPr id="18" name="17 Rectángulo"/>
        <xdr:cNvSpPr/>
      </xdr:nvSpPr>
      <xdr:spPr>
        <a:xfrm>
          <a:off x="462243" y="33473651"/>
          <a:ext cx="723900" cy="20955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AR" sz="800" b="1"/>
            <a:t>M$ 5,350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1019175</xdr:colOff>
      <xdr:row>16</xdr:row>
      <xdr:rowOff>19050</xdr:rowOff>
    </xdr:from>
    <xdr:to>
      <xdr:col>11</xdr:col>
      <xdr:colOff>1114425</xdr:colOff>
      <xdr:row>38</xdr:row>
      <xdr:rowOff>114300</xdr:rowOff>
    </xdr:to>
    <xdr:graphicFrame macro="">
      <xdr:nvGraphicFramePr>
        <xdr:cNvPr id="416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16</xdr:row>
      <xdr:rowOff>28575</xdr:rowOff>
    </xdr:from>
    <xdr:to>
      <xdr:col>5</xdr:col>
      <xdr:colOff>962025</xdr:colOff>
      <xdr:row>38</xdr:row>
      <xdr:rowOff>114300</xdr:rowOff>
    </xdr:to>
    <xdr:graphicFrame macro="">
      <xdr:nvGraphicFramePr>
        <xdr:cNvPr id="416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57145</xdr:colOff>
      <xdr:row>18</xdr:row>
      <xdr:rowOff>137584</xdr:rowOff>
    </xdr:from>
    <xdr:to>
      <xdr:col>4</xdr:col>
      <xdr:colOff>63494</xdr:colOff>
      <xdr:row>35</xdr:row>
      <xdr:rowOff>39161</xdr:rowOff>
    </xdr:to>
    <xdr:cxnSp macro="">
      <xdr:nvCxnSpPr>
        <xdr:cNvPr id="4" name="3 Conector recto"/>
        <xdr:cNvCxnSpPr/>
      </xdr:nvCxnSpPr>
      <xdr:spPr>
        <a:xfrm flipH="1">
          <a:off x="3856562" y="3513667"/>
          <a:ext cx="6349" cy="2600327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666746</xdr:colOff>
      <xdr:row>17</xdr:row>
      <xdr:rowOff>42334</xdr:rowOff>
    </xdr:from>
    <xdr:to>
      <xdr:col>4</xdr:col>
      <xdr:colOff>465910</xdr:colOff>
      <xdr:row>18</xdr:row>
      <xdr:rowOff>119534</xdr:rowOff>
    </xdr:to>
    <xdr:sp macro="" textlink="">
      <xdr:nvSpPr>
        <xdr:cNvPr id="5" name="1 CuadroTexto"/>
        <xdr:cNvSpPr txBox="1"/>
      </xdr:nvSpPr>
      <xdr:spPr>
        <a:xfrm>
          <a:off x="3397246" y="3259667"/>
          <a:ext cx="868081" cy="235950"/>
        </a:xfrm>
        <a:prstGeom prst="rect">
          <a:avLst/>
        </a:prstGeom>
        <a:solidFill>
          <a:srgbClr val="1F497D">
            <a:alpha val="24000"/>
          </a:srgbClr>
        </a:solidFill>
        <a:scene3d>
          <a:camera prst="orthographicFront"/>
          <a:lightRig rig="threePt" dir="t"/>
        </a:scene3d>
        <a:sp3d>
          <a:bevelT prst="relaxedInset"/>
        </a:sp3d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AR" sz="1100"/>
            <a:t>TIR=55,6%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60</xdr:row>
      <xdr:rowOff>19050</xdr:rowOff>
    </xdr:from>
    <xdr:to>
      <xdr:col>7</xdr:col>
      <xdr:colOff>219075</xdr:colOff>
      <xdr:row>87</xdr:row>
      <xdr:rowOff>0</xdr:rowOff>
    </xdr:to>
    <xdr:graphicFrame macro="">
      <xdr:nvGraphicFramePr>
        <xdr:cNvPr id="17041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838200</xdr:colOff>
      <xdr:row>89</xdr:row>
      <xdr:rowOff>9525</xdr:rowOff>
    </xdr:from>
    <xdr:to>
      <xdr:col>5</xdr:col>
      <xdr:colOff>542925</xdr:colOff>
      <xdr:row>117</xdr:row>
      <xdr:rowOff>38100</xdr:rowOff>
    </xdr:to>
    <xdr:graphicFrame macro="">
      <xdr:nvGraphicFramePr>
        <xdr:cNvPr id="17041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984258</xdr:colOff>
      <xdr:row>74</xdr:row>
      <xdr:rowOff>84667</xdr:rowOff>
    </xdr:from>
    <xdr:to>
      <xdr:col>2</xdr:col>
      <xdr:colOff>994834</xdr:colOff>
      <xdr:row>85</xdr:row>
      <xdr:rowOff>21167</xdr:rowOff>
    </xdr:to>
    <xdr:cxnSp macro="">
      <xdr:nvCxnSpPr>
        <xdr:cNvPr id="4" name="3 Conector recto"/>
        <xdr:cNvCxnSpPr/>
      </xdr:nvCxnSpPr>
      <xdr:spPr>
        <a:xfrm flipH="1">
          <a:off x="5693841" y="12160250"/>
          <a:ext cx="10576" cy="1682750"/>
        </a:xfrm>
        <a:prstGeom prst="line">
          <a:avLst/>
        </a:prstGeom>
        <a:ln>
          <a:prstDash val="sysDash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1915585</xdr:colOff>
      <xdr:row>74</xdr:row>
      <xdr:rowOff>84676</xdr:rowOff>
    </xdr:from>
    <xdr:to>
      <xdr:col>2</xdr:col>
      <xdr:colOff>1016000</xdr:colOff>
      <xdr:row>74</xdr:row>
      <xdr:rowOff>105834</xdr:rowOff>
    </xdr:to>
    <xdr:cxnSp macro="">
      <xdr:nvCxnSpPr>
        <xdr:cNvPr id="5" name="4 Conector recto"/>
        <xdr:cNvCxnSpPr/>
      </xdr:nvCxnSpPr>
      <xdr:spPr>
        <a:xfrm flipH="1" flipV="1">
          <a:off x="1915585" y="12160259"/>
          <a:ext cx="3809998" cy="21158"/>
        </a:xfrm>
        <a:prstGeom prst="line">
          <a:avLst/>
        </a:prstGeom>
        <a:ln>
          <a:prstDash val="sysDash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813487</xdr:colOff>
      <xdr:row>83</xdr:row>
      <xdr:rowOff>137206</xdr:rowOff>
    </xdr:from>
    <xdr:to>
      <xdr:col>3</xdr:col>
      <xdr:colOff>79813</xdr:colOff>
      <xdr:row>84</xdr:row>
      <xdr:rowOff>154389</xdr:rowOff>
    </xdr:to>
    <xdr:sp macro="" textlink="">
      <xdr:nvSpPr>
        <xdr:cNvPr id="6" name="5 Rectángulo"/>
        <xdr:cNvSpPr/>
      </xdr:nvSpPr>
      <xdr:spPr>
        <a:xfrm>
          <a:off x="5523070" y="13641539"/>
          <a:ext cx="366993" cy="175933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AR" sz="800" b="1"/>
            <a:t>51%</a:t>
          </a:r>
        </a:p>
      </xdr:txBody>
    </xdr:sp>
    <xdr:clientData/>
  </xdr:twoCellAnchor>
  <xdr:twoCellAnchor>
    <xdr:from>
      <xdr:col>0</xdr:col>
      <xdr:colOff>1915583</xdr:colOff>
      <xdr:row>74</xdr:row>
      <xdr:rowOff>1929</xdr:rowOff>
    </xdr:from>
    <xdr:to>
      <xdr:col>0</xdr:col>
      <xdr:colOff>2639483</xdr:colOff>
      <xdr:row>75</xdr:row>
      <xdr:rowOff>76262</xdr:rowOff>
    </xdr:to>
    <xdr:sp macro="" textlink="">
      <xdr:nvSpPr>
        <xdr:cNvPr id="7" name="6 Rectángulo"/>
        <xdr:cNvSpPr/>
      </xdr:nvSpPr>
      <xdr:spPr>
        <a:xfrm>
          <a:off x="1915583" y="12077512"/>
          <a:ext cx="723900" cy="233083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AR" sz="800" b="1"/>
            <a:t>$5.753.823</a:t>
          </a:r>
        </a:p>
      </xdr:txBody>
    </xdr:sp>
    <xdr:clientData/>
  </xdr:twoCellAnchor>
  <xdr:twoCellAnchor>
    <xdr:from>
      <xdr:col>0</xdr:col>
      <xdr:colOff>3439583</xdr:colOff>
      <xdr:row>110</xdr:row>
      <xdr:rowOff>52917</xdr:rowOff>
    </xdr:from>
    <xdr:to>
      <xdr:col>0</xdr:col>
      <xdr:colOff>3450167</xdr:colOff>
      <xdr:row>115</xdr:row>
      <xdr:rowOff>63500</xdr:rowOff>
    </xdr:to>
    <xdr:cxnSp macro="">
      <xdr:nvCxnSpPr>
        <xdr:cNvPr id="10" name="9 Conector recto"/>
        <xdr:cNvCxnSpPr/>
      </xdr:nvCxnSpPr>
      <xdr:spPr>
        <a:xfrm>
          <a:off x="3439583" y="17907000"/>
          <a:ext cx="10584" cy="804333"/>
        </a:xfrm>
        <a:prstGeom prst="line">
          <a:avLst/>
        </a:prstGeom>
        <a:ln>
          <a:prstDash val="sysDash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1809751</xdr:colOff>
      <xdr:row>110</xdr:row>
      <xdr:rowOff>52910</xdr:rowOff>
    </xdr:from>
    <xdr:to>
      <xdr:col>0</xdr:col>
      <xdr:colOff>3429000</xdr:colOff>
      <xdr:row>110</xdr:row>
      <xdr:rowOff>63490</xdr:rowOff>
    </xdr:to>
    <xdr:cxnSp macro="">
      <xdr:nvCxnSpPr>
        <xdr:cNvPr id="11" name="10 Conector recto"/>
        <xdr:cNvCxnSpPr/>
      </xdr:nvCxnSpPr>
      <xdr:spPr>
        <a:xfrm flipH="1" flipV="1">
          <a:off x="1809751" y="17906993"/>
          <a:ext cx="1619249" cy="10580"/>
        </a:xfrm>
        <a:prstGeom prst="line">
          <a:avLst/>
        </a:prstGeom>
        <a:ln>
          <a:prstDash val="sysDash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3294218</xdr:colOff>
      <xdr:row>114</xdr:row>
      <xdr:rowOff>25026</xdr:rowOff>
    </xdr:from>
    <xdr:to>
      <xdr:col>1</xdr:col>
      <xdr:colOff>31128</xdr:colOff>
      <xdr:row>115</xdr:row>
      <xdr:rowOff>42209</xdr:rowOff>
    </xdr:to>
    <xdr:sp macro="" textlink="">
      <xdr:nvSpPr>
        <xdr:cNvPr id="12" name="11 Rectángulo"/>
        <xdr:cNvSpPr/>
      </xdr:nvSpPr>
      <xdr:spPr>
        <a:xfrm>
          <a:off x="3294218" y="18514109"/>
          <a:ext cx="366993" cy="175933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AR" sz="800" b="1"/>
            <a:t>33%</a:t>
          </a:r>
        </a:p>
      </xdr:txBody>
    </xdr:sp>
    <xdr:clientData/>
  </xdr:twoCellAnchor>
  <xdr:twoCellAnchor>
    <xdr:from>
      <xdr:col>0</xdr:col>
      <xdr:colOff>1739876</xdr:colOff>
      <xdr:row>108</xdr:row>
      <xdr:rowOff>154323</xdr:rowOff>
    </xdr:from>
    <xdr:to>
      <xdr:col>0</xdr:col>
      <xdr:colOff>2463776</xdr:colOff>
      <xdr:row>110</xdr:row>
      <xdr:rowOff>69906</xdr:rowOff>
    </xdr:to>
    <xdr:sp macro="" textlink="">
      <xdr:nvSpPr>
        <xdr:cNvPr id="13" name="12 Rectángulo"/>
        <xdr:cNvSpPr/>
      </xdr:nvSpPr>
      <xdr:spPr>
        <a:xfrm>
          <a:off x="1739876" y="17690906"/>
          <a:ext cx="723900" cy="233083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AR" sz="800" b="1"/>
            <a:t>$5.438.457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14</xdr:row>
      <xdr:rowOff>47625</xdr:rowOff>
    </xdr:from>
    <xdr:to>
      <xdr:col>15</xdr:col>
      <xdr:colOff>942975</xdr:colOff>
      <xdr:row>37</xdr:row>
      <xdr:rowOff>76200</xdr:rowOff>
    </xdr:to>
    <xdr:graphicFrame macro="">
      <xdr:nvGraphicFramePr>
        <xdr:cNvPr id="22440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1014420</xdr:colOff>
      <xdr:row>16</xdr:row>
      <xdr:rowOff>121794</xdr:rowOff>
    </xdr:from>
    <xdr:to>
      <xdr:col>12</xdr:col>
      <xdr:colOff>1034914</xdr:colOff>
      <xdr:row>33</xdr:row>
      <xdr:rowOff>164043</xdr:rowOff>
    </xdr:to>
    <xdr:cxnSp macro="">
      <xdr:nvCxnSpPr>
        <xdr:cNvPr id="7" name="6 Conector recto"/>
        <xdr:cNvCxnSpPr/>
      </xdr:nvCxnSpPr>
      <xdr:spPr>
        <a:xfrm flipH="1">
          <a:off x="13611233" y="3872263"/>
          <a:ext cx="20494" cy="309024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1019175</xdr:colOff>
      <xdr:row>14</xdr:row>
      <xdr:rowOff>47625</xdr:rowOff>
    </xdr:from>
    <xdr:to>
      <xdr:col>23</xdr:col>
      <xdr:colOff>228600</xdr:colOff>
      <xdr:row>37</xdr:row>
      <xdr:rowOff>76200</xdr:rowOff>
    </xdr:to>
    <xdr:graphicFrame macro="">
      <xdr:nvGraphicFramePr>
        <xdr:cNvPr id="224408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962025</xdr:colOff>
      <xdr:row>15</xdr:row>
      <xdr:rowOff>66675</xdr:rowOff>
    </xdr:from>
    <xdr:to>
      <xdr:col>13</xdr:col>
      <xdr:colOff>772830</xdr:colOff>
      <xdr:row>16</xdr:row>
      <xdr:rowOff>102600</xdr:rowOff>
    </xdr:to>
    <xdr:sp macro="" textlink="">
      <xdr:nvSpPr>
        <xdr:cNvPr id="11" name="1 CuadroTexto"/>
        <xdr:cNvSpPr txBox="1"/>
      </xdr:nvSpPr>
      <xdr:spPr>
        <a:xfrm>
          <a:off x="12677775" y="3562350"/>
          <a:ext cx="868080" cy="235950"/>
        </a:xfrm>
        <a:prstGeom prst="rect">
          <a:avLst/>
        </a:prstGeom>
        <a:solidFill>
          <a:srgbClr val="1F497D">
            <a:alpha val="24000"/>
          </a:srgbClr>
        </a:solidFill>
        <a:scene3d>
          <a:camera prst="orthographicFront"/>
          <a:lightRig rig="threePt" dir="t"/>
        </a:scene3d>
        <a:sp3d>
          <a:bevelT prst="relaxedInset"/>
        </a:sp3d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AR" sz="1100"/>
            <a:t>TIRm=55%</a:t>
          </a:r>
        </a:p>
      </xdr:txBody>
    </xdr:sp>
    <xdr:clientData/>
  </xdr:twoCellAnchor>
  <xdr:twoCellAnchor>
    <xdr:from>
      <xdr:col>11</xdr:col>
      <xdr:colOff>357232</xdr:colOff>
      <xdr:row>16</xdr:row>
      <xdr:rowOff>67025</xdr:rowOff>
    </xdr:from>
    <xdr:to>
      <xdr:col>11</xdr:col>
      <xdr:colOff>377726</xdr:colOff>
      <xdr:row>33</xdr:row>
      <xdr:rowOff>109274</xdr:rowOff>
    </xdr:to>
    <xdr:cxnSp macro="">
      <xdr:nvCxnSpPr>
        <xdr:cNvPr id="6" name="5 Conector recto"/>
        <xdr:cNvCxnSpPr/>
      </xdr:nvCxnSpPr>
      <xdr:spPr>
        <a:xfrm flipH="1">
          <a:off x="11751513" y="3817494"/>
          <a:ext cx="20494" cy="3090249"/>
        </a:xfrm>
        <a:prstGeom prst="line">
          <a:avLst/>
        </a:prstGeom>
        <a:ln w="28575">
          <a:solidFill>
            <a:srgbClr val="00B05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592973</xdr:colOff>
      <xdr:row>16</xdr:row>
      <xdr:rowOff>76553</xdr:rowOff>
    </xdr:from>
    <xdr:to>
      <xdr:col>11</xdr:col>
      <xdr:colOff>613467</xdr:colOff>
      <xdr:row>33</xdr:row>
      <xdr:rowOff>118802</xdr:rowOff>
    </xdr:to>
    <xdr:cxnSp macro="">
      <xdr:nvCxnSpPr>
        <xdr:cNvPr id="8" name="7 Conector recto"/>
        <xdr:cNvCxnSpPr/>
      </xdr:nvCxnSpPr>
      <xdr:spPr>
        <a:xfrm flipH="1">
          <a:off x="11987254" y="3827022"/>
          <a:ext cx="20494" cy="3090249"/>
        </a:xfrm>
        <a:prstGeom prst="line">
          <a:avLst/>
        </a:prstGeom>
        <a:ln w="28575">
          <a:solidFill>
            <a:srgbClr val="00B0F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592931</xdr:colOff>
      <xdr:row>16</xdr:row>
      <xdr:rowOff>130968</xdr:rowOff>
    </xdr:from>
    <xdr:to>
      <xdr:col>12</xdr:col>
      <xdr:colOff>35718</xdr:colOff>
      <xdr:row>18</xdr:row>
      <xdr:rowOff>50212</xdr:rowOff>
    </xdr:to>
    <xdr:sp macro="" textlink="">
      <xdr:nvSpPr>
        <xdr:cNvPr id="9" name="1 CuadroTexto"/>
        <xdr:cNvSpPr txBox="1"/>
      </xdr:nvSpPr>
      <xdr:spPr>
        <a:xfrm>
          <a:off x="11987212" y="3881437"/>
          <a:ext cx="645319" cy="252619"/>
        </a:xfrm>
        <a:prstGeom prst="rect">
          <a:avLst/>
        </a:prstGeom>
        <a:solidFill>
          <a:srgbClr val="00B0F0">
            <a:alpha val="24000"/>
          </a:srgbClr>
        </a:solidFill>
        <a:scene3d>
          <a:camera prst="orthographicFront"/>
          <a:lightRig rig="threePt" dir="t"/>
        </a:scene3d>
        <a:sp3d>
          <a:bevelT prst="relaxedInset"/>
        </a:sp3d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AR" sz="1100"/>
            <a:t>Kc=25%</a:t>
          </a:r>
        </a:p>
      </xdr:txBody>
    </xdr:sp>
    <xdr:clientData/>
  </xdr:twoCellAnchor>
  <xdr:twoCellAnchor>
    <xdr:from>
      <xdr:col>10</xdr:col>
      <xdr:colOff>709613</xdr:colOff>
      <xdr:row>16</xdr:row>
      <xdr:rowOff>95251</xdr:rowOff>
    </xdr:from>
    <xdr:to>
      <xdr:col>11</xdr:col>
      <xdr:colOff>369093</xdr:colOff>
      <xdr:row>17</xdr:row>
      <xdr:rowOff>154782</xdr:rowOff>
    </xdr:to>
    <xdr:sp macro="" textlink="">
      <xdr:nvSpPr>
        <xdr:cNvPr id="10" name="1 CuadroTexto"/>
        <xdr:cNvSpPr txBox="1"/>
      </xdr:nvSpPr>
      <xdr:spPr>
        <a:xfrm>
          <a:off x="11044238" y="3845720"/>
          <a:ext cx="719136" cy="226218"/>
        </a:xfrm>
        <a:prstGeom prst="rect">
          <a:avLst/>
        </a:prstGeom>
        <a:solidFill>
          <a:srgbClr val="00B050">
            <a:alpha val="24000"/>
          </a:srgbClr>
        </a:solidFill>
        <a:scene3d>
          <a:camera prst="orthographicFront"/>
          <a:lightRig rig="threePt" dir="t"/>
        </a:scene3d>
        <a:sp3d>
          <a:bevelT prst="relaxedInset"/>
        </a:sp3d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AR" sz="1100"/>
            <a:t>Ko=21%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to/UTN/Evaluacion%20de%20Proyecto/TP/Entrega%20Dim%20Economico%20Financiero%20V21%20(OK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to/Google%20Drive/Facultad/5%20-%20Evaluaci&#243;n%20de%20Proyectos/TP/2%20-%20Dim%20Tecnico%20-%20Fisico/Ej%201%20al%2011%20-%20Yacobell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as/Dropbox/Evaluacion%20Proyectos/Dimensionamiento%20Fisico/Ej%201%20al%2011%20-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to/Google%20Drive/Facultad/5%20-%20Evaluaci&#243;n%20de%20Proyectos/TP/1-%20Dim%20Comercial/ventas%20proyec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"/>
      <sheetName val="Detalle AF"/>
      <sheetName val="Detalle Costos"/>
      <sheetName val="InfoInicial"/>
      <sheetName val="DE-Inv AF y Am"/>
      <sheetName val="DE-Costos"/>
      <sheetName val="DE-InvAT"/>
      <sheetName val="DE-Cal Inv."/>
      <sheetName val="DE-IVA "/>
      <sheetName val="DE-Form"/>
      <sheetName val="Detalle Cred Terreno"/>
      <sheetName val="Detalle Cred Construccion"/>
      <sheetName val="Detalle Cred Maq y Equipos"/>
      <sheetName val="Detalle Cred Renovable"/>
      <sheetName val="DF-Cred"/>
      <sheetName val="DF-CRes"/>
      <sheetName val="DF-2 Estructura"/>
      <sheetName val="DF-IVA"/>
      <sheetName val="DF- CFyU"/>
      <sheetName val="DF-Balance"/>
      <sheetName val="DF- Form"/>
    </sheetNames>
    <sheetDataSet>
      <sheetData sheetId="0">
        <row r="12">
          <cell r="J12">
            <v>5.8193781687018928E-2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 1 -  Caucho"/>
      <sheetName val="EJ 1 - Caño"/>
      <sheetName val="EJ 1 - Separador"/>
      <sheetName val="EJ 2"/>
      <sheetName val="EJ 3"/>
      <sheetName val="EJ 4"/>
      <sheetName val="EJ 5"/>
      <sheetName val="EJ 6 - Caucho"/>
      <sheetName val="EJ 6 - Caño"/>
      <sheetName val="EJ 7 - Caucho"/>
      <sheetName val="EJ 7 - Caño"/>
      <sheetName val="EJ 8"/>
      <sheetName val="EJ 9"/>
      <sheetName val="EJ 10"/>
      <sheetName val="EJ 11"/>
    </sheetNames>
    <sheetDataSet>
      <sheetData sheetId="0">
        <row r="4">
          <cell r="F4">
            <v>6000</v>
          </cell>
        </row>
        <row r="28">
          <cell r="C28">
            <v>6138</v>
          </cell>
        </row>
      </sheetData>
      <sheetData sheetId="1">
        <row r="4">
          <cell r="F4">
            <v>16200.000000000002</v>
          </cell>
        </row>
        <row r="30">
          <cell r="C30">
            <v>17722.800000000003</v>
          </cell>
        </row>
      </sheetData>
      <sheetData sheetId="2">
        <row r="6">
          <cell r="F6">
            <v>120000</v>
          </cell>
        </row>
        <row r="28">
          <cell r="C28">
            <v>120480</v>
          </cell>
        </row>
      </sheetData>
      <sheetData sheetId="3">
        <row r="20">
          <cell r="G20">
            <v>1888</v>
          </cell>
        </row>
      </sheetData>
      <sheetData sheetId="4"/>
      <sheetData sheetId="5"/>
      <sheetData sheetId="6"/>
      <sheetData sheetId="7">
        <row r="27">
          <cell r="G27">
            <v>4841.7391304347821</v>
          </cell>
        </row>
      </sheetData>
      <sheetData sheetId="8">
        <row r="27">
          <cell r="G27">
            <v>13072.695652173914</v>
          </cell>
        </row>
      </sheetData>
      <sheetData sheetId="9"/>
      <sheetData sheetId="10"/>
      <sheetData sheetId="11"/>
      <sheetData sheetId="12">
        <row r="56">
          <cell r="H56">
            <v>50.847457627118644</v>
          </cell>
        </row>
        <row r="82">
          <cell r="H82">
            <v>137.28813559322035</v>
          </cell>
        </row>
        <row r="105">
          <cell r="G105">
            <v>69.813559322033896</v>
          </cell>
        </row>
        <row r="107">
          <cell r="G107">
            <v>5143.7787767133386</v>
          </cell>
        </row>
        <row r="113">
          <cell r="G113">
            <v>150.19322033898308</v>
          </cell>
        </row>
        <row r="115">
          <cell r="G115">
            <v>14458.314959469419</v>
          </cell>
        </row>
      </sheetData>
      <sheetData sheetId="13">
        <row r="31">
          <cell r="E31">
            <v>1334.3478260869574</v>
          </cell>
          <cell r="G31">
            <v>3852.7826086956575</v>
          </cell>
        </row>
      </sheetData>
      <sheetData sheetId="14">
        <row r="10">
          <cell r="E10">
            <v>17914.434782608696</v>
          </cell>
          <cell r="F10">
            <v>22200</v>
          </cell>
        </row>
        <row r="12">
          <cell r="E12">
            <v>220.00677966101699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 1 -  Poliprop."/>
      <sheetName val="EJ 1 - Gel"/>
      <sheetName val="EJ 2"/>
      <sheetName val="EJ 3"/>
      <sheetName val="EJ 4"/>
      <sheetName val="EJ 5"/>
      <sheetName val="EJ 6 - Poliprop."/>
      <sheetName val="EJ 6 - Gel"/>
      <sheetName val="EJ 7 - Poliprop."/>
      <sheetName val="EJ 7 - Gel"/>
      <sheetName val="EJ 8"/>
      <sheetName val="EJ 9"/>
      <sheetName val="EJ 10"/>
      <sheetName val="EJ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1">
          <cell r="I51">
            <v>2499</v>
          </cell>
        </row>
        <row r="56">
          <cell r="H56">
            <v>2145.0643776824036</v>
          </cell>
        </row>
        <row r="84">
          <cell r="H84">
            <v>3329.9569957081549</v>
          </cell>
        </row>
      </sheetData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9">
          <cell r="B9">
            <v>80000</v>
          </cell>
          <cell r="C9">
            <v>120000</v>
          </cell>
          <cell r="D9">
            <v>120000</v>
          </cell>
          <cell r="E9">
            <v>120000</v>
          </cell>
          <cell r="F9">
            <v>120000</v>
          </cell>
        </row>
        <row r="10">
          <cell r="B10">
            <v>140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C35"/>
  <sheetViews>
    <sheetView workbookViewId="0">
      <selection activeCell="B1" sqref="B1"/>
    </sheetView>
  </sheetViews>
  <sheetFormatPr baseColWidth="10" defaultRowHeight="12.75" x14ac:dyDescent="0.2"/>
  <cols>
    <col min="1" max="1" width="2.5703125" customWidth="1"/>
    <col min="2" max="2" width="68.140625" style="362" bestFit="1" customWidth="1"/>
    <col min="3" max="13" width="14.85546875" bestFit="1" customWidth="1"/>
    <col min="14" max="14" width="6.7109375" bestFit="1" customWidth="1"/>
    <col min="15" max="15" width="15" bestFit="1" customWidth="1"/>
    <col min="16" max="16" width="13.85546875" bestFit="1" customWidth="1"/>
    <col min="17" max="17" width="8.5703125" bestFit="1" customWidth="1"/>
    <col min="18" max="18" width="12.28515625" bestFit="1" customWidth="1"/>
    <col min="19" max="19" width="2.42578125" customWidth="1"/>
    <col min="20" max="20" width="41" bestFit="1" customWidth="1"/>
    <col min="21" max="21" width="42.7109375" bestFit="1" customWidth="1"/>
    <col min="22" max="22" width="13.42578125" bestFit="1" customWidth="1"/>
    <col min="23" max="23" width="2.7109375" customWidth="1"/>
    <col min="24" max="24" width="42.7109375" bestFit="1" customWidth="1"/>
    <col min="25" max="26" width="12.140625" bestFit="1" customWidth="1"/>
    <col min="27" max="27" width="15.28515625" bestFit="1" customWidth="1"/>
    <col min="28" max="28" width="13.42578125" bestFit="1" customWidth="1"/>
    <col min="29" max="29" width="17.42578125" bestFit="1" customWidth="1"/>
    <col min="30" max="30" width="11.5703125" customWidth="1"/>
  </cols>
  <sheetData>
    <row r="1" spans="1:29" ht="13.5" thickBot="1" x14ac:dyDescent="0.25">
      <c r="A1" s="320"/>
      <c r="B1" s="353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1"/>
      <c r="U1" s="322" t="s">
        <v>406</v>
      </c>
      <c r="W1" s="321"/>
      <c r="Y1" s="322" t="s">
        <v>407</v>
      </c>
      <c r="AC1" s="323"/>
    </row>
    <row r="2" spans="1:29" x14ac:dyDescent="0.2">
      <c r="A2" s="320"/>
      <c r="B2" s="354" t="s">
        <v>220</v>
      </c>
      <c r="C2" s="324">
        <v>2013</v>
      </c>
      <c r="D2" s="324">
        <f>+C2+1</f>
        <v>2014</v>
      </c>
      <c r="E2" s="324">
        <f t="shared" ref="E2:M2" si="0">+D2+1</f>
        <v>2015</v>
      </c>
      <c r="F2" s="324">
        <f t="shared" si="0"/>
        <v>2016</v>
      </c>
      <c r="G2" s="324">
        <f t="shared" si="0"/>
        <v>2017</v>
      </c>
      <c r="H2" s="324">
        <f t="shared" si="0"/>
        <v>2018</v>
      </c>
      <c r="I2" s="324">
        <f t="shared" si="0"/>
        <v>2019</v>
      </c>
      <c r="J2" s="324">
        <f t="shared" si="0"/>
        <v>2020</v>
      </c>
      <c r="K2" s="324">
        <f t="shared" si="0"/>
        <v>2021</v>
      </c>
      <c r="L2" s="324">
        <f t="shared" si="0"/>
        <v>2022</v>
      </c>
      <c r="M2" s="325">
        <f t="shared" si="0"/>
        <v>2023</v>
      </c>
      <c r="N2" s="320"/>
      <c r="O2" s="320"/>
      <c r="P2" s="326" t="s">
        <v>408</v>
      </c>
      <c r="Q2" s="320"/>
      <c r="R2" s="320"/>
      <c r="S2" s="327"/>
      <c r="T2" s="323" t="s">
        <v>409</v>
      </c>
      <c r="V2" s="328">
        <v>26.39</v>
      </c>
      <c r="W2" s="327"/>
      <c r="X2" s="323" t="s">
        <v>410</v>
      </c>
      <c r="Y2" s="323" t="s">
        <v>411</v>
      </c>
      <c r="Z2" s="323" t="s">
        <v>412</v>
      </c>
      <c r="AA2" s="323" t="s">
        <v>413</v>
      </c>
      <c r="AB2" s="323" t="s">
        <v>414</v>
      </c>
      <c r="AC2" s="323" t="s">
        <v>415</v>
      </c>
    </row>
    <row r="3" spans="1:29" x14ac:dyDescent="0.2">
      <c r="A3" s="320"/>
      <c r="B3" s="355" t="s">
        <v>416</v>
      </c>
      <c r="C3" s="329">
        <f>2019.25-P3</f>
        <v>1865.6</v>
      </c>
      <c r="D3" s="329">
        <v>2220</v>
      </c>
      <c r="E3" s="329">
        <v>2590</v>
      </c>
      <c r="F3" s="329">
        <v>2623</v>
      </c>
      <c r="G3" s="329">
        <v>2655</v>
      </c>
      <c r="H3" s="329">
        <v>2688</v>
      </c>
      <c r="I3" s="329">
        <v>2720</v>
      </c>
      <c r="J3" s="329">
        <v>2753</v>
      </c>
      <c r="K3" s="329">
        <v>2786</v>
      </c>
      <c r="L3" s="329">
        <v>2818</v>
      </c>
      <c r="M3" s="330">
        <v>2851</v>
      </c>
      <c r="N3" s="320"/>
      <c r="O3" s="320"/>
      <c r="P3" s="329">
        <v>153.65</v>
      </c>
      <c r="Q3" s="320"/>
      <c r="R3" s="320"/>
      <c r="S3" s="327"/>
      <c r="T3" s="323" t="s">
        <v>417</v>
      </c>
      <c r="V3" s="328">
        <f>+V2/0.83</f>
        <v>31.795180722891569</v>
      </c>
      <c r="W3" s="327"/>
      <c r="X3" s="323" t="s">
        <v>418</v>
      </c>
      <c r="Y3">
        <v>7500</v>
      </c>
      <c r="Z3">
        <v>7500</v>
      </c>
      <c r="AA3">
        <v>10000</v>
      </c>
      <c r="AB3">
        <v>16000</v>
      </c>
      <c r="AC3">
        <v>22000</v>
      </c>
    </row>
    <row r="4" spans="1:29" x14ac:dyDescent="0.2">
      <c r="A4" s="320"/>
      <c r="B4" s="356" t="s">
        <v>419</v>
      </c>
      <c r="C4" s="329">
        <f>C3*0.01+(C3*1.01)*0.01</f>
        <v>37.498559999999998</v>
      </c>
      <c r="D4" s="329">
        <f t="shared" ref="D4:M4" si="1">D3*0.01+(D3*1.01)*0.01</f>
        <v>44.622</v>
      </c>
      <c r="E4" s="329">
        <f t="shared" si="1"/>
        <v>52.059000000000005</v>
      </c>
      <c r="F4" s="329">
        <f t="shared" si="1"/>
        <v>52.722300000000004</v>
      </c>
      <c r="G4" s="329">
        <f t="shared" si="1"/>
        <v>53.365500000000004</v>
      </c>
      <c r="H4" s="329">
        <f t="shared" si="1"/>
        <v>54.028800000000004</v>
      </c>
      <c r="I4" s="329">
        <f t="shared" si="1"/>
        <v>54.671999999999997</v>
      </c>
      <c r="J4" s="329">
        <f t="shared" si="1"/>
        <v>55.335300000000004</v>
      </c>
      <c r="K4" s="329">
        <f t="shared" si="1"/>
        <v>55.998599999999996</v>
      </c>
      <c r="L4" s="329">
        <f t="shared" si="1"/>
        <v>56.641800000000003</v>
      </c>
      <c r="M4" s="330">
        <f t="shared" si="1"/>
        <v>57.305100000000003</v>
      </c>
      <c r="N4" s="320"/>
      <c r="O4" s="320"/>
      <c r="P4" s="329">
        <f>P3*0.01+(P3*1.01)*0.01</f>
        <v>3.0883650000000005</v>
      </c>
      <c r="Q4" s="320"/>
      <c r="R4" s="320"/>
      <c r="S4" s="327"/>
      <c r="T4" t="s">
        <v>420</v>
      </c>
      <c r="V4" s="328"/>
      <c r="W4" s="327"/>
      <c r="X4" s="323" t="s">
        <v>421</v>
      </c>
      <c r="Y4">
        <f>Y3*12</f>
        <v>90000</v>
      </c>
      <c r="Z4">
        <f>Z3*12</f>
        <v>90000</v>
      </c>
      <c r="AA4">
        <f>AA3*12</f>
        <v>120000</v>
      </c>
      <c r="AB4">
        <f>AB3*12</f>
        <v>192000</v>
      </c>
      <c r="AC4">
        <f>AC3*12</f>
        <v>264000</v>
      </c>
    </row>
    <row r="5" spans="1:29" x14ac:dyDescent="0.2">
      <c r="A5" s="320"/>
      <c r="B5" s="356" t="s">
        <v>422</v>
      </c>
      <c r="C5" s="331">
        <f>(C3+C4)*0.8/0.2</f>
        <v>7612.3942399999996</v>
      </c>
      <c r="D5" s="331">
        <f t="shared" ref="D5:M5" si="2">(D3+D4)*0.8/0.2</f>
        <v>9058.4879999999994</v>
      </c>
      <c r="E5" s="331">
        <f t="shared" si="2"/>
        <v>10568.236000000001</v>
      </c>
      <c r="F5" s="331">
        <f t="shared" si="2"/>
        <v>10702.8892</v>
      </c>
      <c r="G5" s="331">
        <f t="shared" si="2"/>
        <v>10833.462</v>
      </c>
      <c r="H5" s="331">
        <f t="shared" si="2"/>
        <v>10968.115199999998</v>
      </c>
      <c r="I5" s="331">
        <f t="shared" si="2"/>
        <v>11098.687999999998</v>
      </c>
      <c r="J5" s="331">
        <f t="shared" si="2"/>
        <v>11233.341200000001</v>
      </c>
      <c r="K5" s="331">
        <f t="shared" si="2"/>
        <v>11367.9944</v>
      </c>
      <c r="L5" s="331">
        <f t="shared" si="2"/>
        <v>11498.5672</v>
      </c>
      <c r="M5" s="332">
        <f t="shared" si="2"/>
        <v>11633.2204</v>
      </c>
      <c r="N5" s="320"/>
      <c r="O5" s="320"/>
      <c r="P5" s="331">
        <f>(P3+P4)*0.8/0.2</f>
        <v>626.95346000000006</v>
      </c>
      <c r="Q5" s="333">
        <f>C6+P6</f>
        <v>11407.472270000002</v>
      </c>
      <c r="R5" s="320"/>
      <c r="S5" s="327"/>
      <c r="V5" s="328"/>
      <c r="W5" s="327"/>
      <c r="X5" s="323" t="s">
        <v>423</v>
      </c>
      <c r="Y5" s="328">
        <f>Y4/0.83</f>
        <v>108433.73493975904</v>
      </c>
      <c r="Z5" s="328">
        <f>Z4/0.83</f>
        <v>108433.73493975904</v>
      </c>
      <c r="AA5" s="328">
        <f>AA4/0.83</f>
        <v>144578.31325301205</v>
      </c>
      <c r="AB5" s="328">
        <f>AB4/0.83</f>
        <v>231325.30120481929</v>
      </c>
      <c r="AC5" s="328">
        <f>AC4/0.83</f>
        <v>318072.2891566265</v>
      </c>
    </row>
    <row r="6" spans="1:29" x14ac:dyDescent="0.2">
      <c r="A6" s="320"/>
      <c r="B6" s="357" t="s">
        <v>424</v>
      </c>
      <c r="C6" s="334">
        <f>+SUM(C3:C5)*1.1</f>
        <v>10467.042080000001</v>
      </c>
      <c r="D6" s="334">
        <f t="shared" ref="D6:M6" si="3">+SUM(D3:D5)</f>
        <v>11323.109999999999</v>
      </c>
      <c r="E6" s="334">
        <f t="shared" si="3"/>
        <v>13210.295000000002</v>
      </c>
      <c r="F6" s="334">
        <f t="shared" si="3"/>
        <v>13378.611499999999</v>
      </c>
      <c r="G6" s="334">
        <f t="shared" si="3"/>
        <v>13541.827499999999</v>
      </c>
      <c r="H6" s="334">
        <f t="shared" si="3"/>
        <v>13710.143999999998</v>
      </c>
      <c r="I6" s="334">
        <f t="shared" si="3"/>
        <v>13873.359999999999</v>
      </c>
      <c r="J6" s="334">
        <f t="shared" si="3"/>
        <v>14041.676500000001</v>
      </c>
      <c r="K6" s="334">
        <f t="shared" si="3"/>
        <v>14209.992999999999</v>
      </c>
      <c r="L6" s="334">
        <f t="shared" si="3"/>
        <v>14373.208999999999</v>
      </c>
      <c r="M6" s="335">
        <f t="shared" si="3"/>
        <v>14541.5255</v>
      </c>
      <c r="N6" s="320"/>
      <c r="O6" s="320"/>
      <c r="P6" s="334">
        <f>+SUM(P3:P5)*1.2</f>
        <v>940.43019000000004</v>
      </c>
      <c r="Q6" s="333">
        <f>C6/1.1+P6/1.2</f>
        <v>10299.184625</v>
      </c>
      <c r="R6" s="320"/>
      <c r="S6" s="327"/>
      <c r="V6" s="328"/>
      <c r="W6" s="327"/>
      <c r="X6" s="323" t="s">
        <v>425</v>
      </c>
      <c r="Y6" s="328">
        <f>Y5*2</f>
        <v>216867.46987951809</v>
      </c>
      <c r="Z6" s="328">
        <f>Z5*4</f>
        <v>433734.93975903618</v>
      </c>
      <c r="AA6" s="328">
        <f>AA5</f>
        <v>144578.31325301205</v>
      </c>
      <c r="AB6" s="336">
        <f>AB5*5</f>
        <v>1156626.5060240964</v>
      </c>
      <c r="AC6" s="328">
        <f>AC5</f>
        <v>318072.2891566265</v>
      </c>
    </row>
    <row r="7" spans="1:29" ht="18" x14ac:dyDescent="0.25">
      <c r="A7" s="320"/>
      <c r="B7" s="355" t="s">
        <v>426</v>
      </c>
      <c r="C7" s="329">
        <f>C6/50</f>
        <v>209.34084160000003</v>
      </c>
      <c r="D7" s="329">
        <f>D6/50</f>
        <v>226.46219999999997</v>
      </c>
      <c r="E7" s="329">
        <f t="shared" ref="E7:M7" si="4">E6/50</f>
        <v>264.20590000000004</v>
      </c>
      <c r="F7" s="329">
        <f t="shared" si="4"/>
        <v>267.57222999999999</v>
      </c>
      <c r="G7" s="337">
        <f t="shared" si="4"/>
        <v>270.83654999999999</v>
      </c>
      <c r="H7" s="329">
        <f t="shared" si="4"/>
        <v>274.20287999999999</v>
      </c>
      <c r="I7" s="329">
        <f t="shared" si="4"/>
        <v>277.46719999999999</v>
      </c>
      <c r="J7" s="329">
        <f t="shared" si="4"/>
        <v>280.83353000000005</v>
      </c>
      <c r="K7" s="329">
        <f t="shared" si="4"/>
        <v>284.19985999999994</v>
      </c>
      <c r="L7" s="329">
        <f t="shared" si="4"/>
        <v>287.46418</v>
      </c>
      <c r="M7" s="330">
        <f t="shared" si="4"/>
        <v>290.83051</v>
      </c>
      <c r="N7" s="320"/>
      <c r="O7" s="320"/>
      <c r="P7" s="329">
        <f>P6/50</f>
        <v>18.8086038</v>
      </c>
      <c r="Q7" s="333"/>
      <c r="R7" s="338"/>
      <c r="S7" s="327"/>
      <c r="T7" s="339" t="s">
        <v>427</v>
      </c>
      <c r="V7" s="328"/>
      <c r="W7" s="327"/>
      <c r="X7" s="323" t="s">
        <v>428</v>
      </c>
      <c r="Y7" s="328">
        <f>Y6/(243*9)</f>
        <v>99.162080420447225</v>
      </c>
      <c r="Z7" s="328">
        <f>Z6/(243*9)</f>
        <v>198.32416084089445</v>
      </c>
      <c r="AA7" s="328">
        <f>AA6/(243*9)</f>
        <v>66.108053613631483</v>
      </c>
      <c r="AB7" s="336">
        <f>AB6/(243*9)</f>
        <v>528.86442890905187</v>
      </c>
      <c r="AC7" s="328">
        <f>AC6/(243*9)</f>
        <v>145.43771794998926</v>
      </c>
    </row>
    <row r="8" spans="1:29" x14ac:dyDescent="0.2">
      <c r="A8" s="320"/>
      <c r="B8" s="356" t="s">
        <v>429</v>
      </c>
      <c r="C8" s="329">
        <f>5489130*(C3/($C$3+$P$3))</f>
        <v>5071447.779125913</v>
      </c>
      <c r="D8" s="329">
        <v>4824530</v>
      </c>
      <c r="E8" s="329">
        <v>5630434</v>
      </c>
      <c r="F8" s="329">
        <v>5702173</v>
      </c>
      <c r="G8" s="337">
        <v>5771739</v>
      </c>
      <c r="H8" s="329">
        <v>5843478</v>
      </c>
      <c r="I8" s="329">
        <v>5913043</v>
      </c>
      <c r="J8" s="329">
        <v>5984782</v>
      </c>
      <c r="K8" s="329">
        <v>6056521</v>
      </c>
      <c r="L8" s="329">
        <v>6126086</v>
      </c>
      <c r="M8" s="330">
        <v>6197826</v>
      </c>
      <c r="N8" s="320"/>
      <c r="O8" s="320"/>
      <c r="P8" s="329">
        <f>5489130*(P3/($C$3+$P$3))</f>
        <v>417682.22087408695</v>
      </c>
      <c r="Q8" s="333">
        <f>+Q5/243*5</f>
        <v>234.72165164609061</v>
      </c>
      <c r="R8" s="338">
        <f>Q8*$C$10</f>
        <v>257297.18010141162</v>
      </c>
      <c r="S8" s="327"/>
      <c r="V8" s="328"/>
      <c r="W8" s="327"/>
      <c r="X8" s="323"/>
      <c r="Y8" s="328"/>
      <c r="Z8" s="328"/>
      <c r="AA8" s="328"/>
      <c r="AB8" s="336"/>
      <c r="AC8" s="328"/>
    </row>
    <row r="9" spans="1:29" ht="18.75" thickBot="1" x14ac:dyDescent="0.3">
      <c r="A9" s="320"/>
      <c r="B9" s="358" t="s">
        <v>430</v>
      </c>
      <c r="C9" s="340">
        <f>+C6/C8</f>
        <v>2.0639159734784931E-3</v>
      </c>
      <c r="D9" s="340">
        <f t="shared" ref="D9:M9" si="5">+D6/D8</f>
        <v>2.3469871676619273E-3</v>
      </c>
      <c r="E9" s="340">
        <f t="shared" si="5"/>
        <v>2.3462303261169567E-3</v>
      </c>
      <c r="F9" s="340">
        <f t="shared" si="5"/>
        <v>2.3462303756830948E-3</v>
      </c>
      <c r="G9" s="340">
        <f t="shared" si="5"/>
        <v>2.3462300530221478E-3</v>
      </c>
      <c r="H9" s="340">
        <f t="shared" si="5"/>
        <v>2.3462301047424152E-3</v>
      </c>
      <c r="I9" s="340">
        <f t="shared" si="5"/>
        <v>2.3462301897686183E-3</v>
      </c>
      <c r="J9" s="340">
        <f t="shared" si="5"/>
        <v>2.3462302386285752E-3</v>
      </c>
      <c r="K9" s="340">
        <f t="shared" si="5"/>
        <v>2.3462302863310469E-3</v>
      </c>
      <c r="L9" s="340">
        <f t="shared" si="5"/>
        <v>2.3462303663383112E-3</v>
      </c>
      <c r="M9" s="341">
        <f t="shared" si="5"/>
        <v>2.3462300329179942E-3</v>
      </c>
      <c r="N9" s="320"/>
      <c r="O9" s="320"/>
      <c r="P9" s="340">
        <f>+P6/P8</f>
        <v>2.2515446983401742E-3</v>
      </c>
      <c r="Q9" s="333">
        <f>Q5-Q6-Q8</f>
        <v>873.56599335391161</v>
      </c>
      <c r="R9" s="338">
        <f>Q9*$C$10</f>
        <v>957585.57059469086</v>
      </c>
      <c r="S9" s="327"/>
      <c r="V9" s="328"/>
      <c r="W9" s="327"/>
      <c r="X9" s="339" t="s">
        <v>431</v>
      </c>
      <c r="Y9" s="328"/>
      <c r="Z9" s="328"/>
      <c r="AA9" s="328"/>
      <c r="AB9" s="336"/>
      <c r="AC9" s="328"/>
    </row>
    <row r="10" spans="1:29" x14ac:dyDescent="0.2">
      <c r="A10" s="320"/>
      <c r="B10" s="359" t="s">
        <v>432</v>
      </c>
      <c r="C10" s="343">
        <v>1096.18</v>
      </c>
      <c r="D10" s="343">
        <f>C10*(1+[1]Aux.!$J$12)</f>
        <v>1159.9708596096764</v>
      </c>
      <c r="E10" s="343">
        <f>D10*(1+[1]Aux.!$J$12)</f>
        <v>1227.4739505771054</v>
      </c>
      <c r="F10" s="343">
        <f>E10*(1+[1]Aux.!$J$12)</f>
        <v>1298.9053016834919</v>
      </c>
      <c r="G10" s="343">
        <f>F10*(1+[1]Aux.!$J$12)</f>
        <v>1374.4935132417722</v>
      </c>
      <c r="H10" s="343">
        <f>G10*(1+[1]Aux.!$J$12)</f>
        <v>1454.4804886815875</v>
      </c>
      <c r="I10" s="343">
        <f>H10*(1+[1]Aux.!$J$12)</f>
        <v>1539.1222087079523</v>
      </c>
      <c r="J10" s="343">
        <f>I10*(1+[1]Aux.!$J$12)</f>
        <v>1628.6895505111452</v>
      </c>
      <c r="K10" s="343">
        <f>J10*(1+[1]Aux.!$J$12)</f>
        <v>1723.4691546495196</v>
      </c>
      <c r="L10" s="343">
        <f>K10*(1+[1]Aux.!$J$12)</f>
        <v>1823.7643423795046</v>
      </c>
      <c r="M10" s="343">
        <f>L10*(1+[1]Aux.!$J$12)</f>
        <v>1929.896086368507</v>
      </c>
      <c r="N10" s="344"/>
      <c r="O10" s="320"/>
      <c r="P10" s="345">
        <f>C10</f>
        <v>1096.18</v>
      </c>
      <c r="Q10" s="333"/>
      <c r="R10" s="338"/>
      <c r="S10" s="327"/>
      <c r="V10" s="328"/>
      <c r="W10" s="327"/>
      <c r="X10" s="323"/>
      <c r="Y10" s="328"/>
      <c r="Z10" s="328"/>
      <c r="AA10" s="328"/>
      <c r="AB10" s="336"/>
      <c r="AC10" s="328"/>
    </row>
    <row r="11" spans="1:29" x14ac:dyDescent="0.2">
      <c r="A11" s="320"/>
      <c r="B11" s="359" t="s">
        <v>433</v>
      </c>
      <c r="C11" s="343">
        <f>+C6*C10</f>
        <v>11473762.187254401</v>
      </c>
      <c r="D11" s="343">
        <f t="shared" ref="D11:M11" si="6">+D6*D10</f>
        <v>13134477.640154921</v>
      </c>
      <c r="E11" s="343">
        <f t="shared" si="6"/>
        <v>16215292.991938984</v>
      </c>
      <c r="F11" s="343">
        <f t="shared" si="6"/>
        <v>17377549.406513732</v>
      </c>
      <c r="G11" s="343">
        <f t="shared" si="6"/>
        <v>18613154.056189045</v>
      </c>
      <c r="H11" s="343">
        <f t="shared" si="6"/>
        <v>19941136.945014931</v>
      </c>
      <c r="I11" s="343">
        <f t="shared" si="6"/>
        <v>21352796.485400554</v>
      </c>
      <c r="J11" s="343">
        <f t="shared" si="6"/>
        <v>22869531.787207913</v>
      </c>
      <c r="K11" s="343">
        <f t="shared" si="6"/>
        <v>24490484.623285588</v>
      </c>
      <c r="L11" s="343">
        <f t="shared" si="6"/>
        <v>26213346.059768174</v>
      </c>
      <c r="M11" s="343">
        <f t="shared" si="6"/>
        <v>28063633.152277846</v>
      </c>
      <c r="N11" s="320"/>
      <c r="O11" s="342" t="s">
        <v>434</v>
      </c>
      <c r="P11" s="343">
        <f>+P6*$C$10</f>
        <v>1030880.7656742001</v>
      </c>
      <c r="Q11" s="320"/>
      <c r="R11" s="320"/>
      <c r="S11" s="327"/>
      <c r="V11" s="328"/>
      <c r="W11" s="327"/>
      <c r="X11" s="323"/>
      <c r="Y11" s="328"/>
      <c r="Z11" s="328"/>
      <c r="AA11" s="328"/>
      <c r="AB11" s="336"/>
      <c r="AC11" s="328"/>
    </row>
    <row r="12" spans="1:29" x14ac:dyDescent="0.2">
      <c r="A12" s="320"/>
      <c r="B12" s="359" t="s">
        <v>435</v>
      </c>
      <c r="C12" s="346">
        <f>+C8*$N$12*1.01</f>
        <v>1382983.8093676367</v>
      </c>
      <c r="D12" s="346">
        <f t="shared" ref="D12:M12" si="7">+D8*$N$12*1.01</f>
        <v>1315649.331</v>
      </c>
      <c r="E12" s="346">
        <f t="shared" si="7"/>
        <v>1535419.3518000003</v>
      </c>
      <c r="F12" s="346">
        <f t="shared" si="7"/>
        <v>1554982.5771000001</v>
      </c>
      <c r="G12" s="346">
        <f t="shared" si="7"/>
        <v>1573953.2253</v>
      </c>
      <c r="H12" s="346">
        <f t="shared" si="7"/>
        <v>1593516.4506000001</v>
      </c>
      <c r="I12" s="346">
        <f t="shared" si="7"/>
        <v>1612486.8261000002</v>
      </c>
      <c r="J12" s="346">
        <f t="shared" si="7"/>
        <v>1632050.0514000002</v>
      </c>
      <c r="K12" s="346">
        <f t="shared" si="7"/>
        <v>1651613.2767000003</v>
      </c>
      <c r="L12" s="346">
        <f t="shared" si="7"/>
        <v>1670583.6522000001</v>
      </c>
      <c r="M12" s="346">
        <f t="shared" si="7"/>
        <v>1690147.1502</v>
      </c>
      <c r="N12" s="343">
        <v>0.27</v>
      </c>
      <c r="O12" s="342" t="s">
        <v>436</v>
      </c>
      <c r="P12" s="346">
        <f>+P8*$N$12*1.01</f>
        <v>113901.94163236352</v>
      </c>
      <c r="Q12" s="320"/>
      <c r="R12" s="320"/>
      <c r="S12" s="327"/>
      <c r="T12" t="s">
        <v>437</v>
      </c>
      <c r="U12" t="s">
        <v>438</v>
      </c>
      <c r="V12" s="328">
        <f>243*0.5*V3</f>
        <v>3863.1144578313256</v>
      </c>
      <c r="W12" s="327"/>
      <c r="X12" t="s">
        <v>438</v>
      </c>
      <c r="Y12" s="328">
        <f>Y7*0.5*243</f>
        <v>12048.192771084337</v>
      </c>
      <c r="Z12" s="328">
        <f>Z7*0.5*243</f>
        <v>24096.385542168675</v>
      </c>
      <c r="AA12" s="328">
        <f>AA7*0.5*243</f>
        <v>8032.128514056225</v>
      </c>
      <c r="AB12" s="328">
        <f>AB7*0.5*243</f>
        <v>64257.0281124498</v>
      </c>
      <c r="AC12" s="328">
        <f>AC7*0.5*243</f>
        <v>17670.682730923694</v>
      </c>
    </row>
    <row r="13" spans="1:29" x14ac:dyDescent="0.2">
      <c r="A13" s="320"/>
      <c r="B13" s="360" t="s">
        <v>439</v>
      </c>
      <c r="C13" s="338">
        <f>+SUM(C11:C12)</f>
        <v>12856745.996622037</v>
      </c>
      <c r="D13" s="338">
        <f t="shared" ref="D13:M13" si="8">+SUM(D11:D12)</f>
        <v>14450126.971154921</v>
      </c>
      <c r="E13" s="338">
        <f t="shared" si="8"/>
        <v>17750712.343738984</v>
      </c>
      <c r="F13" s="338">
        <f t="shared" si="8"/>
        <v>18932531.983613733</v>
      </c>
      <c r="G13" s="338">
        <f t="shared" si="8"/>
        <v>20187107.281489044</v>
      </c>
      <c r="H13" s="338">
        <f t="shared" si="8"/>
        <v>21534653.395614929</v>
      </c>
      <c r="I13" s="338">
        <f t="shared" si="8"/>
        <v>22965283.311500553</v>
      </c>
      <c r="J13" s="338">
        <f t="shared" si="8"/>
        <v>24501581.838607915</v>
      </c>
      <c r="K13" s="338">
        <f t="shared" si="8"/>
        <v>26142097.899985589</v>
      </c>
      <c r="L13" s="338">
        <f t="shared" si="8"/>
        <v>27883929.711968172</v>
      </c>
      <c r="M13" s="338">
        <f t="shared" si="8"/>
        <v>29753780.302477844</v>
      </c>
      <c r="N13" s="320"/>
      <c r="O13" s="320"/>
      <c r="P13" s="338">
        <f>+SUM(P11:P12)</f>
        <v>1144782.7073065636</v>
      </c>
      <c r="Q13" s="320"/>
      <c r="R13" s="320"/>
      <c r="S13" s="327"/>
      <c r="T13" t="s">
        <v>440</v>
      </c>
      <c r="U13" t="s">
        <v>441</v>
      </c>
      <c r="V13" s="328">
        <f>9*9*V3</f>
        <v>2575.4096385542171</v>
      </c>
      <c r="W13" s="327"/>
      <c r="X13" t="s">
        <v>441</v>
      </c>
      <c r="Y13" s="328">
        <f>9*9*Y7</f>
        <v>8032.128514056225</v>
      </c>
      <c r="Z13" s="328">
        <f>9*9*Z7</f>
        <v>16064.25702811245</v>
      </c>
      <c r="AA13" s="328">
        <f>9*9*AA7</f>
        <v>5354.7523427041506</v>
      </c>
      <c r="AB13" s="328">
        <f>9*9*AB7</f>
        <v>42838.018741633205</v>
      </c>
      <c r="AC13" s="328">
        <f>9*9*AC7</f>
        <v>11780.455153949129</v>
      </c>
    </row>
    <row r="14" spans="1:29" x14ac:dyDescent="0.2">
      <c r="A14" s="347"/>
      <c r="B14" s="361"/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7"/>
      <c r="O14" s="347"/>
      <c r="P14" s="347"/>
      <c r="Q14" s="347"/>
      <c r="R14" s="347"/>
      <c r="S14" s="327"/>
      <c r="T14" t="s">
        <v>442</v>
      </c>
      <c r="U14" t="s">
        <v>443</v>
      </c>
      <c r="V14" s="328">
        <f>1*9*V3</f>
        <v>286.15662650602411</v>
      </c>
      <c r="W14" s="327"/>
      <c r="X14" t="s">
        <v>443</v>
      </c>
      <c r="Y14" s="328">
        <f>9*Y7</f>
        <v>892.45872378402498</v>
      </c>
      <c r="Z14" s="328">
        <f>9*Z7</f>
        <v>1784.91744756805</v>
      </c>
      <c r="AA14" s="328">
        <f>9*AA7</f>
        <v>594.97248252268332</v>
      </c>
      <c r="AB14" s="328">
        <f>9*AB7</f>
        <v>4759.7798601814666</v>
      </c>
      <c r="AC14" s="328">
        <f>9*AC7</f>
        <v>1308.9394615499034</v>
      </c>
    </row>
    <row r="15" spans="1:29" x14ac:dyDescent="0.2">
      <c r="A15" s="320"/>
      <c r="B15" s="360" t="s">
        <v>444</v>
      </c>
      <c r="C15" s="338">
        <f>$V$35</f>
        <v>1160513.921927711</v>
      </c>
      <c r="D15" s="338">
        <f t="shared" ref="D15:M15" si="9">$V$35</f>
        <v>1160513.921927711</v>
      </c>
      <c r="E15" s="338">
        <f t="shared" si="9"/>
        <v>1160513.921927711</v>
      </c>
      <c r="F15" s="338">
        <f t="shared" si="9"/>
        <v>1160513.921927711</v>
      </c>
      <c r="G15" s="338">
        <f t="shared" si="9"/>
        <v>1160513.921927711</v>
      </c>
      <c r="H15" s="338">
        <f t="shared" si="9"/>
        <v>1160513.921927711</v>
      </c>
      <c r="I15" s="338">
        <f t="shared" si="9"/>
        <v>1160513.921927711</v>
      </c>
      <c r="J15" s="338">
        <f t="shared" si="9"/>
        <v>1160513.921927711</v>
      </c>
      <c r="K15" s="338">
        <f t="shared" si="9"/>
        <v>1160513.921927711</v>
      </c>
      <c r="L15" s="338">
        <f t="shared" si="9"/>
        <v>1160513.921927711</v>
      </c>
      <c r="M15" s="338">
        <f t="shared" si="9"/>
        <v>1160513.921927711</v>
      </c>
      <c r="N15" s="320"/>
      <c r="O15" s="320"/>
      <c r="P15" s="320"/>
      <c r="Q15" s="320"/>
      <c r="R15" s="320"/>
      <c r="S15" s="327"/>
      <c r="T15" t="s">
        <v>445</v>
      </c>
      <c r="U15" t="s">
        <v>446</v>
      </c>
      <c r="V15" s="328">
        <f>15*9*V3</f>
        <v>4292.3493975903621</v>
      </c>
      <c r="W15" s="327"/>
      <c r="X15" t="s">
        <v>446</v>
      </c>
      <c r="Y15" s="328">
        <f>15*9*Y7</f>
        <v>13386.880856760376</v>
      </c>
      <c r="Z15" s="328">
        <f>15*9*Z7</f>
        <v>26773.761713520751</v>
      </c>
      <c r="AA15" s="328">
        <f>15*9*AA7</f>
        <v>8924.587237840251</v>
      </c>
      <c r="AB15" s="328">
        <f>15*9*AB7</f>
        <v>71396.697902722008</v>
      </c>
      <c r="AC15" s="328">
        <f>15*9*AC7</f>
        <v>19634.09192324855</v>
      </c>
    </row>
    <row r="16" spans="1:29" x14ac:dyDescent="0.2">
      <c r="A16" s="320"/>
      <c r="B16" s="353"/>
      <c r="C16" s="320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7"/>
      <c r="T16" t="s">
        <v>447</v>
      </c>
      <c r="U16" t="s">
        <v>448</v>
      </c>
      <c r="V16" s="328">
        <v>0</v>
      </c>
      <c r="W16" s="327"/>
      <c r="X16" t="s">
        <v>448</v>
      </c>
      <c r="Y16" s="328">
        <v>0</v>
      </c>
      <c r="Z16" s="328">
        <v>0</v>
      </c>
      <c r="AA16" s="328">
        <v>0</v>
      </c>
      <c r="AB16" s="328">
        <v>0</v>
      </c>
      <c r="AC16" s="328">
        <v>0</v>
      </c>
    </row>
    <row r="17" spans="1:29" x14ac:dyDescent="0.2">
      <c r="A17" s="320"/>
      <c r="B17" s="359" t="s">
        <v>449</v>
      </c>
      <c r="C17" s="343">
        <f>$AA$35</f>
        <v>228604.61103673954</v>
      </c>
      <c r="D17" s="343">
        <f t="shared" ref="D17:M17" si="10">$AA$35</f>
        <v>228604.61103673954</v>
      </c>
      <c r="E17" s="343">
        <f t="shared" si="10"/>
        <v>228604.61103673954</v>
      </c>
      <c r="F17" s="343">
        <f t="shared" si="10"/>
        <v>228604.61103673954</v>
      </c>
      <c r="G17" s="343">
        <f t="shared" si="10"/>
        <v>228604.61103673954</v>
      </c>
      <c r="H17" s="343">
        <f t="shared" si="10"/>
        <v>228604.61103673954</v>
      </c>
      <c r="I17" s="343">
        <f t="shared" si="10"/>
        <v>228604.61103673954</v>
      </c>
      <c r="J17" s="343">
        <f t="shared" si="10"/>
        <v>228604.61103673954</v>
      </c>
      <c r="K17" s="343">
        <f t="shared" si="10"/>
        <v>228604.61103673954</v>
      </c>
      <c r="L17" s="343">
        <f t="shared" si="10"/>
        <v>228604.61103673954</v>
      </c>
      <c r="M17" s="343">
        <f t="shared" si="10"/>
        <v>228604.61103673954</v>
      </c>
      <c r="N17" s="320"/>
      <c r="O17" s="320"/>
      <c r="P17" s="320"/>
      <c r="Q17" s="320"/>
      <c r="R17" s="320"/>
      <c r="S17" s="327"/>
      <c r="T17" t="s">
        <v>450</v>
      </c>
      <c r="U17" t="s">
        <v>451</v>
      </c>
      <c r="V17" s="328">
        <v>0</v>
      </c>
      <c r="W17" s="327"/>
      <c r="X17" t="s">
        <v>451</v>
      </c>
      <c r="Y17" s="328">
        <v>0</v>
      </c>
      <c r="Z17" s="328">
        <v>0</v>
      </c>
      <c r="AA17" s="328">
        <v>0</v>
      </c>
      <c r="AB17" s="328">
        <v>0</v>
      </c>
      <c r="AC17" s="328">
        <v>0</v>
      </c>
    </row>
    <row r="18" spans="1:29" x14ac:dyDescent="0.2">
      <c r="A18" s="320"/>
      <c r="B18" s="359" t="s">
        <v>411</v>
      </c>
      <c r="C18" s="343">
        <f>$Y$35</f>
        <v>342906.91655510938</v>
      </c>
      <c r="D18" s="343">
        <f t="shared" ref="D18:M18" si="11">$Y$35</f>
        <v>342906.91655510938</v>
      </c>
      <c r="E18" s="343">
        <f t="shared" si="11"/>
        <v>342906.91655510938</v>
      </c>
      <c r="F18" s="343">
        <f t="shared" si="11"/>
        <v>342906.91655510938</v>
      </c>
      <c r="G18" s="343">
        <f t="shared" si="11"/>
        <v>342906.91655510938</v>
      </c>
      <c r="H18" s="343">
        <f t="shared" si="11"/>
        <v>342906.91655510938</v>
      </c>
      <c r="I18" s="343">
        <f t="shared" si="11"/>
        <v>342906.91655510938</v>
      </c>
      <c r="J18" s="343">
        <f t="shared" si="11"/>
        <v>342906.91655510938</v>
      </c>
      <c r="K18" s="343">
        <f t="shared" si="11"/>
        <v>342906.91655510938</v>
      </c>
      <c r="L18" s="343">
        <f t="shared" si="11"/>
        <v>342906.91655510938</v>
      </c>
      <c r="M18" s="343">
        <f t="shared" si="11"/>
        <v>342906.91655510938</v>
      </c>
      <c r="N18" s="320"/>
      <c r="O18" s="320"/>
      <c r="P18" s="320"/>
      <c r="Q18" s="320"/>
      <c r="R18" s="320"/>
      <c r="S18" s="327"/>
      <c r="T18" t="s">
        <v>452</v>
      </c>
      <c r="U18" t="s">
        <v>453</v>
      </c>
      <c r="V18" s="328">
        <f>(243*9*V3)/12</f>
        <v>5794.6716867469886</v>
      </c>
      <c r="W18" s="327"/>
      <c r="X18" t="s">
        <v>453</v>
      </c>
      <c r="Y18" s="336">
        <f>(243*9*Y7)/12</f>
        <v>18072.289156626506</v>
      </c>
      <c r="Z18" s="336">
        <f>(243*9*Z7)/12</f>
        <v>36144.578313253012</v>
      </c>
      <c r="AA18" s="336">
        <f>(243*9*AA7)/12</f>
        <v>12048.192771084337</v>
      </c>
      <c r="AB18" s="336">
        <f>(243*9*AB7)/12</f>
        <v>96385.542168674699</v>
      </c>
      <c r="AC18" s="336">
        <f>(243*9*AC7)/12</f>
        <v>26506.024096385543</v>
      </c>
    </row>
    <row r="19" spans="1:29" x14ac:dyDescent="0.2">
      <c r="A19" s="320"/>
      <c r="B19" s="360" t="s">
        <v>454</v>
      </c>
      <c r="C19" s="338">
        <f t="shared" ref="C19:M19" si="12">+SUM(C17:C18)</f>
        <v>571511.52759184898</v>
      </c>
      <c r="D19" s="338">
        <f t="shared" si="12"/>
        <v>571511.52759184898</v>
      </c>
      <c r="E19" s="338">
        <f t="shared" si="12"/>
        <v>571511.52759184898</v>
      </c>
      <c r="F19" s="338">
        <f t="shared" si="12"/>
        <v>571511.52759184898</v>
      </c>
      <c r="G19" s="338">
        <f t="shared" si="12"/>
        <v>571511.52759184898</v>
      </c>
      <c r="H19" s="338">
        <f t="shared" si="12"/>
        <v>571511.52759184898</v>
      </c>
      <c r="I19" s="338">
        <f t="shared" si="12"/>
        <v>571511.52759184898</v>
      </c>
      <c r="J19" s="338">
        <f t="shared" si="12"/>
        <v>571511.52759184898</v>
      </c>
      <c r="K19" s="338">
        <f t="shared" si="12"/>
        <v>571511.52759184898</v>
      </c>
      <c r="L19" s="338">
        <f t="shared" si="12"/>
        <v>571511.52759184898</v>
      </c>
      <c r="M19" s="338">
        <f t="shared" si="12"/>
        <v>571511.52759184898</v>
      </c>
      <c r="N19" s="320"/>
      <c r="O19" s="320"/>
      <c r="P19" s="320"/>
      <c r="Q19" s="320"/>
      <c r="R19" s="320"/>
      <c r="S19" s="327"/>
      <c r="V19" s="328"/>
      <c r="W19" s="327"/>
      <c r="Y19" s="328"/>
      <c r="Z19" s="328"/>
      <c r="AA19" s="328"/>
      <c r="AB19" s="328"/>
      <c r="AC19" s="328"/>
    </row>
    <row r="20" spans="1:29" x14ac:dyDescent="0.2">
      <c r="A20" s="320"/>
      <c r="B20" s="359"/>
      <c r="C20" s="349"/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20"/>
      <c r="O20" s="320"/>
      <c r="P20" s="320"/>
      <c r="Q20" s="320"/>
      <c r="R20" s="320"/>
      <c r="S20" s="327"/>
      <c r="T20" t="s">
        <v>455</v>
      </c>
      <c r="V20" s="328">
        <f>+SUM(V12:V18)*12</f>
        <v>201740.42168674699</v>
      </c>
      <c r="W20" s="327"/>
      <c r="X20" t="s">
        <v>455</v>
      </c>
      <c r="Y20" s="328">
        <f>+SUM(Y12:Y18)</f>
        <v>52431.950022311474</v>
      </c>
      <c r="Z20" s="328">
        <f>+SUM(Z12:Z18)</f>
        <v>104863.90004462295</v>
      </c>
      <c r="AA20" s="328">
        <f>+SUM(AA12:AA18)</f>
        <v>34954.633348207644</v>
      </c>
      <c r="AB20" s="328">
        <f>+SUM(AB12:AB18)</f>
        <v>279637.06678566115</v>
      </c>
      <c r="AC20" s="328">
        <f>+SUM(AC12:AC18)</f>
        <v>76900.193366056817</v>
      </c>
    </row>
    <row r="21" spans="1:29" x14ac:dyDescent="0.2">
      <c r="A21" s="320"/>
      <c r="B21" s="360" t="s">
        <v>95</v>
      </c>
      <c r="C21" s="338">
        <f>22730*5.5</f>
        <v>125015</v>
      </c>
      <c r="D21" s="338">
        <f t="shared" ref="D21:M21" si="13">+D3*$C21/$C3</f>
        <v>148763.56132075473</v>
      </c>
      <c r="E21" s="338">
        <f t="shared" si="13"/>
        <v>173557.48820754717</v>
      </c>
      <c r="F21" s="338">
        <f t="shared" si="13"/>
        <v>175768.83844339623</v>
      </c>
      <c r="G21" s="338">
        <f t="shared" si="13"/>
        <v>177913.17806603774</v>
      </c>
      <c r="H21" s="338">
        <f t="shared" si="13"/>
        <v>180124.52830188681</v>
      </c>
      <c r="I21" s="338">
        <f t="shared" si="13"/>
        <v>182268.86792452831</v>
      </c>
      <c r="J21" s="338">
        <f t="shared" si="13"/>
        <v>184480.21816037738</v>
      </c>
      <c r="K21" s="338">
        <f t="shared" si="13"/>
        <v>186691.56839622642</v>
      </c>
      <c r="L21" s="338">
        <f t="shared" si="13"/>
        <v>188835.90801886792</v>
      </c>
      <c r="M21" s="338">
        <f t="shared" si="13"/>
        <v>191047.25825471699</v>
      </c>
      <c r="N21" s="320"/>
      <c r="O21" s="320"/>
      <c r="P21" s="320"/>
      <c r="Q21" s="320"/>
      <c r="R21" s="320"/>
      <c r="S21" s="327"/>
      <c r="V21" s="328"/>
      <c r="W21" s="327"/>
      <c r="Y21" s="328"/>
      <c r="Z21" s="328"/>
      <c r="AA21" s="328"/>
      <c r="AB21" s="328"/>
      <c r="AC21" s="328"/>
    </row>
    <row r="22" spans="1:29" x14ac:dyDescent="0.2">
      <c r="A22" s="320"/>
      <c r="B22" s="360" t="s">
        <v>456</v>
      </c>
      <c r="C22" s="338">
        <f>1313*5.5</f>
        <v>7221.5</v>
      </c>
      <c r="D22" s="338">
        <f t="shared" ref="D22:M22" si="14">+D3*$C22/$C3</f>
        <v>8593.3372641509432</v>
      </c>
      <c r="E22" s="338">
        <f t="shared" si="14"/>
        <v>10025.560141509435</v>
      </c>
      <c r="F22" s="338">
        <f t="shared" si="14"/>
        <v>10153.298938679245</v>
      </c>
      <c r="G22" s="338">
        <f t="shared" si="14"/>
        <v>10277.166863207547</v>
      </c>
      <c r="H22" s="338">
        <f t="shared" si="14"/>
        <v>10404.905660377359</v>
      </c>
      <c r="I22" s="338">
        <f t="shared" si="14"/>
        <v>10528.773584905661</v>
      </c>
      <c r="J22" s="338">
        <f t="shared" si="14"/>
        <v>10656.512382075472</v>
      </c>
      <c r="K22" s="338">
        <f t="shared" si="14"/>
        <v>10784.251179245284</v>
      </c>
      <c r="L22" s="338">
        <f t="shared" si="14"/>
        <v>10908.119103773586</v>
      </c>
      <c r="M22" s="338">
        <f t="shared" si="14"/>
        <v>11035.857900943396</v>
      </c>
      <c r="N22" s="320"/>
      <c r="O22" s="320"/>
      <c r="P22" s="320"/>
      <c r="Q22" s="320"/>
      <c r="R22" s="320"/>
      <c r="S22" s="327"/>
      <c r="V22" s="328"/>
      <c r="W22" s="327"/>
      <c r="Y22" s="328"/>
      <c r="Z22" s="328"/>
      <c r="AA22" s="328"/>
      <c r="AB22" s="328"/>
      <c r="AC22" s="328"/>
    </row>
    <row r="23" spans="1:29" x14ac:dyDescent="0.2">
      <c r="A23" s="320"/>
      <c r="B23" s="359"/>
      <c r="C23" s="349"/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20"/>
      <c r="O23" s="320"/>
      <c r="P23" s="320"/>
      <c r="Q23" s="320"/>
      <c r="R23" s="320"/>
      <c r="S23" s="327"/>
      <c r="T23" t="s">
        <v>457</v>
      </c>
      <c r="V23" s="328"/>
      <c r="W23" s="327"/>
      <c r="Y23" s="328"/>
      <c r="Z23" s="328"/>
      <c r="AA23" s="328"/>
      <c r="AB23" s="328"/>
      <c r="AC23" s="328"/>
    </row>
    <row r="24" spans="1:29" x14ac:dyDescent="0.2">
      <c r="A24" s="320"/>
      <c r="B24" s="359" t="s">
        <v>415</v>
      </c>
      <c r="C24" s="350">
        <f>$AC$35</f>
        <v>502930.14428082702</v>
      </c>
      <c r="D24" s="350">
        <f t="shared" ref="D24:M24" si="15">$AC$35</f>
        <v>502930.14428082702</v>
      </c>
      <c r="E24" s="350">
        <f t="shared" si="15"/>
        <v>502930.14428082702</v>
      </c>
      <c r="F24" s="350">
        <f t="shared" si="15"/>
        <v>502930.14428082702</v>
      </c>
      <c r="G24" s="350">
        <f t="shared" si="15"/>
        <v>502930.14428082702</v>
      </c>
      <c r="H24" s="350">
        <f t="shared" si="15"/>
        <v>502930.14428082702</v>
      </c>
      <c r="I24" s="350">
        <f t="shared" si="15"/>
        <v>502930.14428082702</v>
      </c>
      <c r="J24" s="350">
        <f t="shared" si="15"/>
        <v>502930.14428082702</v>
      </c>
      <c r="K24" s="350">
        <f t="shared" si="15"/>
        <v>502930.14428082702</v>
      </c>
      <c r="L24" s="350">
        <f t="shared" si="15"/>
        <v>502930.14428082702</v>
      </c>
      <c r="M24" s="350">
        <f t="shared" si="15"/>
        <v>502930.14428082702</v>
      </c>
      <c r="N24" s="320"/>
      <c r="O24" s="320"/>
      <c r="P24" s="320"/>
      <c r="Q24" s="320"/>
      <c r="R24" s="320"/>
      <c r="S24" s="327"/>
      <c r="V24" s="328"/>
      <c r="W24" s="327"/>
      <c r="Y24" s="328"/>
      <c r="Z24" s="328"/>
      <c r="AA24" s="328"/>
      <c r="AB24" s="328"/>
      <c r="AC24" s="328"/>
    </row>
    <row r="25" spans="1:29" x14ac:dyDescent="0.2">
      <c r="A25" s="342"/>
      <c r="B25" s="359" t="s">
        <v>414</v>
      </c>
      <c r="C25" s="350">
        <f>$AB$35</f>
        <v>1828836.8882939164</v>
      </c>
      <c r="D25" s="350">
        <f t="shared" ref="D25:M25" si="16">$AB$35</f>
        <v>1828836.8882939164</v>
      </c>
      <c r="E25" s="350">
        <f t="shared" si="16"/>
        <v>1828836.8882939164</v>
      </c>
      <c r="F25" s="350">
        <f t="shared" si="16"/>
        <v>1828836.8882939164</v>
      </c>
      <c r="G25" s="350">
        <f t="shared" si="16"/>
        <v>1828836.8882939164</v>
      </c>
      <c r="H25" s="350">
        <f t="shared" si="16"/>
        <v>1828836.8882939164</v>
      </c>
      <c r="I25" s="350">
        <f t="shared" si="16"/>
        <v>1828836.8882939164</v>
      </c>
      <c r="J25" s="350">
        <f t="shared" si="16"/>
        <v>1828836.8882939164</v>
      </c>
      <c r="K25" s="350">
        <f t="shared" si="16"/>
        <v>1828836.8882939164</v>
      </c>
      <c r="L25" s="350">
        <f t="shared" si="16"/>
        <v>1828836.8882939164</v>
      </c>
      <c r="M25" s="350">
        <f t="shared" si="16"/>
        <v>1828836.8882939164</v>
      </c>
      <c r="N25" s="342"/>
      <c r="O25" s="342"/>
      <c r="P25" s="342"/>
      <c r="Q25" s="342"/>
      <c r="R25" s="342"/>
      <c r="S25" s="327"/>
      <c r="T25" t="s">
        <v>458</v>
      </c>
      <c r="U25" t="s">
        <v>459</v>
      </c>
      <c r="V25" s="328">
        <v>0</v>
      </c>
      <c r="W25" s="327"/>
      <c r="X25" t="s">
        <v>459</v>
      </c>
      <c r="Y25" s="328">
        <v>0</v>
      </c>
      <c r="Z25" s="328">
        <v>0</v>
      </c>
      <c r="AA25" s="328">
        <v>0</v>
      </c>
      <c r="AB25" s="328">
        <v>0</v>
      </c>
      <c r="AC25" s="328">
        <v>0</v>
      </c>
    </row>
    <row r="26" spans="1:29" x14ac:dyDescent="0.2">
      <c r="A26" s="320"/>
      <c r="B26" s="359" t="s">
        <v>412</v>
      </c>
      <c r="C26" s="350">
        <f>$Z$35</f>
        <v>685813.83311021875</v>
      </c>
      <c r="D26" s="350">
        <f t="shared" ref="D26:M26" si="17">$Z$35</f>
        <v>685813.83311021875</v>
      </c>
      <c r="E26" s="350">
        <f t="shared" si="17"/>
        <v>685813.83311021875</v>
      </c>
      <c r="F26" s="350">
        <f t="shared" si="17"/>
        <v>685813.83311021875</v>
      </c>
      <c r="G26" s="350">
        <f t="shared" si="17"/>
        <v>685813.83311021875</v>
      </c>
      <c r="H26" s="350">
        <f t="shared" si="17"/>
        <v>685813.83311021875</v>
      </c>
      <c r="I26" s="350">
        <f t="shared" si="17"/>
        <v>685813.83311021875</v>
      </c>
      <c r="J26" s="350">
        <f t="shared" si="17"/>
        <v>685813.83311021875</v>
      </c>
      <c r="K26" s="350">
        <f t="shared" si="17"/>
        <v>685813.83311021875</v>
      </c>
      <c r="L26" s="350">
        <f t="shared" si="17"/>
        <v>685813.83311021875</v>
      </c>
      <c r="M26" s="350">
        <f t="shared" si="17"/>
        <v>685813.83311021875</v>
      </c>
      <c r="N26" s="320"/>
      <c r="O26" s="320"/>
      <c r="P26" s="320"/>
      <c r="Q26" s="320"/>
      <c r="R26" s="320"/>
      <c r="S26" s="327"/>
      <c r="T26" t="s">
        <v>460</v>
      </c>
      <c r="U26" t="s">
        <v>461</v>
      </c>
      <c r="V26" s="328">
        <f>243*9*V$3*3%</f>
        <v>2086.0818072289157</v>
      </c>
      <c r="W26" s="327"/>
      <c r="X26" t="s">
        <v>461</v>
      </c>
      <c r="Y26" s="328">
        <f>243*9*Y7*3%</f>
        <v>6506.0240963855422</v>
      </c>
      <c r="Z26" s="328">
        <f>243*9*Z7*3%</f>
        <v>13012.048192771084</v>
      </c>
      <c r="AA26" s="328">
        <f>243*9*AA7*3%</f>
        <v>4337.3493975903611</v>
      </c>
      <c r="AB26" s="328">
        <f>243*9*AB7*3%</f>
        <v>34698.795180722889</v>
      </c>
      <c r="AC26" s="328">
        <f>243*9*AC7*3%</f>
        <v>9542.1686746987943</v>
      </c>
    </row>
    <row r="27" spans="1:29" x14ac:dyDescent="0.2">
      <c r="A27" s="320"/>
      <c r="B27" s="360" t="s">
        <v>462</v>
      </c>
      <c r="C27" s="338">
        <f>+SUM(C24:C26)</f>
        <v>3017580.8656849624</v>
      </c>
      <c r="D27" s="338">
        <f t="shared" ref="D27:M27" si="18">+SUM(D24:D26)</f>
        <v>3017580.8656849624</v>
      </c>
      <c r="E27" s="338">
        <f t="shared" si="18"/>
        <v>3017580.8656849624</v>
      </c>
      <c r="F27" s="338">
        <f t="shared" si="18"/>
        <v>3017580.8656849624</v>
      </c>
      <c r="G27" s="338">
        <f t="shared" si="18"/>
        <v>3017580.8656849624</v>
      </c>
      <c r="H27" s="338">
        <f t="shared" si="18"/>
        <v>3017580.8656849624</v>
      </c>
      <c r="I27" s="338">
        <f t="shared" si="18"/>
        <v>3017580.8656849624</v>
      </c>
      <c r="J27" s="338">
        <f t="shared" si="18"/>
        <v>3017580.8656849624</v>
      </c>
      <c r="K27" s="338">
        <f t="shared" si="18"/>
        <v>3017580.8656849624</v>
      </c>
      <c r="L27" s="338">
        <f t="shared" si="18"/>
        <v>3017580.8656849624</v>
      </c>
      <c r="M27" s="338">
        <f t="shared" si="18"/>
        <v>3017580.8656849624</v>
      </c>
      <c r="N27" s="320"/>
      <c r="O27" s="320"/>
      <c r="P27" s="320"/>
      <c r="Q27" s="320"/>
      <c r="R27" s="320"/>
      <c r="S27" s="327"/>
      <c r="T27" t="s">
        <v>463</v>
      </c>
      <c r="U27" t="s">
        <v>464</v>
      </c>
      <c r="V27" s="328">
        <v>0</v>
      </c>
      <c r="W27" s="327"/>
      <c r="X27" t="s">
        <v>464</v>
      </c>
      <c r="Y27" s="328">
        <v>0</v>
      </c>
      <c r="Z27" s="328">
        <v>0</v>
      </c>
      <c r="AA27" s="328">
        <v>0</v>
      </c>
      <c r="AB27" s="328">
        <v>0</v>
      </c>
      <c r="AC27" s="328">
        <v>0</v>
      </c>
    </row>
    <row r="28" spans="1:29" x14ac:dyDescent="0.2">
      <c r="A28" s="342"/>
      <c r="B28" s="359"/>
      <c r="C28" s="342"/>
      <c r="D28" s="342"/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2"/>
      <c r="R28" s="342"/>
      <c r="S28" s="327"/>
      <c r="T28" t="s">
        <v>465</v>
      </c>
      <c r="U28" t="s">
        <v>466</v>
      </c>
      <c r="V28" s="328">
        <f>243*9*V$3*11%</f>
        <v>7648.966626506025</v>
      </c>
      <c r="W28" s="327"/>
      <c r="X28" t="s">
        <v>466</v>
      </c>
      <c r="Y28" s="328">
        <f>243*9*Y7*11%</f>
        <v>23855.421686746991</v>
      </c>
      <c r="Z28" s="328">
        <f>243*9*Z7*11%</f>
        <v>47710.843373493983</v>
      </c>
      <c r="AA28" s="328">
        <f>243*9*AA7*11%</f>
        <v>15903.614457831325</v>
      </c>
      <c r="AB28" s="328">
        <f>243*9*AB7*11%</f>
        <v>127228.9156626506</v>
      </c>
      <c r="AC28" s="328">
        <f>243*9*AC7*11%</f>
        <v>34987.951807228914</v>
      </c>
    </row>
    <row r="29" spans="1:29" x14ac:dyDescent="0.2">
      <c r="A29" s="342"/>
      <c r="B29" s="353"/>
      <c r="C29" s="320"/>
      <c r="D29" s="320"/>
      <c r="E29" s="320"/>
      <c r="F29" s="320"/>
      <c r="G29" s="320"/>
      <c r="H29" s="320"/>
      <c r="I29" s="320"/>
      <c r="J29" s="320"/>
      <c r="K29" s="320"/>
      <c r="L29" s="320"/>
      <c r="M29" s="320"/>
      <c r="N29" s="342"/>
      <c r="O29" s="342"/>
      <c r="P29" s="342"/>
      <c r="Q29" s="342"/>
      <c r="R29" s="342"/>
      <c r="S29" s="327"/>
      <c r="T29" t="s">
        <v>467</v>
      </c>
      <c r="U29" t="s">
        <v>468</v>
      </c>
      <c r="V29" s="328">
        <f>243*9*V$3*3%</f>
        <v>2086.0818072289157</v>
      </c>
      <c r="W29" s="327"/>
      <c r="X29" t="s">
        <v>468</v>
      </c>
      <c r="Y29" s="328">
        <f>243*9*Y7*3%</f>
        <v>6506.0240963855422</v>
      </c>
      <c r="Z29" s="328">
        <f>243*9*Z7*3%</f>
        <v>13012.048192771084</v>
      </c>
      <c r="AA29" s="328">
        <f>243*9*AA7*3%</f>
        <v>4337.3493975903611</v>
      </c>
      <c r="AB29" s="328">
        <f>243*9*AB7*3%</f>
        <v>34698.795180722889</v>
      </c>
      <c r="AC29" s="328">
        <f>243*9*AC7*3%</f>
        <v>9542.1686746987943</v>
      </c>
    </row>
    <row r="30" spans="1:29" x14ac:dyDescent="0.2">
      <c r="A30" s="342"/>
      <c r="B30" s="353"/>
      <c r="C30" s="320"/>
      <c r="D30" s="320"/>
      <c r="E30" s="320"/>
      <c r="F30" s="320"/>
      <c r="G30" s="320"/>
      <c r="H30" s="320"/>
      <c r="I30" s="320"/>
      <c r="J30" s="320"/>
      <c r="K30" s="320"/>
      <c r="L30" s="320"/>
      <c r="M30" s="320"/>
      <c r="N30" s="342"/>
      <c r="O30" s="342"/>
      <c r="P30" s="342"/>
      <c r="Q30" s="342"/>
      <c r="R30" s="342"/>
      <c r="S30" s="327"/>
      <c r="V30" s="328"/>
      <c r="W30" s="327"/>
      <c r="Y30" s="328"/>
      <c r="Z30" s="328"/>
      <c r="AA30" s="328"/>
      <c r="AB30" s="328"/>
      <c r="AC30" s="328"/>
    </row>
    <row r="31" spans="1:29" x14ac:dyDescent="0.2">
      <c r="A31" s="342"/>
      <c r="B31" s="353"/>
      <c r="C31" s="320"/>
      <c r="D31" s="320"/>
      <c r="E31" s="320"/>
      <c r="F31" s="320"/>
      <c r="G31" s="320"/>
      <c r="H31" s="320"/>
      <c r="I31" s="320"/>
      <c r="J31" s="320"/>
      <c r="K31" s="320"/>
      <c r="L31" s="320"/>
      <c r="M31" s="320"/>
      <c r="N31" s="342"/>
      <c r="O31" s="342"/>
      <c r="P31" s="342"/>
      <c r="Q31" s="342"/>
      <c r="R31" s="342"/>
      <c r="S31" s="327"/>
      <c r="T31" t="s">
        <v>469</v>
      </c>
      <c r="U31" t="s">
        <v>470</v>
      </c>
      <c r="V31" s="328">
        <f>+SUM(V25:V29)*12</f>
        <v>141853.56289156625</v>
      </c>
      <c r="W31" s="327"/>
      <c r="X31" t="s">
        <v>470</v>
      </c>
      <c r="Y31" s="328">
        <f>+SUM(Y25:Y29)</f>
        <v>36867.469879518074</v>
      </c>
      <c r="Z31" s="328">
        <f>+SUM(Z25:Z29)</f>
        <v>73734.939759036148</v>
      </c>
      <c r="AA31" s="328">
        <f>+SUM(AA25:AA29)</f>
        <v>24578.313253012049</v>
      </c>
      <c r="AB31" s="328">
        <f>+SUM(AB25:AB29)</f>
        <v>196626.50602409639</v>
      </c>
      <c r="AC31" s="328">
        <f>+SUM(AC25:AC29)</f>
        <v>54072.289156626503</v>
      </c>
    </row>
    <row r="32" spans="1:29" x14ac:dyDescent="0.2">
      <c r="A32" s="320"/>
      <c r="B32" s="353"/>
      <c r="C32" s="320"/>
      <c r="D32" s="320"/>
      <c r="E32" s="320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7"/>
      <c r="V32" s="328"/>
      <c r="W32" s="327"/>
      <c r="Y32" s="328"/>
      <c r="Z32" s="328"/>
      <c r="AA32" s="328"/>
      <c r="AB32" s="328"/>
      <c r="AC32" s="328"/>
    </row>
    <row r="33" spans="1:29" x14ac:dyDescent="0.2">
      <c r="A33" s="342"/>
      <c r="B33" s="353"/>
      <c r="C33" s="320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42"/>
      <c r="O33" s="342"/>
      <c r="P33" s="342"/>
      <c r="Q33" s="342"/>
      <c r="R33" s="342"/>
      <c r="S33" s="327"/>
      <c r="U33" t="s">
        <v>471</v>
      </c>
      <c r="V33" s="328">
        <f>+V2*9*243*12</f>
        <v>692579.16</v>
      </c>
      <c r="W33" s="327"/>
      <c r="X33" s="323" t="s">
        <v>472</v>
      </c>
      <c r="Y33" s="328">
        <f>243*9*Y7</f>
        <v>216867.46987951809</v>
      </c>
      <c r="Z33" s="328">
        <f>243*9*Z7</f>
        <v>433734.93975903618</v>
      </c>
      <c r="AA33" s="328">
        <f>243*9*AA7</f>
        <v>144578.31325301205</v>
      </c>
      <c r="AB33" s="328">
        <f>243*9*AB7</f>
        <v>1156626.5060240964</v>
      </c>
      <c r="AC33" s="328">
        <f>243*9*AC7</f>
        <v>318072.2891566265</v>
      </c>
    </row>
    <row r="34" spans="1:29" x14ac:dyDescent="0.2">
      <c r="A34" s="320"/>
      <c r="B34" s="353"/>
      <c r="C34" s="320"/>
      <c r="D34" s="320"/>
      <c r="E34" s="320"/>
      <c r="F34" s="320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7"/>
      <c r="U34" t="s">
        <v>473</v>
      </c>
      <c r="V34" s="328">
        <f>+(V33+V20+V31)*12%</f>
        <v>124340.77734939758</v>
      </c>
      <c r="W34" s="327"/>
      <c r="X34" t="s">
        <v>473</v>
      </c>
      <c r="Y34" s="328">
        <f>+(Y33+Y31+Y20)*12%</f>
        <v>36740.026773761718</v>
      </c>
      <c r="Z34" s="328">
        <f>+(Z33+Z31+Z20)*12%</f>
        <v>73480.053547523436</v>
      </c>
      <c r="AA34" s="328">
        <f>+(AA33+AA31+AA20)*12%</f>
        <v>24493.351182507806</v>
      </c>
      <c r="AB34" s="328">
        <f>+(AB33+AB31+AB20)*12%</f>
        <v>195946.80946006245</v>
      </c>
      <c r="AC34" s="328">
        <f>+(AC33+AC31+AC20)*12%</f>
        <v>53885.372601517178</v>
      </c>
    </row>
    <row r="35" spans="1:29" ht="15.75" x14ac:dyDescent="0.25">
      <c r="A35" s="320"/>
      <c r="B35" s="353"/>
      <c r="C35" s="320"/>
      <c r="D35" s="320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51"/>
      <c r="U35" t="s">
        <v>474</v>
      </c>
      <c r="V35" s="352">
        <f>+V34+V33+V31+V20</f>
        <v>1160513.921927711</v>
      </c>
      <c r="W35" s="351"/>
      <c r="X35" s="323" t="s">
        <v>475</v>
      </c>
      <c r="Y35" s="352">
        <f>+Y34+Y33+Y31+Y20</f>
        <v>342906.91655510938</v>
      </c>
      <c r="Z35" s="352">
        <f>+Z34+Z33+Z31+Z20</f>
        <v>685813.83311021875</v>
      </c>
      <c r="AA35" s="352">
        <f>+AA34+AA33+AA31+AA20</f>
        <v>228604.61103673954</v>
      </c>
      <c r="AB35" s="352">
        <f>+AB34+AB33+AB31+AB20</f>
        <v>1828836.8882939164</v>
      </c>
      <c r="AC35" s="352">
        <f>+AC34+AC33+AC31+AC20</f>
        <v>502930.14428082702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31"/>
  <sheetViews>
    <sheetView tabSelected="1" workbookViewId="0">
      <selection activeCell="A15" sqref="A15"/>
    </sheetView>
  </sheetViews>
  <sheetFormatPr baseColWidth="10" defaultRowHeight="12.75" x14ac:dyDescent="0.2"/>
  <cols>
    <col min="1" max="1" width="26.140625" customWidth="1"/>
    <col min="2" max="2" width="16.140625" customWidth="1"/>
    <col min="3" max="3" width="15.7109375" customWidth="1"/>
    <col min="4" max="4" width="14.28515625" customWidth="1"/>
    <col min="5" max="5" width="14.42578125" customWidth="1"/>
    <col min="6" max="6" width="15" customWidth="1"/>
    <col min="7" max="7" width="13.28515625" customWidth="1"/>
    <col min="8" max="8" width="24.85546875" customWidth="1"/>
    <col min="9" max="9" width="14.85546875" customWidth="1"/>
  </cols>
  <sheetData>
    <row r="1" spans="1:10" ht="13.5" thickBot="1" x14ac:dyDescent="0.25">
      <c r="A1" s="394" t="s">
        <v>528</v>
      </c>
      <c r="B1" s="394"/>
      <c r="C1" s="394"/>
      <c r="D1" s="394"/>
      <c r="E1" s="395"/>
      <c r="F1" s="395"/>
      <c r="G1" s="395"/>
      <c r="H1" s="395"/>
      <c r="I1" s="395"/>
      <c r="J1" s="396"/>
    </row>
    <row r="2" spans="1:10" x14ac:dyDescent="0.2">
      <c r="A2" s="287"/>
      <c r="B2" s="397"/>
      <c r="C2" s="397"/>
      <c r="D2" s="397"/>
      <c r="E2" s="397"/>
      <c r="F2" s="397"/>
      <c r="G2" s="397"/>
      <c r="H2" s="397"/>
      <c r="I2" s="397"/>
      <c r="J2" s="286"/>
    </row>
    <row r="3" spans="1:10" x14ac:dyDescent="0.2">
      <c r="A3" s="398" t="s">
        <v>558</v>
      </c>
      <c r="B3" s="397"/>
      <c r="C3" s="397"/>
      <c r="D3" s="397"/>
      <c r="E3" s="397"/>
      <c r="F3" s="397"/>
      <c r="G3" s="397"/>
      <c r="H3" s="397"/>
      <c r="I3" s="397"/>
      <c r="J3" s="286"/>
    </row>
    <row r="4" spans="1:10" x14ac:dyDescent="0.2">
      <c r="A4" s="398" t="s">
        <v>529</v>
      </c>
      <c r="B4" s="399">
        <v>0.75</v>
      </c>
      <c r="C4" s="660" t="s">
        <v>622</v>
      </c>
      <c r="D4" s="397"/>
      <c r="E4" s="397"/>
      <c r="F4" s="397"/>
      <c r="G4" s="397"/>
      <c r="H4" s="397"/>
      <c r="I4" s="589"/>
      <c r="J4" s="401"/>
    </row>
    <row r="5" spans="1:10" x14ac:dyDescent="0.2">
      <c r="A5" s="402" t="s">
        <v>530</v>
      </c>
      <c r="B5" s="400">
        <f>+SUM('E-Inv AF y Am'!B11:B18)</f>
        <v>2394149.25</v>
      </c>
      <c r="C5" s="397"/>
      <c r="D5" s="397"/>
      <c r="E5" s="397"/>
      <c r="F5" s="397"/>
      <c r="G5" s="397"/>
      <c r="H5" s="397"/>
      <c r="I5" s="397"/>
      <c r="J5" s="286"/>
    </row>
    <row r="6" spans="1:10" x14ac:dyDescent="0.2">
      <c r="A6" s="402" t="s">
        <v>531</v>
      </c>
      <c r="B6" s="400">
        <f>+B5*B4</f>
        <v>1795611.9375</v>
      </c>
      <c r="C6" s="397"/>
      <c r="D6" s="397"/>
      <c r="E6" s="397"/>
      <c r="F6" s="397"/>
      <c r="G6" s="397"/>
      <c r="H6" s="397"/>
      <c r="I6" s="397"/>
      <c r="J6" s="286"/>
    </row>
    <row r="7" spans="1:10" x14ac:dyDescent="0.2">
      <c r="A7" s="661" t="s">
        <v>623</v>
      </c>
      <c r="B7" s="397"/>
      <c r="C7" s="397"/>
      <c r="D7" s="397"/>
      <c r="E7" s="397"/>
      <c r="F7" s="397"/>
      <c r="G7" s="397"/>
      <c r="H7" s="397"/>
      <c r="I7" s="397"/>
      <c r="J7" s="286"/>
    </row>
    <row r="8" spans="1:10" x14ac:dyDescent="0.2">
      <c r="A8" s="398" t="s">
        <v>532</v>
      </c>
      <c r="B8" s="397"/>
      <c r="C8" s="397"/>
      <c r="D8" s="484">
        <v>0.05</v>
      </c>
      <c r="E8" s="397" t="s">
        <v>533</v>
      </c>
      <c r="F8" s="397"/>
      <c r="G8" s="397"/>
      <c r="H8" s="397"/>
      <c r="I8" s="397"/>
      <c r="J8" s="286"/>
    </row>
    <row r="9" spans="1:10" x14ac:dyDescent="0.2">
      <c r="A9" s="398" t="s">
        <v>534</v>
      </c>
      <c r="B9" s="397"/>
      <c r="C9" s="397"/>
      <c r="D9" s="397"/>
      <c r="E9" s="397"/>
      <c r="F9" s="397"/>
      <c r="G9" s="484">
        <v>1.4</v>
      </c>
      <c r="H9" s="274" t="s">
        <v>535</v>
      </c>
      <c r="I9" s="397"/>
      <c r="J9" s="286"/>
    </row>
    <row r="10" spans="1:10" x14ac:dyDescent="0.2">
      <c r="A10" s="403" t="s">
        <v>536</v>
      </c>
      <c r="B10" s="404"/>
      <c r="C10" s="484">
        <v>0.02</v>
      </c>
      <c r="D10" s="405" t="s">
        <v>537</v>
      </c>
      <c r="E10" s="404"/>
      <c r="F10" s="404"/>
      <c r="G10" s="404"/>
      <c r="H10" s="404"/>
      <c r="I10" s="404"/>
      <c r="J10" s="406"/>
    </row>
    <row r="11" spans="1:10" ht="13.5" thickBot="1" x14ac:dyDescent="0.25">
      <c r="A11" s="38"/>
      <c r="B11" s="38"/>
      <c r="C11" s="38"/>
      <c r="D11" s="38"/>
      <c r="E11" s="38"/>
      <c r="F11" s="38"/>
      <c r="G11" s="38"/>
      <c r="H11" s="38"/>
      <c r="I11" s="38"/>
      <c r="J11" s="38"/>
    </row>
    <row r="12" spans="1:10" ht="16.5" thickTop="1" x14ac:dyDescent="0.25">
      <c r="A12" s="154" t="s">
        <v>266</v>
      </c>
      <c r="B12" s="155"/>
      <c r="C12" s="155"/>
      <c r="D12" s="155"/>
      <c r="E12" s="155"/>
      <c r="F12" s="155"/>
      <c r="G12" s="155"/>
      <c r="H12" s="156"/>
      <c r="I12" s="38"/>
      <c r="J12" s="38"/>
    </row>
    <row r="13" spans="1:10" x14ac:dyDescent="0.2">
      <c r="A13" s="407" t="s">
        <v>254</v>
      </c>
      <c r="B13" s="408" t="s">
        <v>255</v>
      </c>
      <c r="C13" s="408" t="s">
        <v>256</v>
      </c>
      <c r="D13" s="408" t="s">
        <v>257</v>
      </c>
      <c r="E13" s="408" t="s">
        <v>256</v>
      </c>
      <c r="F13" s="408" t="s">
        <v>257</v>
      </c>
      <c r="G13" s="408" t="s">
        <v>259</v>
      </c>
      <c r="H13" s="409" t="s">
        <v>538</v>
      </c>
      <c r="I13" s="38"/>
      <c r="J13" s="38"/>
    </row>
    <row r="14" spans="1:10" ht="13.5" thickBot="1" x14ac:dyDescent="0.25">
      <c r="A14" s="410" t="s">
        <v>539</v>
      </c>
      <c r="B14" s="411"/>
      <c r="C14" s="411" t="s">
        <v>260</v>
      </c>
      <c r="D14" s="411" t="s">
        <v>260</v>
      </c>
      <c r="E14" s="411" t="s">
        <v>244</v>
      </c>
      <c r="F14" s="411" t="s">
        <v>244</v>
      </c>
      <c r="G14" s="411" t="s">
        <v>262</v>
      </c>
      <c r="H14" s="412"/>
      <c r="I14" s="38"/>
      <c r="J14" s="38"/>
    </row>
    <row r="15" spans="1:10" ht="13.5" thickTop="1" x14ac:dyDescent="0.2">
      <c r="A15" s="662" t="s">
        <v>624</v>
      </c>
      <c r="B15" s="159">
        <f>B6</f>
        <v>1795611.9375</v>
      </c>
      <c r="C15" s="159">
        <v>0</v>
      </c>
      <c r="D15" s="159">
        <v>0</v>
      </c>
      <c r="E15" s="159">
        <v>0</v>
      </c>
      <c r="F15" s="159">
        <v>0</v>
      </c>
      <c r="G15" s="159">
        <f>($B$6*$C$10)</f>
        <v>35912.238750000004</v>
      </c>
      <c r="H15" s="162">
        <v>0</v>
      </c>
      <c r="I15" s="38"/>
      <c r="J15" s="38"/>
    </row>
    <row r="16" spans="1:10" x14ac:dyDescent="0.2">
      <c r="A16" s="413" t="s">
        <v>625</v>
      </c>
      <c r="B16" s="165">
        <f>B15</f>
        <v>1795611.9375</v>
      </c>
      <c r="C16" s="165">
        <v>0</v>
      </c>
      <c r="D16" s="165">
        <f>($B$6*$D$8)</f>
        <v>89780.596875000003</v>
      </c>
      <c r="E16" s="165">
        <v>0</v>
      </c>
      <c r="F16" s="165">
        <v>0</v>
      </c>
      <c r="G16" s="165">
        <f>($B$6*$C$10)</f>
        <v>35912.238750000004</v>
      </c>
      <c r="H16" s="100">
        <v>0</v>
      </c>
      <c r="I16" s="38"/>
      <c r="J16" s="38"/>
    </row>
    <row r="17" spans="1:10" ht="13.5" thickBot="1" x14ac:dyDescent="0.25">
      <c r="A17" s="413" t="s">
        <v>626</v>
      </c>
      <c r="B17" s="99">
        <f>B16</f>
        <v>1795611.9375</v>
      </c>
      <c r="C17" s="99">
        <v>0</v>
      </c>
      <c r="D17" s="165">
        <f>($B$6*$D$8)</f>
        <v>89780.596875000003</v>
      </c>
      <c r="E17" s="99">
        <v>0</v>
      </c>
      <c r="F17" s="99">
        <v>0</v>
      </c>
      <c r="G17" s="99">
        <v>0</v>
      </c>
      <c r="H17" s="100">
        <v>0</v>
      </c>
      <c r="I17" s="38"/>
      <c r="J17" s="38"/>
    </row>
    <row r="18" spans="1:10" ht="14.25" thickTop="1" thickBot="1" x14ac:dyDescent="0.25">
      <c r="A18" s="414" t="s">
        <v>263</v>
      </c>
      <c r="B18" s="415"/>
      <c r="C18" s="415"/>
      <c r="D18" s="416">
        <f>SUM(D15:D17)</f>
        <v>179561.19375000001</v>
      </c>
      <c r="E18" s="415"/>
      <c r="F18" s="416">
        <f>D18</f>
        <v>179561.19375000001</v>
      </c>
      <c r="G18" s="416">
        <f>SUM(G15:G17)</f>
        <v>71824.477500000008</v>
      </c>
      <c r="H18" s="416">
        <f>D18+G18</f>
        <v>251385.67125000001</v>
      </c>
      <c r="I18" s="38"/>
      <c r="J18" s="38"/>
    </row>
    <row r="19" spans="1:10" ht="13.5" thickTop="1" x14ac:dyDescent="0.2">
      <c r="A19" s="663" t="s">
        <v>627</v>
      </c>
      <c r="B19" s="165">
        <f>B17</f>
        <v>1795611.9375</v>
      </c>
      <c r="C19" s="165">
        <v>0</v>
      </c>
      <c r="D19" s="165">
        <v>0</v>
      </c>
      <c r="E19" s="165">
        <v>0</v>
      </c>
      <c r="F19" s="165">
        <v>0</v>
      </c>
      <c r="G19" s="165">
        <v>0</v>
      </c>
      <c r="H19" s="166">
        <f>SUM(C19:G19)</f>
        <v>0</v>
      </c>
      <c r="I19" s="38"/>
      <c r="J19" s="38"/>
    </row>
    <row r="20" spans="1:10" x14ac:dyDescent="0.2">
      <c r="A20" s="664" t="s">
        <v>628</v>
      </c>
      <c r="B20" s="99">
        <f>B19-C20</f>
        <v>1571160.4453125</v>
      </c>
      <c r="C20" s="99">
        <f>($B$6/8)</f>
        <v>224451.4921875</v>
      </c>
      <c r="D20" s="99">
        <f>B19*$D$8</f>
        <v>89780.596875000003</v>
      </c>
      <c r="E20" s="99">
        <v>0</v>
      </c>
      <c r="F20" s="99">
        <v>0</v>
      </c>
      <c r="G20" s="99">
        <v>0</v>
      </c>
      <c r="H20" s="166">
        <f t="shared" ref="H20:H29" si="0">SUM(C20:D20)</f>
        <v>314232.08906249999</v>
      </c>
      <c r="I20" s="38"/>
      <c r="J20" s="38"/>
    </row>
    <row r="21" spans="1:10" x14ac:dyDescent="0.2">
      <c r="A21" s="665" t="s">
        <v>629</v>
      </c>
      <c r="B21" s="99">
        <f t="shared" ref="B21:B29" si="1">B20-C21</f>
        <v>1346708.953125</v>
      </c>
      <c r="C21" s="99">
        <f t="shared" ref="C21:C27" si="2">($B$6/8)</f>
        <v>224451.4921875</v>
      </c>
      <c r="D21" s="99">
        <f t="shared" ref="D21:D29" si="3">B20*$D$8</f>
        <v>78558.022265624997</v>
      </c>
      <c r="E21" s="99">
        <f>SUM(C20:C21)</f>
        <v>448902.984375</v>
      </c>
      <c r="F21" s="99">
        <f>SUM(D20:D21)</f>
        <v>168338.619140625</v>
      </c>
      <c r="G21" s="99">
        <v>0</v>
      </c>
      <c r="H21" s="166">
        <f t="shared" si="0"/>
        <v>303009.51445312501</v>
      </c>
      <c r="I21" s="38"/>
      <c r="J21" s="38"/>
    </row>
    <row r="22" spans="1:10" x14ac:dyDescent="0.2">
      <c r="A22" s="665" t="s">
        <v>631</v>
      </c>
      <c r="B22" s="99">
        <f t="shared" si="1"/>
        <v>1122257.4609375</v>
      </c>
      <c r="C22" s="99">
        <f t="shared" si="2"/>
        <v>224451.4921875</v>
      </c>
      <c r="D22" s="99">
        <f t="shared" si="3"/>
        <v>67335.447656250006</v>
      </c>
      <c r="E22" s="99">
        <v>0</v>
      </c>
      <c r="F22" s="99">
        <v>0</v>
      </c>
      <c r="G22" s="99">
        <v>0</v>
      </c>
      <c r="H22" s="166">
        <f t="shared" si="0"/>
        <v>291786.93984374998</v>
      </c>
      <c r="I22" s="38"/>
      <c r="J22" s="38"/>
    </row>
    <row r="23" spans="1:10" x14ac:dyDescent="0.2">
      <c r="A23" s="665" t="s">
        <v>630</v>
      </c>
      <c r="B23" s="99">
        <f t="shared" si="1"/>
        <v>897805.96875</v>
      </c>
      <c r="C23" s="99">
        <f t="shared" si="2"/>
        <v>224451.4921875</v>
      </c>
      <c r="D23" s="99">
        <f t="shared" si="3"/>
        <v>56112.873046875</v>
      </c>
      <c r="E23" s="99">
        <f>SUM(C22:C23)</f>
        <v>448902.984375</v>
      </c>
      <c r="F23" s="99">
        <f>SUM(D22:D23)</f>
        <v>123448.32070312501</v>
      </c>
      <c r="G23" s="99">
        <v>0</v>
      </c>
      <c r="H23" s="166">
        <f t="shared" si="0"/>
        <v>280564.365234375</v>
      </c>
      <c r="I23" s="38"/>
      <c r="J23" s="38"/>
    </row>
    <row r="24" spans="1:10" x14ac:dyDescent="0.2">
      <c r="A24" s="665" t="s">
        <v>632</v>
      </c>
      <c r="B24" s="99">
        <f t="shared" si="1"/>
        <v>673354.4765625</v>
      </c>
      <c r="C24" s="99">
        <f t="shared" si="2"/>
        <v>224451.4921875</v>
      </c>
      <c r="D24" s="99">
        <f t="shared" si="3"/>
        <v>44890.298437500001</v>
      </c>
      <c r="E24" s="99">
        <v>0</v>
      </c>
      <c r="F24" s="99">
        <v>0</v>
      </c>
      <c r="G24" s="99">
        <v>0</v>
      </c>
      <c r="H24" s="166">
        <f t="shared" si="0"/>
        <v>269341.79062500002</v>
      </c>
      <c r="I24" s="38"/>
      <c r="J24" s="38"/>
    </row>
    <row r="25" spans="1:10" x14ac:dyDescent="0.2">
      <c r="A25" s="665" t="s">
        <v>633</v>
      </c>
      <c r="B25" s="99">
        <f t="shared" si="1"/>
        <v>448902.984375</v>
      </c>
      <c r="C25" s="99">
        <f t="shared" si="2"/>
        <v>224451.4921875</v>
      </c>
      <c r="D25" s="99">
        <f t="shared" si="3"/>
        <v>33667.723828125003</v>
      </c>
      <c r="E25" s="99">
        <f>SUM(C24:C25)</f>
        <v>448902.984375</v>
      </c>
      <c r="F25" s="99">
        <f>SUM(D24:D25)</f>
        <v>78558.022265625012</v>
      </c>
      <c r="G25" s="99">
        <v>0</v>
      </c>
      <c r="H25" s="166">
        <f t="shared" si="0"/>
        <v>258119.21601562499</v>
      </c>
      <c r="I25" s="38"/>
      <c r="J25" s="38"/>
    </row>
    <row r="26" spans="1:10" x14ac:dyDescent="0.2">
      <c r="A26" s="665" t="s">
        <v>634</v>
      </c>
      <c r="B26" s="99">
        <f t="shared" si="1"/>
        <v>224451.4921875</v>
      </c>
      <c r="C26" s="99">
        <f t="shared" si="2"/>
        <v>224451.4921875</v>
      </c>
      <c r="D26" s="99">
        <f t="shared" si="3"/>
        <v>22445.149218750001</v>
      </c>
      <c r="E26" s="99">
        <v>0</v>
      </c>
      <c r="F26" s="99">
        <v>0</v>
      </c>
      <c r="G26" s="99">
        <v>0</v>
      </c>
      <c r="H26" s="166">
        <f t="shared" si="0"/>
        <v>246896.64140625001</v>
      </c>
      <c r="I26" s="38"/>
      <c r="J26" s="38"/>
    </row>
    <row r="27" spans="1:10" x14ac:dyDescent="0.2">
      <c r="A27" s="665" t="s">
        <v>635</v>
      </c>
      <c r="B27" s="99">
        <f t="shared" si="1"/>
        <v>0</v>
      </c>
      <c r="C27" s="99">
        <f t="shared" si="2"/>
        <v>224451.4921875</v>
      </c>
      <c r="D27" s="99">
        <f t="shared" si="3"/>
        <v>11222.574609375</v>
      </c>
      <c r="E27" s="99">
        <f>SUM(C26:C27)</f>
        <v>448902.984375</v>
      </c>
      <c r="F27" s="99">
        <f>SUM(D26:D27)</f>
        <v>33667.723828125003</v>
      </c>
      <c r="G27" s="99">
        <v>0</v>
      </c>
      <c r="H27" s="166">
        <f t="shared" si="0"/>
        <v>235674.06679687501</v>
      </c>
      <c r="I27" s="38"/>
      <c r="J27" s="38"/>
    </row>
    <row r="28" spans="1:10" x14ac:dyDescent="0.2">
      <c r="A28" s="418"/>
      <c r="B28" s="99">
        <f t="shared" si="1"/>
        <v>0</v>
      </c>
      <c r="C28" s="99"/>
      <c r="D28" s="99">
        <f t="shared" si="3"/>
        <v>0</v>
      </c>
      <c r="E28" s="99">
        <v>0</v>
      </c>
      <c r="F28" s="99">
        <v>0</v>
      </c>
      <c r="G28" s="99">
        <v>0</v>
      </c>
      <c r="H28" s="166">
        <f t="shared" si="0"/>
        <v>0</v>
      </c>
      <c r="I28" s="38"/>
      <c r="J28" s="38"/>
    </row>
    <row r="29" spans="1:10" x14ac:dyDescent="0.2">
      <c r="A29" s="418"/>
      <c r="B29" s="99">
        <f t="shared" si="1"/>
        <v>0</v>
      </c>
      <c r="C29" s="99"/>
      <c r="D29" s="99">
        <f t="shared" si="3"/>
        <v>0</v>
      </c>
      <c r="E29" s="99">
        <f>SUM(C28:C29)</f>
        <v>0</v>
      </c>
      <c r="F29" s="99">
        <f>SUM(D28:D29)</f>
        <v>0</v>
      </c>
      <c r="G29" s="99">
        <v>0</v>
      </c>
      <c r="H29" s="166">
        <f t="shared" si="0"/>
        <v>0</v>
      </c>
      <c r="I29" s="38"/>
      <c r="J29" s="38"/>
    </row>
    <row r="30" spans="1:10" ht="13.5" thickBot="1" x14ac:dyDescent="0.25">
      <c r="A30" s="419" t="s">
        <v>264</v>
      </c>
      <c r="B30" s="150"/>
      <c r="C30" s="150">
        <f>SUM(C18:C29)</f>
        <v>1795611.9375</v>
      </c>
      <c r="D30" s="150">
        <f>SUM(D18:D29)</f>
        <v>583573.87968750007</v>
      </c>
      <c r="E30" s="150">
        <f>SUM(E18:E29)</f>
        <v>1795611.9375</v>
      </c>
      <c r="F30" s="150">
        <f>SUM(F18:F29)</f>
        <v>583573.87968749995</v>
      </c>
      <c r="G30" s="150">
        <f>SUM(G18:G29)</f>
        <v>71824.477500000008</v>
      </c>
      <c r="H30" s="171"/>
      <c r="I30" s="38"/>
      <c r="J30" s="38"/>
    </row>
    <row r="31" spans="1:10" ht="13.5" thickTop="1" x14ac:dyDescent="0.2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D21"/>
  <sheetViews>
    <sheetView topLeftCell="A7" workbookViewId="0">
      <selection activeCell="A20" sqref="A20"/>
    </sheetView>
  </sheetViews>
  <sheetFormatPr baseColWidth="10" defaultRowHeight="12.75" x14ac:dyDescent="0.2"/>
  <cols>
    <col min="1" max="1" width="18.42578125" customWidth="1"/>
    <col min="2" max="2" width="28.42578125" customWidth="1"/>
    <col min="3" max="3" width="17.7109375" customWidth="1"/>
    <col min="4" max="4" width="20.85546875" customWidth="1"/>
  </cols>
  <sheetData>
    <row r="1" spans="1:4" ht="13.5" thickBot="1" x14ac:dyDescent="0.25">
      <c r="A1" s="394" t="s">
        <v>540</v>
      </c>
      <c r="B1" s="394"/>
      <c r="C1" s="394"/>
      <c r="D1" s="420"/>
    </row>
    <row r="2" spans="1:4" x14ac:dyDescent="0.2">
      <c r="A2" s="287"/>
      <c r="B2" s="397"/>
      <c r="C2" s="397"/>
      <c r="D2" s="286"/>
    </row>
    <row r="3" spans="1:4" x14ac:dyDescent="0.2">
      <c r="A3" s="402" t="s">
        <v>531</v>
      </c>
      <c r="B3" s="400">
        <f>+'E-InvAT'!C8*4</f>
        <v>909740.7536231894</v>
      </c>
      <c r="C3" s="397"/>
      <c r="D3" s="286"/>
    </row>
    <row r="4" spans="1:4" x14ac:dyDescent="0.2">
      <c r="A4" s="421" t="s">
        <v>541</v>
      </c>
      <c r="B4" s="404"/>
      <c r="C4" s="484">
        <v>0.12</v>
      </c>
      <c r="D4" s="406"/>
    </row>
    <row r="5" spans="1:4" ht="13.5" thickBot="1" x14ac:dyDescent="0.25">
      <c r="A5" s="38"/>
      <c r="B5" s="38"/>
      <c r="C5" s="38"/>
      <c r="D5" s="38"/>
    </row>
    <row r="6" spans="1:4" ht="16.5" thickTop="1" x14ac:dyDescent="0.25">
      <c r="A6" s="154" t="s">
        <v>266</v>
      </c>
      <c r="B6" s="155"/>
      <c r="C6" s="155"/>
      <c r="D6" s="156"/>
    </row>
    <row r="7" spans="1:4" x14ac:dyDescent="0.2">
      <c r="A7" s="407" t="s">
        <v>254</v>
      </c>
      <c r="B7" s="408" t="s">
        <v>255</v>
      </c>
      <c r="C7" s="408" t="s">
        <v>257</v>
      </c>
      <c r="D7" s="408" t="s">
        <v>257</v>
      </c>
    </row>
    <row r="8" spans="1:4" ht="13.5" thickBot="1" x14ac:dyDescent="0.25">
      <c r="A8" s="410" t="s">
        <v>542</v>
      </c>
      <c r="B8" s="411"/>
      <c r="C8" s="411" t="s">
        <v>260</v>
      </c>
      <c r="D8" s="411" t="s">
        <v>244</v>
      </c>
    </row>
    <row r="9" spans="1:4" ht="13.5" thickTop="1" x14ac:dyDescent="0.2">
      <c r="A9" s="417">
        <v>37072</v>
      </c>
      <c r="B9" s="165">
        <f>B3</f>
        <v>909740.7536231894</v>
      </c>
      <c r="C9" s="165">
        <f>B9*$C$4/2</f>
        <v>54584.44521739136</v>
      </c>
      <c r="D9" s="166">
        <v>0</v>
      </c>
    </row>
    <row r="10" spans="1:4" x14ac:dyDescent="0.2">
      <c r="A10" s="418">
        <v>37256</v>
      </c>
      <c r="B10" s="165">
        <f t="shared" ref="B10:B18" si="0">B9</f>
        <v>909740.7536231894</v>
      </c>
      <c r="C10" s="165">
        <f t="shared" ref="C10:C18" si="1">B10*$C$4/2</f>
        <v>54584.44521739136</v>
      </c>
      <c r="D10" s="166">
        <f>SUM(C9:C10)</f>
        <v>109168.89043478272</v>
      </c>
    </row>
    <row r="11" spans="1:4" x14ac:dyDescent="0.2">
      <c r="A11" s="418">
        <v>37437</v>
      </c>
      <c r="B11" s="165">
        <f t="shared" si="0"/>
        <v>909740.7536231894</v>
      </c>
      <c r="C11" s="165">
        <f t="shared" si="1"/>
        <v>54584.44521739136</v>
      </c>
      <c r="D11" s="166">
        <v>0</v>
      </c>
    </row>
    <row r="12" spans="1:4" x14ac:dyDescent="0.2">
      <c r="A12" s="418">
        <v>37621</v>
      </c>
      <c r="B12" s="165">
        <f t="shared" si="0"/>
        <v>909740.7536231894</v>
      </c>
      <c r="C12" s="165">
        <f t="shared" si="1"/>
        <v>54584.44521739136</v>
      </c>
      <c r="D12" s="166">
        <f>SUM(C11:C12)</f>
        <v>109168.89043478272</v>
      </c>
    </row>
    <row r="13" spans="1:4" x14ac:dyDescent="0.2">
      <c r="A13" s="418">
        <v>37802</v>
      </c>
      <c r="B13" s="165">
        <f t="shared" si="0"/>
        <v>909740.7536231894</v>
      </c>
      <c r="C13" s="165">
        <f t="shared" si="1"/>
        <v>54584.44521739136</v>
      </c>
      <c r="D13" s="166">
        <v>0</v>
      </c>
    </row>
    <row r="14" spans="1:4" x14ac:dyDescent="0.2">
      <c r="A14" s="418">
        <v>37986</v>
      </c>
      <c r="B14" s="165">
        <f t="shared" si="0"/>
        <v>909740.7536231894</v>
      </c>
      <c r="C14" s="165">
        <f t="shared" si="1"/>
        <v>54584.44521739136</v>
      </c>
      <c r="D14" s="166">
        <f>SUM(C13:C14)</f>
        <v>109168.89043478272</v>
      </c>
    </row>
    <row r="15" spans="1:4" x14ac:dyDescent="0.2">
      <c r="A15" s="418">
        <v>38168</v>
      </c>
      <c r="B15" s="165">
        <f t="shared" si="0"/>
        <v>909740.7536231894</v>
      </c>
      <c r="C15" s="165">
        <f t="shared" si="1"/>
        <v>54584.44521739136</v>
      </c>
      <c r="D15" s="166">
        <v>0</v>
      </c>
    </row>
    <row r="16" spans="1:4" x14ac:dyDescent="0.2">
      <c r="A16" s="418">
        <v>38352</v>
      </c>
      <c r="B16" s="165">
        <f t="shared" si="0"/>
        <v>909740.7536231894</v>
      </c>
      <c r="C16" s="165">
        <f t="shared" si="1"/>
        <v>54584.44521739136</v>
      </c>
      <c r="D16" s="166">
        <f>SUM(C15:C16)</f>
        <v>109168.89043478272</v>
      </c>
    </row>
    <row r="17" spans="1:4" x14ac:dyDescent="0.2">
      <c r="A17" s="418">
        <v>38533</v>
      </c>
      <c r="B17" s="165">
        <f t="shared" si="0"/>
        <v>909740.7536231894</v>
      </c>
      <c r="C17" s="165">
        <f t="shared" si="1"/>
        <v>54584.44521739136</v>
      </c>
      <c r="D17" s="166">
        <v>0</v>
      </c>
    </row>
    <row r="18" spans="1:4" x14ac:dyDescent="0.2">
      <c r="A18" s="418">
        <v>38717</v>
      </c>
      <c r="B18" s="165">
        <f t="shared" si="0"/>
        <v>909740.7536231894</v>
      </c>
      <c r="C18" s="165">
        <f t="shared" si="1"/>
        <v>54584.44521739136</v>
      </c>
      <c r="D18" s="166">
        <f>SUM(C17:C18)</f>
        <v>109168.89043478272</v>
      </c>
    </row>
    <row r="19" spans="1:4" x14ac:dyDescent="0.2">
      <c r="A19" s="418"/>
      <c r="B19" s="165"/>
      <c r="C19" s="165"/>
      <c r="D19" s="166"/>
    </row>
    <row r="20" spans="1:4" ht="13.5" thickBot="1" x14ac:dyDescent="0.25">
      <c r="A20" s="419" t="s">
        <v>264</v>
      </c>
      <c r="B20" s="150"/>
      <c r="C20" s="150">
        <f>SUM(C9:C18)</f>
        <v>545844.4521739136</v>
      </c>
      <c r="D20" s="171">
        <f>SUM(D9:D18)</f>
        <v>545844.4521739136</v>
      </c>
    </row>
    <row r="21" spans="1:4" ht="13.5" thickTop="1" x14ac:dyDescent="0.2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31"/>
  <sheetViews>
    <sheetView topLeftCell="A15" zoomScaleNormal="100" workbookViewId="0">
      <selection activeCell="A30" sqref="A30"/>
    </sheetView>
  </sheetViews>
  <sheetFormatPr baseColWidth="10" defaultRowHeight="12.75" x14ac:dyDescent="0.2"/>
  <cols>
    <col min="1" max="1" width="27.28515625" style="38" customWidth="1"/>
    <col min="2" max="2" width="16" style="38" bestFit="1" customWidth="1"/>
    <col min="3" max="9" width="15.140625" style="38" customWidth="1"/>
    <col min="10" max="11" width="17.140625" style="38" bestFit="1" customWidth="1"/>
    <col min="12" max="16384" width="11.42578125" style="38"/>
  </cols>
  <sheetData>
    <row r="1" spans="1:12" ht="16.5" thickTop="1" x14ac:dyDescent="0.25">
      <c r="A1" s="146" t="s">
        <v>245</v>
      </c>
      <c r="B1" s="95"/>
      <c r="C1" s="95"/>
      <c r="D1" s="95"/>
      <c r="E1" s="95"/>
      <c r="F1" s="95"/>
      <c r="G1" s="96"/>
    </row>
    <row r="2" spans="1:12" x14ac:dyDescent="0.2">
      <c r="A2" s="75" t="s">
        <v>80</v>
      </c>
      <c r="B2" s="648" t="s">
        <v>252</v>
      </c>
      <c r="C2" s="648"/>
      <c r="D2" s="648" t="s">
        <v>253</v>
      </c>
      <c r="E2" s="648"/>
      <c r="F2" s="648" t="s">
        <v>246</v>
      </c>
      <c r="G2" s="649"/>
    </row>
    <row r="3" spans="1:12" x14ac:dyDescent="0.2">
      <c r="A3" s="147" t="s">
        <v>48</v>
      </c>
      <c r="B3" s="148" t="s">
        <v>247</v>
      </c>
      <c r="C3" s="148" t="s">
        <v>248</v>
      </c>
      <c r="D3" s="148" t="s">
        <v>247</v>
      </c>
      <c r="E3" s="148" t="s">
        <v>248</v>
      </c>
      <c r="F3" s="148" t="s">
        <v>247</v>
      </c>
      <c r="G3" s="149" t="s">
        <v>248</v>
      </c>
    </row>
    <row r="4" spans="1:12" x14ac:dyDescent="0.2">
      <c r="A4" s="48" t="s">
        <v>249</v>
      </c>
      <c r="B4" s="76">
        <f>+'E-Cal Inv.'!B6+'E-Cal Inv.'!C6+'E-Cal Inv.'!D6</f>
        <v>6769779.5326332431</v>
      </c>
      <c r="C4" s="94">
        <f>+B4/$B$7</f>
        <v>0.71602007475443286</v>
      </c>
      <c r="D4" s="76">
        <f>+'Detalle Cred Maq'!B6</f>
        <v>1795611.9375</v>
      </c>
      <c r="E4" s="94">
        <f>+D4/$B$7</f>
        <v>0.18991670076124403</v>
      </c>
      <c r="F4" s="76">
        <f>+B4-D4</f>
        <v>4974167.5951332431</v>
      </c>
      <c r="G4" s="94">
        <f>+F4/$B$7</f>
        <v>0.52610337399318885</v>
      </c>
    </row>
    <row r="5" spans="1:12" x14ac:dyDescent="0.2">
      <c r="A5" s="10" t="s">
        <v>250</v>
      </c>
      <c r="B5" s="76">
        <f>+SUM('E-Cal Inv.'!B16:D16)</f>
        <v>1156939.1398013346</v>
      </c>
      <c r="C5" s="94">
        <f>+B5/$B$7</f>
        <v>0.12236611921757239</v>
      </c>
      <c r="D5" s="76">
        <f>+'Detalle Cred Renov'!B3</f>
        <v>909740.7536231894</v>
      </c>
      <c r="E5" s="94">
        <f>+D5/$B$7</f>
        <v>9.6220658187823993E-2</v>
      </c>
      <c r="F5" s="76">
        <f>+B5-D5</f>
        <v>247198.38617814519</v>
      </c>
      <c r="G5" s="94">
        <f>+F5/$B$7</f>
        <v>2.6145461029748383E-2</v>
      </c>
    </row>
    <row r="6" spans="1:12" x14ac:dyDescent="0.2">
      <c r="A6" s="10" t="s">
        <v>251</v>
      </c>
      <c r="B6" s="76">
        <f>+SUM('E-Cal Inv.'!B21:D21)</f>
        <v>1528015.5889686579</v>
      </c>
      <c r="C6" s="94">
        <f>+B6/$B$7</f>
        <v>0.16161380602799463</v>
      </c>
      <c r="D6" s="99">
        <v>0</v>
      </c>
      <c r="E6" s="94">
        <f>+D6/$B$7</f>
        <v>0</v>
      </c>
      <c r="F6" s="76">
        <f>+B6-D6</f>
        <v>1528015.5889686579</v>
      </c>
      <c r="G6" s="94">
        <f>+F6/$B$7</f>
        <v>0.16161380602799463</v>
      </c>
    </row>
    <row r="7" spans="1:12" ht="13.5" thickBot="1" x14ac:dyDescent="0.25">
      <c r="A7" s="54" t="s">
        <v>193</v>
      </c>
      <c r="B7" s="150">
        <f>SUM(B4:B6)</f>
        <v>9454734.2614032365</v>
      </c>
      <c r="C7" s="151">
        <f>+B7/$B$7</f>
        <v>1</v>
      </c>
      <c r="D7" s="150">
        <f>SUM(D4:D6)</f>
        <v>2705352.6911231894</v>
      </c>
      <c r="E7" s="151">
        <f>+D7/$B$7</f>
        <v>0.286137358949068</v>
      </c>
      <c r="F7" s="150">
        <f>+B7-D7</f>
        <v>6749381.5702800471</v>
      </c>
      <c r="G7" s="151">
        <f>+F7/$B$7</f>
        <v>0.713862641050932</v>
      </c>
    </row>
    <row r="8" spans="1:12" ht="14.25" thickTop="1" thickBot="1" x14ac:dyDescent="0.25">
      <c r="A8" s="128"/>
      <c r="B8" s="71"/>
      <c r="C8" s="152"/>
      <c r="D8" s="71"/>
      <c r="E8" s="153"/>
      <c r="F8" s="71"/>
      <c r="G8" s="71"/>
    </row>
    <row r="9" spans="1:12" ht="17.25" thickTop="1" thickBot="1" x14ac:dyDescent="0.3">
      <c r="A9" s="652" t="s">
        <v>266</v>
      </c>
      <c r="B9" s="653"/>
      <c r="C9" s="653"/>
      <c r="D9" s="653"/>
      <c r="E9" s="653"/>
      <c r="F9" s="653"/>
      <c r="G9" s="653"/>
      <c r="H9" s="653"/>
      <c r="I9" s="653"/>
      <c r="J9" s="654"/>
    </row>
    <row r="10" spans="1:12" ht="13.5" thickTop="1" x14ac:dyDescent="0.2">
      <c r="A10" s="650" t="s">
        <v>254</v>
      </c>
      <c r="B10" s="157" t="s">
        <v>255</v>
      </c>
      <c r="C10" s="157" t="s">
        <v>256</v>
      </c>
      <c r="D10" s="157" t="s">
        <v>257</v>
      </c>
      <c r="E10" s="157" t="s">
        <v>256</v>
      </c>
      <c r="F10" s="157" t="s">
        <v>265</v>
      </c>
      <c r="G10" s="157" t="s">
        <v>257</v>
      </c>
      <c r="H10" s="157"/>
      <c r="I10" s="427" t="s">
        <v>259</v>
      </c>
      <c r="J10" s="431" t="s">
        <v>259</v>
      </c>
    </row>
    <row r="11" spans="1:12" ht="13.5" thickBot="1" x14ac:dyDescent="0.25">
      <c r="A11" s="651"/>
      <c r="B11" s="158"/>
      <c r="C11" s="158" t="s">
        <v>260</v>
      </c>
      <c r="D11" s="158" t="s">
        <v>260</v>
      </c>
      <c r="E11" s="158" t="s">
        <v>244</v>
      </c>
      <c r="F11" s="158" t="s">
        <v>261</v>
      </c>
      <c r="G11" s="158" t="s">
        <v>244</v>
      </c>
      <c r="H11" s="158" t="s">
        <v>258</v>
      </c>
      <c r="I11" s="428" t="s">
        <v>262</v>
      </c>
      <c r="J11" s="432" t="s">
        <v>544</v>
      </c>
    </row>
    <row r="12" spans="1:12" ht="13.5" thickTop="1" x14ac:dyDescent="0.2">
      <c r="A12" s="666" t="s">
        <v>624</v>
      </c>
      <c r="B12" s="159">
        <f>+D4</f>
        <v>1795611.9375</v>
      </c>
      <c r="C12" s="159"/>
      <c r="D12" s="159">
        <f>+'Detalle Cred Maq'!D15</f>
        <v>0</v>
      </c>
      <c r="E12" s="159"/>
      <c r="F12" s="160"/>
      <c r="G12" s="159"/>
      <c r="H12" s="161"/>
      <c r="I12" s="159">
        <f>+'Detalle Cred Maq'!G15</f>
        <v>35912.238750000004</v>
      </c>
      <c r="J12" s="435"/>
      <c r="K12" s="436"/>
    </row>
    <row r="13" spans="1:12" x14ac:dyDescent="0.2">
      <c r="A13" s="667" t="s">
        <v>625</v>
      </c>
      <c r="B13" s="99">
        <f>+D4</f>
        <v>1795611.9375</v>
      </c>
      <c r="C13" s="99"/>
      <c r="D13" s="423">
        <f>+'Detalle Cred Maq'!D16</f>
        <v>89780.596875000003</v>
      </c>
      <c r="E13" s="99"/>
      <c r="F13" s="163"/>
      <c r="G13" s="99"/>
      <c r="H13" s="164"/>
      <c r="I13" s="99">
        <f>+'Detalle Cred Maq'!G16</f>
        <v>35912.238750000004</v>
      </c>
      <c r="J13" s="223"/>
      <c r="K13" s="436"/>
    </row>
    <row r="14" spans="1:12" ht="13.5" thickBot="1" x14ac:dyDescent="0.25">
      <c r="A14" s="668" t="s">
        <v>626</v>
      </c>
      <c r="B14" s="99">
        <f>+D4</f>
        <v>1795611.9375</v>
      </c>
      <c r="C14" s="99"/>
      <c r="D14" s="165">
        <f>+'Detalle Cred Maq'!D17</f>
        <v>89780.596875000003</v>
      </c>
      <c r="E14" s="99"/>
      <c r="F14" s="163"/>
      <c r="G14" s="99"/>
      <c r="H14" s="164"/>
      <c r="I14" s="99">
        <f>+'Detalle Cred Maq'!G17</f>
        <v>0</v>
      </c>
      <c r="J14" s="223"/>
      <c r="K14" s="436"/>
    </row>
    <row r="15" spans="1:12" ht="14.25" thickTop="1" thickBot="1" x14ac:dyDescent="0.25">
      <c r="A15" s="433" t="s">
        <v>263</v>
      </c>
      <c r="B15" s="422"/>
      <c r="C15" s="422"/>
      <c r="D15" s="422">
        <f>SUM(D12:D14)</f>
        <v>179561.19375000001</v>
      </c>
      <c r="E15" s="422"/>
      <c r="F15" s="422"/>
      <c r="G15" s="422">
        <f>+D15</f>
        <v>179561.19375000001</v>
      </c>
      <c r="H15" s="425">
        <f>+G15/B14</f>
        <v>0.1</v>
      </c>
      <c r="I15" s="422">
        <f>SUM(I12:I14)</f>
        <v>71824.477500000008</v>
      </c>
      <c r="J15" s="434"/>
      <c r="K15" s="397"/>
    </row>
    <row r="16" spans="1:12" ht="13.5" thickTop="1" x14ac:dyDescent="0.2">
      <c r="A16" s="663" t="s">
        <v>627</v>
      </c>
      <c r="B16" s="159">
        <f>+B14+'Detalle Cred Renov'!B3</f>
        <v>2705352.6911231894</v>
      </c>
      <c r="C16" s="159"/>
      <c r="D16" s="165">
        <v>0</v>
      </c>
      <c r="E16" s="165">
        <f>+'Detalle Cred Maq'!E19</f>
        <v>0</v>
      </c>
      <c r="F16" s="160"/>
      <c r="G16" s="165"/>
      <c r="H16" s="161"/>
      <c r="I16" s="429"/>
      <c r="J16" s="166"/>
      <c r="L16" s="426" t="s">
        <v>543</v>
      </c>
    </row>
    <row r="17" spans="1:12" x14ac:dyDescent="0.2">
      <c r="A17" s="664" t="s">
        <v>628</v>
      </c>
      <c r="B17" s="99">
        <f>+B16-C17</f>
        <v>2480901.1989356894</v>
      </c>
      <c r="C17" s="99">
        <f>+'Detalle Cred Maq'!C20</f>
        <v>224451.4921875</v>
      </c>
      <c r="D17" s="165">
        <f>+'Detalle Cred Maq'!D20+'Detalle Cred Renov'!C9</f>
        <v>144365.04209239135</v>
      </c>
      <c r="E17" s="165">
        <f>+'Detalle Cred Maq'!E20</f>
        <v>0</v>
      </c>
      <c r="F17" s="163"/>
      <c r="G17" s="99"/>
      <c r="H17" s="164"/>
      <c r="I17" s="223"/>
      <c r="J17" s="100"/>
      <c r="L17" s="426"/>
    </row>
    <row r="18" spans="1:12" x14ac:dyDescent="0.2">
      <c r="A18" s="665" t="s">
        <v>629</v>
      </c>
      <c r="B18" s="99">
        <f t="shared" ref="B18:B24" si="0">+B17-C18</f>
        <v>2256449.7067481894</v>
      </c>
      <c r="C18" s="99">
        <f>+'Detalle Cred Maq'!C21</f>
        <v>224451.4921875</v>
      </c>
      <c r="D18" s="165">
        <f>+'Detalle Cred Maq'!D21+'Detalle Cred Renov'!C10</f>
        <v>133142.46748301637</v>
      </c>
      <c r="E18" s="165">
        <f>+'Detalle Cred Maq'!E21</f>
        <v>448902.984375</v>
      </c>
      <c r="F18" s="99">
        <f>+(B16+B18+C18)/2</f>
        <v>2593126.9450294394</v>
      </c>
      <c r="G18" s="99">
        <f>+SUM(D17:D18)</f>
        <v>277507.50957540772</v>
      </c>
      <c r="H18" s="424">
        <f>+G18/F18</f>
        <v>0.10701655393591122</v>
      </c>
      <c r="I18" s="223"/>
      <c r="J18" s="100">
        <f>G18+($D$15+$I$15)/3</f>
        <v>361302.73332540772</v>
      </c>
      <c r="L18" s="426"/>
    </row>
    <row r="19" spans="1:12" x14ac:dyDescent="0.2">
      <c r="A19" s="665" t="s">
        <v>631</v>
      </c>
      <c r="B19" s="99">
        <f t="shared" si="0"/>
        <v>2031998.2145606894</v>
      </c>
      <c r="C19" s="99">
        <f>+'Detalle Cred Maq'!C22</f>
        <v>224451.4921875</v>
      </c>
      <c r="D19" s="165">
        <f>+'Detalle Cred Maq'!D22+'Detalle Cred Renov'!C11</f>
        <v>121919.89287364137</v>
      </c>
      <c r="E19" s="165">
        <f>+'Detalle Cred Maq'!E22</f>
        <v>0</v>
      </c>
      <c r="F19" s="99"/>
      <c r="G19" s="99"/>
      <c r="H19" s="424"/>
      <c r="I19" s="223"/>
      <c r="J19" s="100"/>
      <c r="L19" s="426"/>
    </row>
    <row r="20" spans="1:12" x14ac:dyDescent="0.2">
      <c r="A20" s="665" t="s">
        <v>630</v>
      </c>
      <c r="B20" s="99">
        <f t="shared" si="0"/>
        <v>1807546.7223731894</v>
      </c>
      <c r="C20" s="99">
        <f>+'Detalle Cred Maq'!C23</f>
        <v>224451.4921875</v>
      </c>
      <c r="D20" s="165">
        <f>+'Detalle Cred Maq'!D23+'Detalle Cred Renov'!C12</f>
        <v>110697.31826426636</v>
      </c>
      <c r="E20" s="165">
        <f>+'Detalle Cred Maq'!E23</f>
        <v>448902.984375</v>
      </c>
      <c r="F20" s="99">
        <f>+(B18+B20+C20)/2</f>
        <v>2144223.9606544394</v>
      </c>
      <c r="G20" s="99">
        <f>+SUM(D19:D20)</f>
        <v>232617.21113790773</v>
      </c>
      <c r="H20" s="424">
        <f>+G20/F20</f>
        <v>0.10848550123789799</v>
      </c>
      <c r="I20" s="223"/>
      <c r="J20" s="100">
        <f>G20+($D$15+$I$15)/3</f>
        <v>316412.4348879077</v>
      </c>
      <c r="L20" s="426"/>
    </row>
    <row r="21" spans="1:12" x14ac:dyDescent="0.2">
      <c r="A21" s="665" t="s">
        <v>632</v>
      </c>
      <c r="B21" s="99">
        <f t="shared" si="0"/>
        <v>1583095.2301856894</v>
      </c>
      <c r="C21" s="99">
        <f>+'Detalle Cred Maq'!C24</f>
        <v>224451.4921875</v>
      </c>
      <c r="D21" s="165">
        <f>+'Detalle Cred Maq'!D24+'Detalle Cred Renov'!C13</f>
        <v>99474.743654891354</v>
      </c>
      <c r="E21" s="165">
        <f>+'Detalle Cred Maq'!E24</f>
        <v>0</v>
      </c>
      <c r="F21" s="99"/>
      <c r="G21" s="99"/>
      <c r="H21" s="424"/>
      <c r="I21" s="223"/>
      <c r="J21" s="100"/>
      <c r="L21" s="426"/>
    </row>
    <row r="22" spans="1:12" x14ac:dyDescent="0.2">
      <c r="A22" s="665" t="s">
        <v>633</v>
      </c>
      <c r="B22" s="99">
        <f t="shared" si="0"/>
        <v>1358643.7379981894</v>
      </c>
      <c r="C22" s="99">
        <f>+'Detalle Cred Maq'!C25</f>
        <v>224451.4921875</v>
      </c>
      <c r="D22" s="165">
        <f>+'Detalle Cred Maq'!D25+'Detalle Cred Renov'!C14</f>
        <v>88252.169045516363</v>
      </c>
      <c r="E22" s="165">
        <f>+'Detalle Cred Maq'!E25</f>
        <v>448902.984375</v>
      </c>
      <c r="F22" s="99">
        <f>+(B20+B22+C22)/2</f>
        <v>1695320.9762794394</v>
      </c>
      <c r="G22" s="99">
        <f>+SUM(D21:D22)</f>
        <v>187726.91270040773</v>
      </c>
      <c r="H22" s="424">
        <f>+G22/F22</f>
        <v>0.11073237182046448</v>
      </c>
      <c r="I22" s="223"/>
      <c r="J22" s="100">
        <f>G22+($D$15+$I$15)/3</f>
        <v>271522.13645040774</v>
      </c>
      <c r="L22" s="426"/>
    </row>
    <row r="23" spans="1:12" x14ac:dyDescent="0.2">
      <c r="A23" s="665" t="s">
        <v>634</v>
      </c>
      <c r="B23" s="99">
        <f t="shared" si="0"/>
        <v>1134192.2458106894</v>
      </c>
      <c r="C23" s="99">
        <f>+'Detalle Cred Maq'!C26</f>
        <v>224451.4921875</v>
      </c>
      <c r="D23" s="165">
        <f>+'Detalle Cred Maq'!D26+'Detalle Cred Renov'!C15</f>
        <v>77029.594436141357</v>
      </c>
      <c r="E23" s="165">
        <f>+'Detalle Cred Maq'!E26</f>
        <v>0</v>
      </c>
      <c r="F23" s="99"/>
      <c r="G23" s="99"/>
      <c r="H23" s="424"/>
      <c r="I23" s="223"/>
      <c r="J23" s="100"/>
      <c r="L23" s="426"/>
    </row>
    <row r="24" spans="1:12" x14ac:dyDescent="0.2">
      <c r="A24" s="665" t="s">
        <v>635</v>
      </c>
      <c r="B24" s="99">
        <f t="shared" si="0"/>
        <v>909740.7536231894</v>
      </c>
      <c r="C24" s="99">
        <f>+'Detalle Cred Maq'!C27</f>
        <v>224451.4921875</v>
      </c>
      <c r="D24" s="165">
        <f>+'Detalle Cred Maq'!D27+'Detalle Cred Renov'!C16</f>
        <v>65807.019826766365</v>
      </c>
      <c r="E24" s="165">
        <f>+'Detalle Cred Maq'!E27</f>
        <v>448902.984375</v>
      </c>
      <c r="F24" s="99">
        <f>+(B22+B24+C24)/2</f>
        <v>1246417.9919044394</v>
      </c>
      <c r="G24" s="99">
        <f>+SUM(D23:D24)</f>
        <v>142836.61426290771</v>
      </c>
      <c r="H24" s="424">
        <f>+G24/F24</f>
        <v>0.11459768327370128</v>
      </c>
      <c r="I24" s="223"/>
      <c r="J24" s="100">
        <f>G24</f>
        <v>142836.61426290771</v>
      </c>
      <c r="L24" s="426"/>
    </row>
    <row r="25" spans="1:12" x14ac:dyDescent="0.2">
      <c r="A25" s="665" t="s">
        <v>636</v>
      </c>
      <c r="B25" s="99"/>
      <c r="C25" s="99"/>
      <c r="D25" s="165">
        <f>+'Detalle Cred Renov'!C16</f>
        <v>54584.44521739136</v>
      </c>
      <c r="E25" s="165"/>
      <c r="F25" s="99"/>
      <c r="G25" s="99"/>
      <c r="H25" s="424"/>
      <c r="I25" s="223"/>
      <c r="J25" s="100"/>
      <c r="L25" s="426"/>
    </row>
    <row r="26" spans="1:12" x14ac:dyDescent="0.2">
      <c r="A26" s="665" t="s">
        <v>637</v>
      </c>
      <c r="B26" s="99"/>
      <c r="C26" s="99"/>
      <c r="D26" s="165">
        <f>+'Detalle Cred Renov'!C17</f>
        <v>54584.44521739136</v>
      </c>
      <c r="E26" s="165"/>
      <c r="F26" s="99"/>
      <c r="G26" s="99">
        <f>+SUM(D25:D26)</f>
        <v>109168.89043478272</v>
      </c>
      <c r="H26" s="424"/>
      <c r="I26" s="223"/>
      <c r="J26" s="100">
        <f>G26</f>
        <v>109168.89043478272</v>
      </c>
      <c r="L26" s="426"/>
    </row>
    <row r="27" spans="1:12" x14ac:dyDescent="0.2">
      <c r="A27" s="418"/>
      <c r="B27" s="99"/>
      <c r="C27" s="99"/>
      <c r="D27" s="165"/>
      <c r="E27" s="99"/>
      <c r="F27" s="99"/>
      <c r="G27" s="99"/>
      <c r="H27" s="424"/>
      <c r="I27" s="223"/>
      <c r="J27" s="100"/>
      <c r="L27" s="426"/>
    </row>
    <row r="28" spans="1:12" x14ac:dyDescent="0.2">
      <c r="A28" s="418"/>
      <c r="B28" s="99"/>
      <c r="C28" s="99"/>
      <c r="D28" s="165"/>
      <c r="E28" s="99"/>
      <c r="F28" s="99"/>
      <c r="G28" s="99"/>
      <c r="H28" s="167"/>
      <c r="I28" s="223"/>
      <c r="J28" s="100"/>
      <c r="L28" s="426"/>
    </row>
    <row r="29" spans="1:12" ht="13.5" thickBot="1" x14ac:dyDescent="0.25">
      <c r="A29" s="168" t="s">
        <v>264</v>
      </c>
      <c r="B29" s="150"/>
      <c r="C29" s="150">
        <f>SUM(C17:C26)</f>
        <v>1795611.9375</v>
      </c>
      <c r="D29" s="150">
        <f>SUM(D15:D26)</f>
        <v>1129418.3318614135</v>
      </c>
      <c r="E29" s="150">
        <f>SUM(E16:E26)</f>
        <v>1795611.9375</v>
      </c>
      <c r="F29" s="169"/>
      <c r="G29" s="150">
        <f>SUM(G15:G26)</f>
        <v>1129418.3318614135</v>
      </c>
      <c r="H29" s="170"/>
      <c r="I29" s="430"/>
      <c r="J29" s="171"/>
    </row>
    <row r="30" spans="1:12" ht="13.5" thickTop="1" x14ac:dyDescent="0.2">
      <c r="C30" s="278">
        <f>+'Detalle Cred Maq'!C30+'Detalle Cred Renov'!B20</f>
        <v>1795611.9375</v>
      </c>
      <c r="D30" s="278">
        <f>+'Detalle Cred Maq'!D30+'Detalle Cred Renov'!C20</f>
        <v>1129418.3318614135</v>
      </c>
      <c r="E30" s="275">
        <f>+C30</f>
        <v>1795611.9375</v>
      </c>
      <c r="G30" s="275">
        <f>+D30</f>
        <v>1129418.3318614135</v>
      </c>
    </row>
    <row r="31" spans="1:12" x14ac:dyDescent="0.2">
      <c r="D31" s="273"/>
    </row>
  </sheetData>
  <mergeCells count="5">
    <mergeCell ref="B2:C2"/>
    <mergeCell ref="D2:E2"/>
    <mergeCell ref="F2:G2"/>
    <mergeCell ref="A10:A11"/>
    <mergeCell ref="A9:J9"/>
  </mergeCells>
  <pageMargins left="0.26" right="0.46" top="0.43" bottom="1" header="0" footer="0"/>
  <pageSetup paperSize="9" scale="96" fitToHeight="4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G14"/>
  <sheetViews>
    <sheetView workbookViewId="0">
      <selection activeCell="A5" sqref="A5"/>
    </sheetView>
  </sheetViews>
  <sheetFormatPr baseColWidth="10" defaultRowHeight="12.75" x14ac:dyDescent="0.2"/>
  <cols>
    <col min="1" max="1" width="32.140625" style="32" customWidth="1"/>
    <col min="2" max="6" width="14.85546875" style="32" bestFit="1" customWidth="1"/>
    <col min="7" max="7" width="15.85546875" style="32" bestFit="1" customWidth="1"/>
    <col min="8" max="8" width="17.42578125" style="32" bestFit="1" customWidth="1"/>
    <col min="9" max="16384" width="11.42578125" style="32"/>
  </cols>
  <sheetData>
    <row r="1" spans="1:7" ht="16.5" thickTop="1" x14ac:dyDescent="0.25">
      <c r="A1" s="172" t="s">
        <v>275</v>
      </c>
      <c r="B1" s="173"/>
      <c r="C1" s="173"/>
      <c r="D1" s="173"/>
      <c r="E1" s="173"/>
      <c r="F1" s="173"/>
      <c r="G1" s="174"/>
    </row>
    <row r="2" spans="1:7" ht="13.5" thickBot="1" x14ac:dyDescent="0.25">
      <c r="A2" s="175" t="s">
        <v>80</v>
      </c>
      <c r="B2" s="176" t="s">
        <v>24</v>
      </c>
      <c r="C2" s="176" t="s">
        <v>25</v>
      </c>
      <c r="D2" s="176" t="s">
        <v>26</v>
      </c>
      <c r="E2" s="176" t="s">
        <v>27</v>
      </c>
      <c r="F2" s="176" t="s">
        <v>28</v>
      </c>
      <c r="G2" s="177" t="s">
        <v>193</v>
      </c>
    </row>
    <row r="3" spans="1:7" ht="13.5" thickTop="1" x14ac:dyDescent="0.2">
      <c r="A3" s="32" t="s">
        <v>267</v>
      </c>
      <c r="B3" s="21">
        <f>+'E-Costos'!B97</f>
        <v>11200000</v>
      </c>
      <c r="C3" s="21">
        <f>+'E-Costos'!C97</f>
        <v>16800000</v>
      </c>
      <c r="D3" s="21">
        <f>+'E-Costos'!D97</f>
        <v>16800000</v>
      </c>
      <c r="E3" s="21">
        <f>+'E-Costos'!E97</f>
        <v>16800000</v>
      </c>
      <c r="F3" s="21">
        <f>+'E-Costos'!F97</f>
        <v>16800000</v>
      </c>
      <c r="G3" s="23">
        <f>SUM(B3:F3)</f>
        <v>78400000</v>
      </c>
    </row>
    <row r="4" spans="1:7" x14ac:dyDescent="0.2">
      <c r="A4" s="32" t="s">
        <v>276</v>
      </c>
      <c r="B4" s="21">
        <f>+'E-Costos'!B117</f>
        <v>4477344.7379131783</v>
      </c>
      <c r="C4" s="21">
        <f>+'E-Costos'!C117</f>
        <v>5649075.0061780913</v>
      </c>
      <c r="D4" s="21">
        <f>+'E-Costos'!D117</f>
        <v>5646474.4517973978</v>
      </c>
      <c r="E4" s="21">
        <f>+'E-Costos'!E117</f>
        <v>5672193.4506016886</v>
      </c>
      <c r="F4" s="21">
        <f>+'E-Costos'!F117</f>
        <v>5672095.6937553147</v>
      </c>
      <c r="G4" s="23">
        <f>SUM(B4:F4)</f>
        <v>27117183.340245668</v>
      </c>
    </row>
    <row r="5" spans="1:7" x14ac:dyDescent="0.2">
      <c r="A5" s="32" t="s">
        <v>268</v>
      </c>
      <c r="B5" s="21">
        <f>+B3-B4</f>
        <v>6722655.2620868217</v>
      </c>
      <c r="C5" s="21">
        <f t="shared" ref="C5:G5" si="0">+C3-C4</f>
        <v>11150924.993821908</v>
      </c>
      <c r="D5" s="21">
        <f t="shared" si="0"/>
        <v>11153525.548202602</v>
      </c>
      <c r="E5" s="21">
        <f t="shared" si="0"/>
        <v>11127806.54939831</v>
      </c>
      <c r="F5" s="21">
        <f t="shared" si="0"/>
        <v>11127904.306244686</v>
      </c>
      <c r="G5" s="21">
        <f t="shared" si="0"/>
        <v>51282816.659754336</v>
      </c>
    </row>
    <row r="6" spans="1:7" x14ac:dyDescent="0.2">
      <c r="A6" s="32" t="s">
        <v>88</v>
      </c>
      <c r="B6" s="26"/>
      <c r="C6" s="26"/>
      <c r="D6" s="26"/>
      <c r="E6" s="26"/>
      <c r="F6" s="26"/>
      <c r="G6" s="28"/>
    </row>
    <row r="7" spans="1:7" x14ac:dyDescent="0.2">
      <c r="A7" s="32" t="s">
        <v>269</v>
      </c>
      <c r="B7" s="21">
        <f>+'E-Costos'!B119</f>
        <v>922661.51741878723</v>
      </c>
      <c r="C7" s="21">
        <f>+'E-Costos'!C119</f>
        <v>998007.74467808544</v>
      </c>
      <c r="D7" s="21">
        <f>+'E-Costos'!D119</f>
        <v>998007.74467808544</v>
      </c>
      <c r="E7" s="21">
        <f>+'E-Costos'!E119</f>
        <v>998021.36793360009</v>
      </c>
      <c r="F7" s="21">
        <f>+'E-Costos'!F119</f>
        <v>998021.36793360009</v>
      </c>
      <c r="G7" s="23">
        <f>SUM(B7:F7)</f>
        <v>4914719.7426421586</v>
      </c>
    </row>
    <row r="8" spans="1:7" x14ac:dyDescent="0.2">
      <c r="A8" s="32" t="s">
        <v>270</v>
      </c>
      <c r="B8" s="21">
        <f>+'E-Costos'!B120</f>
        <v>1244874.965156287</v>
      </c>
      <c r="C8" s="21">
        <f>+'E-Costos'!C120</f>
        <v>1326502.9486655854</v>
      </c>
      <c r="D8" s="21">
        <f>+'E-Costos'!D120</f>
        <v>1326502.9486655854</v>
      </c>
      <c r="E8" s="21">
        <f>+'E-Costos'!E120</f>
        <v>1326516.5719210999</v>
      </c>
      <c r="F8" s="21">
        <f>+'E-Costos'!F120</f>
        <v>1326516.5719210999</v>
      </c>
      <c r="G8" s="23">
        <f>SUM(B8:F8)</f>
        <v>6550914.0063296575</v>
      </c>
    </row>
    <row r="9" spans="1:7" x14ac:dyDescent="0.2">
      <c r="A9" s="32" t="s">
        <v>271</v>
      </c>
      <c r="B9" s="21">
        <f>+'DF-Cred'!$J18</f>
        <v>361302.73332540772</v>
      </c>
      <c r="C9" s="21">
        <f>+'DF-Cred'!$J20</f>
        <v>316412.4348879077</v>
      </c>
      <c r="D9" s="21">
        <f>+'DF-Cred'!$J22</f>
        <v>271522.13645040774</v>
      </c>
      <c r="E9" s="21">
        <f>+'DF-Cred'!$J24</f>
        <v>142836.61426290771</v>
      </c>
      <c r="F9" s="21">
        <f>+'DF-Cred'!$J26</f>
        <v>109168.89043478272</v>
      </c>
      <c r="G9" s="23">
        <f>SUM(B9:F9)</f>
        <v>1201242.8093614136</v>
      </c>
    </row>
    <row r="10" spans="1:7" x14ac:dyDescent="0.2">
      <c r="A10" s="30" t="s">
        <v>272</v>
      </c>
      <c r="B10" s="103">
        <f>+B5-SUM(B7:B9)</f>
        <v>4193816.0461863396</v>
      </c>
      <c r="C10" s="103">
        <f t="shared" ref="C10:G10" si="1">+C5-SUM(C7:C9)</f>
        <v>8510001.8655903302</v>
      </c>
      <c r="D10" s="103">
        <f t="shared" si="1"/>
        <v>8557492.7184085231</v>
      </c>
      <c r="E10" s="103">
        <f t="shared" si="1"/>
        <v>8660431.9952807017</v>
      </c>
      <c r="F10" s="103">
        <f t="shared" si="1"/>
        <v>8694197.4759552032</v>
      </c>
      <c r="G10" s="103">
        <f t="shared" si="1"/>
        <v>38615940.101421103</v>
      </c>
    </row>
    <row r="11" spans="1:7" x14ac:dyDescent="0.2">
      <c r="A11" s="32" t="s">
        <v>273</v>
      </c>
      <c r="B11" s="21">
        <f>+B10*InfoInicial!$B$5</f>
        <v>293567.12323304382</v>
      </c>
      <c r="C11" s="21">
        <f>+C10*InfoInicial!$B$5</f>
        <v>595700.13059132313</v>
      </c>
      <c r="D11" s="21">
        <f>+D10*InfoInicial!$B$5</f>
        <v>599024.49028859672</v>
      </c>
      <c r="E11" s="21">
        <f>+E10*InfoInicial!$B$5</f>
        <v>606230.23966964916</v>
      </c>
      <c r="F11" s="21">
        <f>+F10*InfoInicial!$B$5</f>
        <v>608593.82331686432</v>
      </c>
      <c r="G11" s="21">
        <f>+G10*InfoInicial!$B$5</f>
        <v>2703115.8070994774</v>
      </c>
    </row>
    <row r="12" spans="1:7" x14ac:dyDescent="0.2">
      <c r="A12" s="178" t="s">
        <v>277</v>
      </c>
      <c r="B12" s="21">
        <f>+B10*InfoInicial!$B$4</f>
        <v>1467835.6161652189</v>
      </c>
      <c r="C12" s="21">
        <f>+C10*InfoInicial!$B$4</f>
        <v>2978500.6529566152</v>
      </c>
      <c r="D12" s="21">
        <f>+D10*InfoInicial!$B$4</f>
        <v>2995122.451442983</v>
      </c>
      <c r="E12" s="21">
        <f>+E10*InfoInicial!$B$4</f>
        <v>3031151.1983482456</v>
      </c>
      <c r="F12" s="21">
        <f>+F10*InfoInicial!$B$4</f>
        <v>3042969.116584321</v>
      </c>
      <c r="G12" s="21">
        <f>+G10*InfoInicial!$B$4</f>
        <v>13515579.035497386</v>
      </c>
    </row>
    <row r="13" spans="1:7" ht="13.5" thickBot="1" x14ac:dyDescent="0.25">
      <c r="A13" s="179" t="s">
        <v>274</v>
      </c>
      <c r="B13" s="150">
        <f>+B10-SUM(B11:B12)</f>
        <v>2432413.3067880766</v>
      </c>
      <c r="C13" s="150">
        <f t="shared" ref="C13:G13" si="2">+C10-SUM(C11:C12)</f>
        <v>4935801.0820423923</v>
      </c>
      <c r="D13" s="150">
        <f t="shared" si="2"/>
        <v>4963345.7766769435</v>
      </c>
      <c r="E13" s="150">
        <f t="shared" si="2"/>
        <v>5023050.5572628072</v>
      </c>
      <c r="F13" s="150">
        <f t="shared" si="2"/>
        <v>5042634.536054018</v>
      </c>
      <c r="G13" s="150">
        <f t="shared" si="2"/>
        <v>22397245.25882424</v>
      </c>
    </row>
    <row r="14" spans="1:7" ht="13.5" thickTop="1" x14ac:dyDescent="0.2"/>
  </sheetData>
  <pageMargins left="0.26" right="0.46" top="1.27" bottom="1" header="0" footer="0"/>
  <pageSetup paperSize="9" scale="76" fitToHeight="4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M101"/>
  <sheetViews>
    <sheetView zoomScale="90" zoomScaleNormal="90" workbookViewId="0">
      <selection activeCell="A3" sqref="A3"/>
    </sheetView>
  </sheetViews>
  <sheetFormatPr baseColWidth="10" defaultRowHeight="12.75" x14ac:dyDescent="0.2"/>
  <cols>
    <col min="1" max="1" width="54.42578125" style="32" bestFit="1" customWidth="1"/>
    <col min="2" max="2" width="16.140625" style="32" bestFit="1" customWidth="1"/>
    <col min="3" max="3" width="16.5703125" style="32" customWidth="1"/>
    <col min="4" max="4" width="16.7109375" style="32" customWidth="1"/>
    <col min="5" max="12" width="16" style="32" bestFit="1" customWidth="1"/>
    <col min="13" max="13" width="16.140625" style="32" bestFit="1" customWidth="1"/>
    <col min="14" max="16384" width="11.42578125" style="32"/>
  </cols>
  <sheetData>
    <row r="1" spans="1:5" ht="16.5" thickTop="1" x14ac:dyDescent="0.25">
      <c r="A1" s="655" t="s">
        <v>294</v>
      </c>
      <c r="B1" s="656"/>
      <c r="C1" s="656"/>
      <c r="D1" s="657"/>
      <c r="E1" s="437"/>
    </row>
    <row r="2" spans="1:5" ht="13.5" thickBot="1" x14ac:dyDescent="0.25">
      <c r="A2" s="439" t="s">
        <v>80</v>
      </c>
      <c r="B2" s="440" t="s">
        <v>23</v>
      </c>
      <c r="C2" s="440" t="s">
        <v>24</v>
      </c>
      <c r="D2" s="177" t="s">
        <v>193</v>
      </c>
      <c r="E2" s="437"/>
    </row>
    <row r="3" spans="1:5" ht="13.5" thickTop="1" x14ac:dyDescent="0.2">
      <c r="A3" s="30" t="s">
        <v>278</v>
      </c>
      <c r="B3" s="34"/>
      <c r="C3" s="34"/>
      <c r="D3" s="438"/>
      <c r="E3" s="437"/>
    </row>
    <row r="4" spans="1:5" x14ac:dyDescent="0.2">
      <c r="B4" s="21"/>
      <c r="C4" s="21"/>
      <c r="D4" s="22"/>
      <c r="E4" s="437"/>
    </row>
    <row r="5" spans="1:5" x14ac:dyDescent="0.2">
      <c r="A5" s="32" t="s">
        <v>295</v>
      </c>
      <c r="B5" s="21">
        <f>+'E-Cal Inv.'!B4+'E-Cal Inv.'!C4</f>
        <v>6444149.25</v>
      </c>
      <c r="C5" s="21">
        <f>+'E-Cal Inv.'!D4</f>
        <v>0</v>
      </c>
      <c r="D5" s="22">
        <f>+B5+C5</f>
        <v>6444149.25</v>
      </c>
      <c r="E5" s="437"/>
    </row>
    <row r="6" spans="1:5" x14ac:dyDescent="0.2">
      <c r="A6" s="32" t="s">
        <v>279</v>
      </c>
      <c r="B6" s="21">
        <f>+'E-Cal Inv.'!B5+'E-Cal Inv.'!C5+'DF-Cred'!G15+'DF-Cred'!I15</f>
        <v>413407.56141841714</v>
      </c>
      <c r="C6" s="21">
        <f>+'E-Cal Inv.'!D5</f>
        <v>163608.39246482577</v>
      </c>
      <c r="D6" s="22">
        <f>+B6+C6</f>
        <v>577015.95388324291</v>
      </c>
      <c r="E6" s="437"/>
    </row>
    <row r="7" spans="1:5" x14ac:dyDescent="0.2">
      <c r="A7" s="30" t="s">
        <v>280</v>
      </c>
      <c r="B7" s="103">
        <f>SUM(B5:B6)</f>
        <v>6857556.8114184169</v>
      </c>
      <c r="C7" s="103">
        <f>SUM(C5:C6)</f>
        <v>163608.39246482577</v>
      </c>
      <c r="D7" s="224">
        <f>+B7+C7</f>
        <v>7021165.2038832428</v>
      </c>
      <c r="E7" s="437"/>
    </row>
    <row r="8" spans="1:5" x14ac:dyDescent="0.2">
      <c r="A8" s="180" t="s">
        <v>296</v>
      </c>
      <c r="B8" s="21">
        <f>+B7*InfoInicial!$B$3</f>
        <v>1440086.9303978675</v>
      </c>
      <c r="C8" s="21">
        <f>+C7*InfoInicial!$B$3</f>
        <v>34357.762417613412</v>
      </c>
      <c r="D8" s="22">
        <f>+B8+C8</f>
        <v>1474444.6928154808</v>
      </c>
      <c r="E8" s="437"/>
    </row>
    <row r="9" spans="1:5" x14ac:dyDescent="0.2">
      <c r="A9" s="30" t="s">
        <v>281</v>
      </c>
      <c r="B9" s="103">
        <f>+B7+B8</f>
        <v>8297643.7418162841</v>
      </c>
      <c r="C9" s="103">
        <f>+C7+C8</f>
        <v>197966.15488243918</v>
      </c>
      <c r="D9" s="224">
        <f>+B9+C9</f>
        <v>8495609.8966987226</v>
      </c>
      <c r="E9" s="437"/>
    </row>
    <row r="10" spans="1:5" x14ac:dyDescent="0.2">
      <c r="A10" s="30" t="s">
        <v>282</v>
      </c>
      <c r="B10" s="26"/>
      <c r="C10" s="26"/>
      <c r="D10" s="27"/>
      <c r="E10" s="437"/>
    </row>
    <row r="11" spans="1:5" x14ac:dyDescent="0.2">
      <c r="A11" s="180" t="s">
        <v>297</v>
      </c>
      <c r="B11" s="21">
        <f>+'E-InvAT'!B4</f>
        <v>179200</v>
      </c>
      <c r="C11" s="21">
        <f>+'E-InvAT'!C4</f>
        <v>224000</v>
      </c>
      <c r="D11" s="22">
        <f>SUM(B11:C11)</f>
        <v>403200</v>
      </c>
      <c r="E11" s="437"/>
    </row>
    <row r="12" spans="1:5" x14ac:dyDescent="0.2">
      <c r="A12" s="32" t="s">
        <v>298</v>
      </c>
      <c r="B12" s="21">
        <f>+'E-InvAT'!B5</f>
        <v>0</v>
      </c>
      <c r="C12" s="21">
        <f>+'E-InvAT'!C5</f>
        <v>920547.94520547939</v>
      </c>
      <c r="D12" s="22">
        <f>SUM(B12:C12)</f>
        <v>920547.94520547939</v>
      </c>
      <c r="E12" s="437"/>
    </row>
    <row r="13" spans="1:5" x14ac:dyDescent="0.2">
      <c r="A13" s="32" t="s">
        <v>299</v>
      </c>
      <c r="B13" s="21">
        <f>+SUM('E-InvAT'!B8:B11)</f>
        <v>61487.037681159476</v>
      </c>
      <c r="C13" s="21">
        <f>+SUM('E-InvAT'!C8:C11)</f>
        <v>398673.57017609093</v>
      </c>
      <c r="D13" s="22">
        <f>SUM(B13:C13)</f>
        <v>460160.60785725038</v>
      </c>
      <c r="E13" s="437"/>
    </row>
    <row r="14" spans="1:5" x14ac:dyDescent="0.2">
      <c r="A14" s="30" t="s">
        <v>283</v>
      </c>
      <c r="B14" s="103">
        <f>SUM(B11:B13)</f>
        <v>240687.03768115948</v>
      </c>
      <c r="C14" s="103">
        <f>SUM(C11:C13)</f>
        <v>1543221.5153815704</v>
      </c>
      <c r="D14" s="224">
        <f>SUM(D11:D13)</f>
        <v>1783908.5530627298</v>
      </c>
      <c r="E14" s="437"/>
    </row>
    <row r="15" spans="1:5" x14ac:dyDescent="0.2">
      <c r="A15" s="32" t="s">
        <v>88</v>
      </c>
      <c r="B15" s="26"/>
      <c r="C15" s="26"/>
      <c r="D15" s="27"/>
      <c r="E15" s="437"/>
    </row>
    <row r="16" spans="1:5" x14ac:dyDescent="0.2">
      <c r="A16" s="32" t="s">
        <v>300</v>
      </c>
      <c r="B16" s="21">
        <f>+'E-InvAT'!B15+'E-InvAT'!B16</f>
        <v>0</v>
      </c>
      <c r="C16" s="21">
        <f>+'E-InvAT'!C15+'E-InvAT'!C16</f>
        <v>61175.490205832633</v>
      </c>
      <c r="D16" s="22">
        <f>SUM(B16:C16)</f>
        <v>61175.490205832633</v>
      </c>
      <c r="E16" s="437"/>
    </row>
    <row r="17" spans="1:5" x14ac:dyDescent="0.2">
      <c r="A17" s="32" t="s">
        <v>301</v>
      </c>
      <c r="B17" s="21">
        <v>0</v>
      </c>
      <c r="C17" s="21">
        <f>('E-Inv AF y Am'!D55+('DF-Cred'!D15+'DF-Cred'!I15)/3+'DF-2 Estructura'!C16)*30/365</f>
        <v>46839.389320477901</v>
      </c>
      <c r="D17" s="22">
        <f>SUM(B17:C17)</f>
        <v>46839.389320477901</v>
      </c>
      <c r="E17" s="437"/>
    </row>
    <row r="18" spans="1:5" x14ac:dyDescent="0.2">
      <c r="A18" s="32" t="s">
        <v>302</v>
      </c>
      <c r="B18" s="21">
        <v>0</v>
      </c>
      <c r="C18" s="21">
        <f>+'DF-CRes'!B13/'DF-CRes'!B3*'E-InvAT'!C5</f>
        <v>199924.38137984191</v>
      </c>
      <c r="D18" s="22">
        <f>SUM(B18:C18)</f>
        <v>199924.38137984191</v>
      </c>
      <c r="E18" s="437"/>
    </row>
    <row r="19" spans="1:5" x14ac:dyDescent="0.2">
      <c r="A19" s="30" t="s">
        <v>284</v>
      </c>
      <c r="B19" s="103">
        <f>+B14-SUM(B16:B18)</f>
        <v>240687.03768115948</v>
      </c>
      <c r="C19" s="103">
        <f>+C14-SUM(C16:C18)</f>
        <v>1235282.254475418</v>
      </c>
      <c r="D19" s="224">
        <f>+D14-SUM(D16:D18)</f>
        <v>1475969.2921565773</v>
      </c>
      <c r="E19" s="437"/>
    </row>
    <row r="20" spans="1:5" x14ac:dyDescent="0.2">
      <c r="A20" s="32" t="s">
        <v>303</v>
      </c>
      <c r="B20" s="21">
        <f>+'E-InvAT'!B32</f>
        <v>12912.27791304349</v>
      </c>
      <c r="C20" s="21">
        <f>+'E-InvAT'!C32</f>
        <v>65076.249852633387</v>
      </c>
      <c r="D20" s="22">
        <f>SUM(B20:C20)</f>
        <v>77988.527765676874</v>
      </c>
      <c r="E20" s="437"/>
    </row>
    <row r="21" spans="1:5" x14ac:dyDescent="0.2">
      <c r="A21" s="30" t="s">
        <v>285</v>
      </c>
      <c r="B21" s="103">
        <f>+B20+B14</f>
        <v>253599.31559420296</v>
      </c>
      <c r="C21" s="103">
        <f>+C20+C14</f>
        <v>1608297.7652342038</v>
      </c>
      <c r="D21" s="224">
        <f>+D20+D14</f>
        <v>1861897.0808284066</v>
      </c>
      <c r="E21" s="437"/>
    </row>
    <row r="22" spans="1:5" x14ac:dyDescent="0.2">
      <c r="A22" s="30" t="s">
        <v>286</v>
      </c>
      <c r="B22" s="103">
        <f>+B19+B20</f>
        <v>253599.31559420296</v>
      </c>
      <c r="C22" s="103">
        <f>+C19+C20</f>
        <v>1300358.5043280513</v>
      </c>
      <c r="D22" s="224">
        <f>+D19+D20</f>
        <v>1553957.8199222542</v>
      </c>
      <c r="E22" s="437"/>
    </row>
    <row r="23" spans="1:5" x14ac:dyDescent="0.2">
      <c r="A23" s="30" t="s">
        <v>287</v>
      </c>
      <c r="B23" s="21"/>
      <c r="C23" s="21"/>
      <c r="D23" s="22"/>
      <c r="E23" s="437"/>
    </row>
    <row r="24" spans="1:5" x14ac:dyDescent="0.2">
      <c r="A24" s="32" t="s">
        <v>288</v>
      </c>
      <c r="B24" s="26">
        <f>+B9</f>
        <v>8297643.7418162841</v>
      </c>
      <c r="C24" s="26">
        <f>+C9</f>
        <v>197966.15488243918</v>
      </c>
      <c r="D24" s="27">
        <f>+D9</f>
        <v>8495609.8966987226</v>
      </c>
      <c r="E24" s="437"/>
    </row>
    <row r="25" spans="1:5" x14ac:dyDescent="0.2">
      <c r="A25" s="32" t="s">
        <v>289</v>
      </c>
      <c r="B25" s="21">
        <f>+B22</f>
        <v>253599.31559420296</v>
      </c>
      <c r="C25" s="21">
        <f>+C22</f>
        <v>1300358.5043280513</v>
      </c>
      <c r="D25" s="22">
        <f>+D22</f>
        <v>1553957.8199222542</v>
      </c>
      <c r="E25" s="437"/>
    </row>
    <row r="26" spans="1:5" ht="13.5" thickBot="1" x14ac:dyDescent="0.25">
      <c r="A26" s="30" t="s">
        <v>290</v>
      </c>
      <c r="B26" s="103">
        <f>+B25+B24</f>
        <v>8551243.0574104879</v>
      </c>
      <c r="C26" s="103">
        <f>+C25+C24</f>
        <v>1498324.6592104905</v>
      </c>
      <c r="D26" s="224">
        <f>+D25+D24</f>
        <v>10049567.716620976</v>
      </c>
      <c r="E26" s="181"/>
    </row>
    <row r="27" spans="1:5" ht="13.5" thickTop="1" x14ac:dyDescent="0.2">
      <c r="A27" s="30" t="s">
        <v>291</v>
      </c>
      <c r="B27" s="26"/>
      <c r="C27" s="26"/>
      <c r="D27" s="27"/>
      <c r="E27" s="31" t="s">
        <v>292</v>
      </c>
    </row>
    <row r="28" spans="1:5" x14ac:dyDescent="0.2">
      <c r="A28" s="30" t="s">
        <v>304</v>
      </c>
      <c r="B28" s="21">
        <v>0</v>
      </c>
      <c r="C28" s="21">
        <f>+'DF-Cred'!D5</f>
        <v>909740.7536231894</v>
      </c>
      <c r="D28" s="22">
        <f>+B28+C28</f>
        <v>909740.7536231894</v>
      </c>
      <c r="E28" s="182">
        <f>+D28/$D$31</f>
        <v>9.052536181417728E-2</v>
      </c>
    </row>
    <row r="29" spans="1:5" x14ac:dyDescent="0.2">
      <c r="A29" s="30" t="s">
        <v>305</v>
      </c>
      <c r="B29" s="21">
        <f>+'DF-Cred'!D4</f>
        <v>1795611.9375</v>
      </c>
      <c r="C29" s="21">
        <v>0</v>
      </c>
      <c r="D29" s="22">
        <f>+B29+C29</f>
        <v>1795611.9375</v>
      </c>
      <c r="E29" s="182">
        <f>+D29/$D$31</f>
        <v>0.17867553989712789</v>
      </c>
    </row>
    <row r="30" spans="1:5" x14ac:dyDescent="0.2">
      <c r="A30" s="30" t="s">
        <v>293</v>
      </c>
      <c r="B30" s="21">
        <f>+B26-B28-B29</f>
        <v>6755631.1199104879</v>
      </c>
      <c r="C30" s="21">
        <f>+C26-C28-C29</f>
        <v>588583.90558730112</v>
      </c>
      <c r="D30" s="22">
        <f>+B30+C30</f>
        <v>7344215.0254977886</v>
      </c>
      <c r="E30" s="182">
        <f>+D30/$D$31</f>
        <v>0.73079909828869483</v>
      </c>
    </row>
    <row r="31" spans="1:5" ht="13.5" thickBot="1" x14ac:dyDescent="0.25">
      <c r="A31" s="179" t="s">
        <v>193</v>
      </c>
      <c r="B31" s="113">
        <f>SUM(B28:B30)</f>
        <v>8551243.0574104879</v>
      </c>
      <c r="C31" s="113">
        <f>SUM(C28:C30)</f>
        <v>1498324.6592104905</v>
      </c>
      <c r="D31" s="116">
        <f>+B31+C31</f>
        <v>10049567.716620978</v>
      </c>
      <c r="E31" s="183">
        <f>+D31/$D$31</f>
        <v>1</v>
      </c>
    </row>
    <row r="32" spans="1:5" ht="14.25" thickTop="1" thickBot="1" x14ac:dyDescent="0.25"/>
    <row r="33" spans="1:13" ht="16.5" thickTop="1" x14ac:dyDescent="0.25">
      <c r="A33" s="655" t="s">
        <v>306</v>
      </c>
      <c r="B33" s="656"/>
      <c r="C33" s="656"/>
      <c r="D33" s="656"/>
      <c r="E33" s="656"/>
      <c r="F33" s="656"/>
      <c r="G33" s="656"/>
      <c r="H33" s="656"/>
      <c r="I33" s="656"/>
      <c r="J33" s="656"/>
      <c r="K33" s="657"/>
    </row>
    <row r="34" spans="1:13" ht="13.5" thickBot="1" x14ac:dyDescent="0.25">
      <c r="A34" s="439" t="s">
        <v>80</v>
      </c>
      <c r="B34" s="176" t="s">
        <v>24</v>
      </c>
      <c r="C34" s="176" t="s">
        <v>25</v>
      </c>
      <c r="D34" s="176" t="s">
        <v>26</v>
      </c>
      <c r="E34" s="176" t="s">
        <v>27</v>
      </c>
      <c r="F34" s="176" t="s">
        <v>28</v>
      </c>
      <c r="G34" s="176"/>
      <c r="H34" s="176"/>
      <c r="I34" s="176"/>
      <c r="J34" s="176"/>
      <c r="K34" s="177"/>
    </row>
    <row r="35" spans="1:13" ht="13.5" thickTop="1" x14ac:dyDescent="0.2">
      <c r="A35" s="441" t="s">
        <v>143</v>
      </c>
      <c r="B35" s="442">
        <f>+'E-Costos'!B138</f>
        <v>2890492.9598622518</v>
      </c>
      <c r="C35" s="442">
        <f>+'E-Costos'!C138</f>
        <v>3602570.8169007576</v>
      </c>
      <c r="D35" s="442">
        <f>+'E-Costos'!D138</f>
        <v>3602570.8169007576</v>
      </c>
      <c r="E35" s="442">
        <f>+'E-Costos'!E138</f>
        <v>3629085.6731607369</v>
      </c>
      <c r="F35" s="442">
        <f>+'E-Costos'!F138</f>
        <v>3629085.6731607369</v>
      </c>
      <c r="G35" s="442"/>
      <c r="H35" s="442"/>
      <c r="I35" s="442"/>
      <c r="J35" s="442"/>
      <c r="K35" s="442"/>
    </row>
    <row r="36" spans="1:13" x14ac:dyDescent="0.2">
      <c r="A36" s="185" t="s">
        <v>144</v>
      </c>
      <c r="B36" s="442">
        <f>+'E-Costos'!B139</f>
        <v>1889698.552286047</v>
      </c>
      <c r="C36" s="442">
        <f>+'E-Costos'!C139</f>
        <v>2043903.63489664</v>
      </c>
      <c r="D36" s="442">
        <f>+'E-Costos'!D139</f>
        <v>2043903.63489664</v>
      </c>
      <c r="E36" s="442">
        <f>+'E-Costos'!E139</f>
        <v>2043010.0205945775</v>
      </c>
      <c r="F36" s="442">
        <f>+'E-Costos'!F139</f>
        <v>2043010.0205945775</v>
      </c>
      <c r="G36" s="442"/>
      <c r="H36" s="442"/>
      <c r="I36" s="442"/>
      <c r="J36" s="442"/>
      <c r="K36" s="442"/>
    </row>
    <row r="37" spans="1:13" x14ac:dyDescent="0.2">
      <c r="A37" s="184" t="s">
        <v>147</v>
      </c>
      <c r="B37" s="442">
        <f>+'E-Costos'!B140</f>
        <v>0</v>
      </c>
      <c r="C37" s="442">
        <f>+'E-Costos'!C140</f>
        <v>0</v>
      </c>
      <c r="D37" s="442">
        <f>+'E-Costos'!D140</f>
        <v>0</v>
      </c>
      <c r="E37" s="442">
        <f>+'E-Costos'!E140</f>
        <v>0</v>
      </c>
      <c r="F37" s="442">
        <f>+'E-Costos'!F140</f>
        <v>0</v>
      </c>
      <c r="G37" s="442"/>
      <c r="H37" s="442"/>
      <c r="I37" s="442"/>
      <c r="J37" s="442"/>
      <c r="K37" s="442"/>
    </row>
    <row r="38" spans="1:13" x14ac:dyDescent="0.2">
      <c r="A38" s="185" t="s">
        <v>148</v>
      </c>
      <c r="B38" s="442">
        <f>+'E-Costos'!B141</f>
        <v>922661.51741878723</v>
      </c>
      <c r="C38" s="442">
        <f>+'E-Costos'!C141</f>
        <v>998007.74467808544</v>
      </c>
      <c r="D38" s="442">
        <f>+'E-Costos'!D141</f>
        <v>998007.74467808544</v>
      </c>
      <c r="E38" s="442">
        <f>+'E-Costos'!E141</f>
        <v>998021.36793360009</v>
      </c>
      <c r="F38" s="442">
        <f>+'E-Costos'!F141</f>
        <v>998021.36793360009</v>
      </c>
      <c r="G38" s="442"/>
      <c r="H38" s="442"/>
      <c r="I38" s="442"/>
      <c r="J38" s="442"/>
      <c r="K38" s="442"/>
    </row>
    <row r="39" spans="1:13" x14ac:dyDescent="0.2">
      <c r="A39" s="184" t="s">
        <v>149</v>
      </c>
      <c r="B39" s="442">
        <f>+'E-Costos'!B142</f>
        <v>307772.53487791045</v>
      </c>
      <c r="C39" s="442">
        <f>+'E-Costos'!C142</f>
        <v>315044.22519270395</v>
      </c>
      <c r="D39" s="442">
        <f>+'E-Costos'!D142</f>
        <v>315044.22519270395</v>
      </c>
      <c r="E39" s="442">
        <f>+'E-Costos'!E142</f>
        <v>315044.51851638732</v>
      </c>
      <c r="F39" s="442">
        <f>+'E-Costos'!F142</f>
        <v>315044.51851638732</v>
      </c>
      <c r="G39" s="442"/>
      <c r="H39" s="442"/>
      <c r="I39" s="442"/>
      <c r="J39" s="442"/>
      <c r="K39" s="442"/>
    </row>
    <row r="40" spans="1:13" x14ac:dyDescent="0.2">
      <c r="A40" s="185" t="s">
        <v>150</v>
      </c>
      <c r="B40" s="442">
        <f>+'E-Costos'!B143</f>
        <v>937102.43027837668</v>
      </c>
      <c r="C40" s="442">
        <f>+'E-Costos'!C143</f>
        <v>1011458.7234728814</v>
      </c>
      <c r="D40" s="442">
        <f>+'E-Costos'!D143</f>
        <v>1011458.7234728814</v>
      </c>
      <c r="E40" s="442">
        <f>+'E-Costos'!E143</f>
        <v>1011472.0534047127</v>
      </c>
      <c r="F40" s="442">
        <f>+'E-Costos'!F143</f>
        <v>1011472.0534047127</v>
      </c>
      <c r="G40" s="442"/>
      <c r="H40" s="442"/>
      <c r="I40" s="442"/>
      <c r="J40" s="442"/>
      <c r="K40" s="442"/>
    </row>
    <row r="41" spans="1:13" x14ac:dyDescent="0.2">
      <c r="A41" s="185" t="s">
        <v>307</v>
      </c>
      <c r="B41" s="47">
        <f>+'DF-CRes'!B9</f>
        <v>361302.73332540772</v>
      </c>
      <c r="C41" s="47">
        <f>+'DF-CRes'!C9</f>
        <v>316412.4348879077</v>
      </c>
      <c r="D41" s="47">
        <f>+'DF-CRes'!D9</f>
        <v>271522.13645040774</v>
      </c>
      <c r="E41" s="47">
        <f>+'DF-CRes'!E9</f>
        <v>142836.61426290771</v>
      </c>
      <c r="F41" s="47">
        <f>+'DF-CRes'!F9</f>
        <v>109168.89043478272</v>
      </c>
      <c r="G41" s="47"/>
      <c r="H41" s="47"/>
      <c r="I41" s="47"/>
      <c r="J41" s="47"/>
      <c r="K41" s="47"/>
    </row>
    <row r="42" spans="1:13" x14ac:dyDescent="0.2">
      <c r="A42" s="184" t="s">
        <v>151</v>
      </c>
      <c r="B42" s="47">
        <f>+'DF-CRes'!B3-SUM('DF-2 Estructura'!B35+'DF-2 Estructura'!B37+'DF-2 Estructura'!B39+'DF-2 Estructura'!B41)</f>
        <v>7640431.7719344301</v>
      </c>
      <c r="C42" s="47">
        <f>+'DF-CRes'!C3-SUM('DF-2 Estructura'!C35+'DF-2 Estructura'!C37+'DF-2 Estructura'!C39+'DF-2 Estructura'!C41)</f>
        <v>12565972.523018632</v>
      </c>
      <c r="D42" s="47">
        <f>+'DF-CRes'!D3-SUM('DF-2 Estructura'!D35+'DF-2 Estructura'!D37+'DF-2 Estructura'!D39+'DF-2 Estructura'!D41)</f>
        <v>12610862.821456131</v>
      </c>
      <c r="E42" s="47">
        <f>+'DF-CRes'!E3-SUM('DF-2 Estructura'!E35+'DF-2 Estructura'!E37+'DF-2 Estructura'!E39+'DF-2 Estructura'!E41)</f>
        <v>12713033.194059968</v>
      </c>
      <c r="F42" s="47">
        <f>+'DF-CRes'!F3-SUM('DF-2 Estructura'!F35+'DF-2 Estructura'!F37+'DF-2 Estructura'!F39+'DF-2 Estructura'!F41)</f>
        <v>12746700.917888094</v>
      </c>
      <c r="G42" s="47"/>
      <c r="H42" s="47"/>
      <c r="I42" s="47"/>
      <c r="J42" s="47"/>
      <c r="K42" s="47"/>
    </row>
    <row r="43" spans="1:13" ht="13.5" thickBot="1" x14ac:dyDescent="0.25">
      <c r="A43" s="186" t="s">
        <v>145</v>
      </c>
      <c r="B43" s="249">
        <f>+(B36+B38+B40)/B42</f>
        <v>0.49073960895195712</v>
      </c>
      <c r="C43" s="249">
        <f t="shared" ref="C43:K43" si="0">+(C36+C38+C40)/C42</f>
        <v>0.3225671626786189</v>
      </c>
      <c r="D43" s="249">
        <f t="shared" si="0"/>
        <v>0.32141893543962746</v>
      </c>
      <c r="E43" s="249">
        <f t="shared" si="0"/>
        <v>0.31876762847015772</v>
      </c>
      <c r="F43" s="249">
        <f t="shared" si="0"/>
        <v>0.31792567096681512</v>
      </c>
      <c r="G43" s="249"/>
      <c r="H43" s="249"/>
      <c r="I43" s="249"/>
      <c r="J43" s="249"/>
      <c r="K43" s="249"/>
    </row>
    <row r="44" spans="1:13" ht="16.5" thickTop="1" x14ac:dyDescent="0.25">
      <c r="A44" s="187" t="s">
        <v>146</v>
      </c>
    </row>
    <row r="45" spans="1:13" x14ac:dyDescent="0.2">
      <c r="A45" s="30"/>
    </row>
    <row r="47" spans="1:13" x14ac:dyDescent="0.2">
      <c r="A47" s="180"/>
    </row>
    <row r="48" spans="1:13" x14ac:dyDescent="0.2">
      <c r="A48" s="38"/>
      <c r="B48" s="279" t="s">
        <v>24</v>
      </c>
      <c r="C48" s="276">
        <v>0</v>
      </c>
      <c r="D48" s="276">
        <v>0.1</v>
      </c>
      <c r="E48" s="276">
        <v>0.2</v>
      </c>
      <c r="F48" s="276">
        <v>0.3</v>
      </c>
      <c r="G48" s="276">
        <v>0.4</v>
      </c>
      <c r="H48" s="276">
        <v>0.5</v>
      </c>
      <c r="I48" s="276">
        <v>0.6</v>
      </c>
      <c r="J48" s="276">
        <v>0.7</v>
      </c>
      <c r="K48" s="276">
        <v>0.8</v>
      </c>
      <c r="L48" s="276">
        <v>0.9</v>
      </c>
      <c r="M48" s="276">
        <v>1</v>
      </c>
    </row>
    <row r="49" spans="1:13" x14ac:dyDescent="0.2">
      <c r="A49" s="130" t="s">
        <v>388</v>
      </c>
      <c r="B49" s="273">
        <f>+(B35+B37+B39)</f>
        <v>3198265.494740162</v>
      </c>
      <c r="C49" s="273">
        <f>+C48*$B$49</f>
        <v>0</v>
      </c>
      <c r="D49" s="273">
        <f t="shared" ref="D49:M49" si="1">+D48*$B$49</f>
        <v>319826.54947401624</v>
      </c>
      <c r="E49" s="273">
        <f t="shared" si="1"/>
        <v>639653.09894803248</v>
      </c>
      <c r="F49" s="273">
        <f t="shared" si="1"/>
        <v>959479.64842204854</v>
      </c>
      <c r="G49" s="273">
        <f t="shared" si="1"/>
        <v>1279306.197896065</v>
      </c>
      <c r="H49" s="273">
        <f t="shared" si="1"/>
        <v>1599132.747370081</v>
      </c>
      <c r="I49" s="273">
        <f t="shared" si="1"/>
        <v>1918959.2968440971</v>
      </c>
      <c r="J49" s="273">
        <f t="shared" si="1"/>
        <v>2238785.8463181132</v>
      </c>
      <c r="K49" s="273">
        <f t="shared" si="1"/>
        <v>2558612.3957921299</v>
      </c>
      <c r="L49" s="273">
        <f t="shared" si="1"/>
        <v>2878438.9452661457</v>
      </c>
      <c r="M49" s="273">
        <f t="shared" si="1"/>
        <v>3198265.494740162</v>
      </c>
    </row>
    <row r="50" spans="1:13" x14ac:dyDescent="0.2">
      <c r="A50" s="130" t="s">
        <v>389</v>
      </c>
      <c r="B50" s="273">
        <f>+(B36+B38+B40+B41)</f>
        <v>4110765.2333086189</v>
      </c>
      <c r="C50" s="273">
        <f>+$B$50</f>
        <v>4110765.2333086189</v>
      </c>
      <c r="D50" s="273">
        <f t="shared" ref="D50:M50" si="2">+$B$50</f>
        <v>4110765.2333086189</v>
      </c>
      <c r="E50" s="273">
        <f t="shared" si="2"/>
        <v>4110765.2333086189</v>
      </c>
      <c r="F50" s="273">
        <f t="shared" si="2"/>
        <v>4110765.2333086189</v>
      </c>
      <c r="G50" s="273">
        <f t="shared" si="2"/>
        <v>4110765.2333086189</v>
      </c>
      <c r="H50" s="273">
        <f t="shared" si="2"/>
        <v>4110765.2333086189</v>
      </c>
      <c r="I50" s="273">
        <f t="shared" si="2"/>
        <v>4110765.2333086189</v>
      </c>
      <c r="J50" s="273">
        <f t="shared" si="2"/>
        <v>4110765.2333086189</v>
      </c>
      <c r="K50" s="273">
        <f t="shared" si="2"/>
        <v>4110765.2333086189</v>
      </c>
      <c r="L50" s="273">
        <f t="shared" si="2"/>
        <v>4110765.2333086189</v>
      </c>
      <c r="M50" s="273">
        <f t="shared" si="2"/>
        <v>4110765.2333086189</v>
      </c>
    </row>
    <row r="51" spans="1:13" x14ac:dyDescent="0.2">
      <c r="A51" s="274" t="s">
        <v>391</v>
      </c>
      <c r="B51" s="273">
        <f>+B49+B50</f>
        <v>7309030.7280487809</v>
      </c>
      <c r="C51" s="273">
        <f>+C50+C49</f>
        <v>4110765.2333086189</v>
      </c>
      <c r="D51" s="273">
        <f t="shared" ref="D51:M51" si="3">+D50+D49</f>
        <v>4430591.7827826347</v>
      </c>
      <c r="E51" s="273">
        <f t="shared" si="3"/>
        <v>4750418.3322566515</v>
      </c>
      <c r="F51" s="273">
        <f t="shared" si="3"/>
        <v>5070244.8817306673</v>
      </c>
      <c r="G51" s="273">
        <f t="shared" si="3"/>
        <v>5390071.4312046841</v>
      </c>
      <c r="H51" s="273">
        <f t="shared" si="3"/>
        <v>5709897.9806786999</v>
      </c>
      <c r="I51" s="273">
        <f t="shared" si="3"/>
        <v>6029724.5301527157</v>
      </c>
      <c r="J51" s="273">
        <f t="shared" si="3"/>
        <v>6349551.0796267316</v>
      </c>
      <c r="K51" s="273">
        <f t="shared" si="3"/>
        <v>6669377.6291007493</v>
      </c>
      <c r="L51" s="273">
        <f t="shared" si="3"/>
        <v>6989204.1785747651</v>
      </c>
      <c r="M51" s="273">
        <f t="shared" si="3"/>
        <v>7309030.7280487809</v>
      </c>
    </row>
    <row r="52" spans="1:13" x14ac:dyDescent="0.2">
      <c r="A52" s="274" t="s">
        <v>390</v>
      </c>
      <c r="B52" s="275">
        <f>+'DF-CRes'!B3</f>
        <v>11200000</v>
      </c>
      <c r="C52" s="273">
        <f>+C48*$B$52</f>
        <v>0</v>
      </c>
      <c r="D52" s="273">
        <f t="shared" ref="D52:M52" si="4">+D48*$B$52</f>
        <v>1120000</v>
      </c>
      <c r="E52" s="273">
        <f t="shared" si="4"/>
        <v>2240000</v>
      </c>
      <c r="F52" s="273">
        <f t="shared" si="4"/>
        <v>3360000</v>
      </c>
      <c r="G52" s="273">
        <f t="shared" si="4"/>
        <v>4480000</v>
      </c>
      <c r="H52" s="273">
        <f t="shared" si="4"/>
        <v>5600000</v>
      </c>
      <c r="I52" s="273">
        <f t="shared" si="4"/>
        <v>6720000</v>
      </c>
      <c r="J52" s="273">
        <f t="shared" si="4"/>
        <v>7839999.9999999991</v>
      </c>
      <c r="K52" s="273">
        <f t="shared" si="4"/>
        <v>8960000</v>
      </c>
      <c r="L52" s="273">
        <f t="shared" si="4"/>
        <v>10080000</v>
      </c>
      <c r="M52" s="273">
        <f t="shared" si="4"/>
        <v>11200000</v>
      </c>
    </row>
    <row r="53" spans="1:13" x14ac:dyDescent="0.2">
      <c r="A53" s="277"/>
      <c r="B53" s="280"/>
      <c r="C53" s="280"/>
      <c r="D53" s="273"/>
      <c r="E53" s="273"/>
      <c r="F53" s="273"/>
      <c r="G53" s="273"/>
      <c r="H53" s="273"/>
      <c r="I53" s="273"/>
      <c r="J53" s="273"/>
      <c r="K53" s="273"/>
      <c r="L53" s="273"/>
      <c r="M53" s="273"/>
    </row>
    <row r="54" spans="1:13" x14ac:dyDescent="0.2">
      <c r="A54" s="38"/>
      <c r="B54" s="130"/>
      <c r="C54" s="130"/>
      <c r="D54" s="38"/>
      <c r="E54" s="38"/>
      <c r="F54" s="278"/>
      <c r="G54" s="38"/>
      <c r="H54" s="38"/>
      <c r="I54" s="38"/>
      <c r="J54" s="38"/>
      <c r="K54" s="38"/>
      <c r="L54" s="38"/>
      <c r="M54" s="38"/>
    </row>
    <row r="55" spans="1:13" x14ac:dyDescent="0.2">
      <c r="A55" s="38"/>
      <c r="B55" s="279" t="s">
        <v>28</v>
      </c>
      <c r="C55" s="276">
        <v>0</v>
      </c>
      <c r="D55" s="276">
        <v>0.1</v>
      </c>
      <c r="E55" s="276">
        <v>0.2</v>
      </c>
      <c r="F55" s="276">
        <v>0.3</v>
      </c>
      <c r="G55" s="276">
        <v>0.4</v>
      </c>
      <c r="H55" s="276">
        <v>0.5</v>
      </c>
      <c r="I55" s="276">
        <v>0.6</v>
      </c>
      <c r="J55" s="276">
        <v>0.7</v>
      </c>
      <c r="K55" s="276">
        <v>0.8</v>
      </c>
      <c r="L55" s="276">
        <v>0.9</v>
      </c>
      <c r="M55" s="276">
        <v>1</v>
      </c>
    </row>
    <row r="56" spans="1:13" x14ac:dyDescent="0.2">
      <c r="A56" s="130" t="s">
        <v>388</v>
      </c>
      <c r="B56" s="273">
        <f>+(F35+F37+F39)</f>
        <v>3944130.1916771242</v>
      </c>
      <c r="C56" s="278">
        <f>+C55*$B$56</f>
        <v>0</v>
      </c>
      <c r="D56" s="278">
        <f t="shared" ref="D56:M56" si="5">+D55*$B$56</f>
        <v>394413.01916771242</v>
      </c>
      <c r="E56" s="278">
        <f t="shared" si="5"/>
        <v>788826.03833542485</v>
      </c>
      <c r="F56" s="278">
        <f t="shared" si="5"/>
        <v>1183239.0575031373</v>
      </c>
      <c r="G56" s="278">
        <f t="shared" si="5"/>
        <v>1577652.0766708497</v>
      </c>
      <c r="H56" s="278">
        <f t="shared" si="5"/>
        <v>1972065.0958385621</v>
      </c>
      <c r="I56" s="278">
        <f t="shared" si="5"/>
        <v>2366478.1150062745</v>
      </c>
      <c r="J56" s="278">
        <f t="shared" si="5"/>
        <v>2760891.134173987</v>
      </c>
      <c r="K56" s="278">
        <f t="shared" si="5"/>
        <v>3155304.1533416994</v>
      </c>
      <c r="L56" s="278">
        <f t="shared" si="5"/>
        <v>3549717.1725094118</v>
      </c>
      <c r="M56" s="278">
        <f t="shared" si="5"/>
        <v>3944130.1916771242</v>
      </c>
    </row>
    <row r="57" spans="1:13" x14ac:dyDescent="0.2">
      <c r="A57" s="130" t="s">
        <v>389</v>
      </c>
      <c r="B57" s="273">
        <f>+(F36+F38+F40+F41)</f>
        <v>4161672.3323676726</v>
      </c>
      <c r="C57" s="278">
        <f>+$B$57</f>
        <v>4161672.3323676726</v>
      </c>
      <c r="D57" s="278">
        <f t="shared" ref="D57:M57" si="6">+$B$57</f>
        <v>4161672.3323676726</v>
      </c>
      <c r="E57" s="278">
        <f t="shared" si="6"/>
        <v>4161672.3323676726</v>
      </c>
      <c r="F57" s="278">
        <f t="shared" si="6"/>
        <v>4161672.3323676726</v>
      </c>
      <c r="G57" s="278">
        <f t="shared" si="6"/>
        <v>4161672.3323676726</v>
      </c>
      <c r="H57" s="278">
        <f t="shared" si="6"/>
        <v>4161672.3323676726</v>
      </c>
      <c r="I57" s="278">
        <f t="shared" si="6"/>
        <v>4161672.3323676726</v>
      </c>
      <c r="J57" s="278">
        <f t="shared" si="6"/>
        <v>4161672.3323676726</v>
      </c>
      <c r="K57" s="278">
        <f t="shared" si="6"/>
        <v>4161672.3323676726</v>
      </c>
      <c r="L57" s="278">
        <f t="shared" si="6"/>
        <v>4161672.3323676726</v>
      </c>
      <c r="M57" s="278">
        <f t="shared" si="6"/>
        <v>4161672.3323676726</v>
      </c>
    </row>
    <row r="58" spans="1:13" x14ac:dyDescent="0.2">
      <c r="A58" s="274" t="s">
        <v>391</v>
      </c>
      <c r="B58" s="273">
        <f>+B56+B57</f>
        <v>8105802.5240447968</v>
      </c>
      <c r="C58" s="278">
        <f>+C57+C56</f>
        <v>4161672.3323676726</v>
      </c>
      <c r="D58" s="278">
        <f t="shared" ref="D58:M58" si="7">+D57+D56</f>
        <v>4556085.3515353855</v>
      </c>
      <c r="E58" s="278">
        <f t="shared" si="7"/>
        <v>4950498.3707030974</v>
      </c>
      <c r="F58" s="278">
        <f t="shared" si="7"/>
        <v>5344911.3898708094</v>
      </c>
      <c r="G58" s="278">
        <f t="shared" si="7"/>
        <v>5739324.4090385223</v>
      </c>
      <c r="H58" s="278">
        <f t="shared" si="7"/>
        <v>6133737.4282062352</v>
      </c>
      <c r="I58" s="278">
        <f t="shared" si="7"/>
        <v>6528150.4473739471</v>
      </c>
      <c r="J58" s="278">
        <f t="shared" si="7"/>
        <v>6922563.4665416591</v>
      </c>
      <c r="K58" s="278">
        <f t="shared" si="7"/>
        <v>7316976.485709372</v>
      </c>
      <c r="L58" s="278">
        <f t="shared" si="7"/>
        <v>7711389.5048770849</v>
      </c>
      <c r="M58" s="278">
        <f t="shared" si="7"/>
        <v>8105802.5240447968</v>
      </c>
    </row>
    <row r="59" spans="1:13" x14ac:dyDescent="0.2">
      <c r="A59" s="274" t="s">
        <v>390</v>
      </c>
      <c r="B59" s="275">
        <f>+'DF-CRes'!F3</f>
        <v>16800000</v>
      </c>
      <c r="C59" s="278">
        <f>+C55*$B$59</f>
        <v>0</v>
      </c>
      <c r="D59" s="278">
        <f t="shared" ref="D59:M59" si="8">+D55*$B$59</f>
        <v>1680000</v>
      </c>
      <c r="E59" s="278">
        <f t="shared" si="8"/>
        <v>3360000</v>
      </c>
      <c r="F59" s="278">
        <f t="shared" si="8"/>
        <v>5040000</v>
      </c>
      <c r="G59" s="278">
        <f t="shared" si="8"/>
        <v>6720000</v>
      </c>
      <c r="H59" s="278">
        <f t="shared" si="8"/>
        <v>8400000</v>
      </c>
      <c r="I59" s="278">
        <f t="shared" si="8"/>
        <v>10080000</v>
      </c>
      <c r="J59" s="278">
        <f t="shared" si="8"/>
        <v>11760000</v>
      </c>
      <c r="K59" s="278">
        <f t="shared" si="8"/>
        <v>13440000</v>
      </c>
      <c r="L59" s="278">
        <f t="shared" si="8"/>
        <v>15120000</v>
      </c>
      <c r="M59" s="278">
        <f t="shared" si="8"/>
        <v>16800000</v>
      </c>
    </row>
    <row r="60" spans="1:13" x14ac:dyDescent="0.2">
      <c r="A60" s="30"/>
    </row>
    <row r="61" spans="1:13" x14ac:dyDescent="0.2">
      <c r="A61" s="30"/>
    </row>
    <row r="62" spans="1:13" x14ac:dyDescent="0.2">
      <c r="I62" s="643" t="s">
        <v>401</v>
      </c>
      <c r="J62" s="644"/>
    </row>
    <row r="63" spans="1:13" ht="13.5" thickBot="1" x14ac:dyDescent="0.25">
      <c r="I63" s="281" t="s">
        <v>394</v>
      </c>
      <c r="J63" s="282" t="s">
        <v>395</v>
      </c>
    </row>
    <row r="64" spans="1:13" ht="13.5" thickTop="1" x14ac:dyDescent="0.2">
      <c r="A64" s="30"/>
      <c r="B64" s="30"/>
      <c r="C64" s="30"/>
      <c r="I64" s="283" t="s">
        <v>392</v>
      </c>
      <c r="J64" s="284">
        <f>+SLOPE($C$52:$M$52,$C$48:$M$48)</f>
        <v>11200000</v>
      </c>
    </row>
    <row r="65" spans="1:10" x14ac:dyDescent="0.2">
      <c r="I65" s="285" t="s">
        <v>393</v>
      </c>
      <c r="J65" s="286">
        <f>+INTERCEPT($C$52:$M$52,$C$48:$M$48)</f>
        <v>0</v>
      </c>
    </row>
    <row r="66" spans="1:10" x14ac:dyDescent="0.2">
      <c r="A66" s="30"/>
      <c r="I66" s="287"/>
      <c r="J66" s="286"/>
    </row>
    <row r="67" spans="1:10" ht="13.5" thickBot="1" x14ac:dyDescent="0.25">
      <c r="A67" s="30"/>
      <c r="I67" s="288" t="s">
        <v>394</v>
      </c>
      <c r="J67" s="289" t="s">
        <v>396</v>
      </c>
    </row>
    <row r="68" spans="1:10" ht="13.5" thickTop="1" x14ac:dyDescent="0.2">
      <c r="A68" s="30"/>
      <c r="I68" s="283" t="s">
        <v>392</v>
      </c>
      <c r="J68" s="284">
        <f>+SLOPE($C$51:$M$51,$C$48:$M$48)</f>
        <v>3198265.4947401625</v>
      </c>
    </row>
    <row r="69" spans="1:10" x14ac:dyDescent="0.2">
      <c r="A69" s="30"/>
      <c r="I69" s="285" t="s">
        <v>393</v>
      </c>
      <c r="J69" s="284">
        <f>+INTERCEPT($C$51:$M$51,$C$48:$M$48)</f>
        <v>4110765.233308618</v>
      </c>
    </row>
    <row r="70" spans="1:10" x14ac:dyDescent="0.2">
      <c r="A70" s="30"/>
      <c r="I70" s="287"/>
      <c r="J70" s="286"/>
    </row>
    <row r="71" spans="1:10" ht="13.5" thickBot="1" x14ac:dyDescent="0.25">
      <c r="A71" s="30"/>
      <c r="I71" s="288" t="s">
        <v>397</v>
      </c>
      <c r="J71" s="289" t="s">
        <v>398</v>
      </c>
    </row>
    <row r="72" spans="1:10" ht="13.5" thickTop="1" x14ac:dyDescent="0.2">
      <c r="I72" s="290" t="s">
        <v>399</v>
      </c>
      <c r="J72" s="291">
        <f>+J69/(J64-J68)</f>
        <v>0.51373426981443326</v>
      </c>
    </row>
    <row r="73" spans="1:10" x14ac:dyDescent="0.2">
      <c r="I73" s="292" t="s">
        <v>400</v>
      </c>
      <c r="J73" s="293">
        <f>+J72*J64</f>
        <v>5753823.8219216522</v>
      </c>
    </row>
    <row r="90" spans="9:10" x14ac:dyDescent="0.2">
      <c r="I90" s="643" t="s">
        <v>402</v>
      </c>
      <c r="J90" s="644"/>
    </row>
    <row r="91" spans="9:10" ht="13.5" thickBot="1" x14ac:dyDescent="0.25">
      <c r="I91" s="281" t="s">
        <v>394</v>
      </c>
      <c r="J91" s="282" t="s">
        <v>395</v>
      </c>
    </row>
    <row r="92" spans="9:10" ht="13.5" thickTop="1" x14ac:dyDescent="0.2">
      <c r="I92" s="283" t="s">
        <v>392</v>
      </c>
      <c r="J92" s="284">
        <f>+SLOPE($C$59:$M$59,$C$55:$M$55)</f>
        <v>16800000</v>
      </c>
    </row>
    <row r="93" spans="9:10" x14ac:dyDescent="0.2">
      <c r="I93" s="285" t="s">
        <v>393</v>
      </c>
      <c r="J93" s="286">
        <f>+INTERCEPT($C$59:$M$59,$C$55:$M$55)</f>
        <v>0</v>
      </c>
    </row>
    <row r="94" spans="9:10" x14ac:dyDescent="0.2">
      <c r="I94" s="287"/>
      <c r="J94" s="286"/>
    </row>
    <row r="95" spans="9:10" ht="13.5" thickBot="1" x14ac:dyDescent="0.25">
      <c r="I95" s="288" t="s">
        <v>394</v>
      </c>
      <c r="J95" s="289" t="s">
        <v>396</v>
      </c>
    </row>
    <row r="96" spans="9:10" ht="13.5" thickTop="1" x14ac:dyDescent="0.2">
      <c r="I96" s="283" t="s">
        <v>392</v>
      </c>
      <c r="J96" s="284">
        <f>+SLOPE($C$58:$M$58,$C$55:$M$55)</f>
        <v>3944130.1916771242</v>
      </c>
    </row>
    <row r="97" spans="9:10" x14ac:dyDescent="0.2">
      <c r="I97" s="285" t="s">
        <v>393</v>
      </c>
      <c r="J97" s="284">
        <f>+INTERCEPT($C$58:$M$58,$C$55:$M$55)</f>
        <v>4161672.3323676731</v>
      </c>
    </row>
    <row r="98" spans="9:10" x14ac:dyDescent="0.2">
      <c r="I98" s="287"/>
      <c r="J98" s="286"/>
    </row>
    <row r="99" spans="9:10" ht="13.5" thickBot="1" x14ac:dyDescent="0.25">
      <c r="I99" s="288" t="s">
        <v>397</v>
      </c>
      <c r="J99" s="289" t="s">
        <v>398</v>
      </c>
    </row>
    <row r="100" spans="9:10" ht="13.5" thickTop="1" x14ac:dyDescent="0.2">
      <c r="I100" s="290" t="s">
        <v>399</v>
      </c>
      <c r="J100" s="499">
        <f>+J97/(J92-J96)</f>
        <v>0.32371767872706758</v>
      </c>
    </row>
    <row r="101" spans="9:10" x14ac:dyDescent="0.2">
      <c r="I101" s="292" t="s">
        <v>400</v>
      </c>
      <c r="J101" s="293">
        <f>+J100*J92</f>
        <v>5438457.0026147356</v>
      </c>
    </row>
  </sheetData>
  <mergeCells count="4">
    <mergeCell ref="A1:D1"/>
    <mergeCell ref="A33:K33"/>
    <mergeCell ref="I62:J62"/>
    <mergeCell ref="I90:J90"/>
  </mergeCells>
  <pageMargins left="0.26" right="0.46" top="0.7" bottom="1" header="0" footer="0"/>
  <pageSetup paperSize="9" scale="80" fitToHeight="4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G49"/>
  <sheetViews>
    <sheetView workbookViewId="0"/>
  </sheetViews>
  <sheetFormatPr baseColWidth="10" defaultRowHeight="12.75" x14ac:dyDescent="0.2"/>
  <cols>
    <col min="1" max="1" width="43" style="32" customWidth="1"/>
    <col min="2" max="3" width="14" style="32" customWidth="1"/>
    <col min="4" max="7" width="14.42578125" style="32" bestFit="1" customWidth="1"/>
    <col min="8" max="8" width="17.42578125" style="32" bestFit="1" customWidth="1"/>
    <col min="9" max="16384" width="11.42578125" style="32"/>
  </cols>
  <sheetData>
    <row r="1" spans="1:7" ht="16.5" thickTop="1" x14ac:dyDescent="0.25">
      <c r="A1" s="172" t="s">
        <v>201</v>
      </c>
      <c r="B1" s="173"/>
      <c r="C1" s="173"/>
      <c r="D1" s="173"/>
      <c r="E1" s="173"/>
      <c r="F1" s="173"/>
      <c r="G1" s="173"/>
    </row>
    <row r="2" spans="1:7" ht="15.75" x14ac:dyDescent="0.25">
      <c r="A2" s="188"/>
      <c r="B2" s="658" t="s">
        <v>215</v>
      </c>
      <c r="C2" s="658"/>
      <c r="D2" s="658"/>
      <c r="E2" s="658"/>
      <c r="F2" s="658"/>
      <c r="G2" s="658"/>
    </row>
    <row r="3" spans="1:7" ht="13.5" thickBot="1" x14ac:dyDescent="0.25">
      <c r="A3" s="189" t="s">
        <v>80</v>
      </c>
      <c r="B3" s="190" t="s">
        <v>23</v>
      </c>
      <c r="C3" s="176" t="s">
        <v>24</v>
      </c>
      <c r="D3" s="176" t="s">
        <v>25</v>
      </c>
      <c r="E3" s="176" t="s">
        <v>26</v>
      </c>
      <c r="F3" s="176" t="s">
        <v>27</v>
      </c>
      <c r="G3" s="176" t="s">
        <v>28</v>
      </c>
    </row>
    <row r="4" spans="1:7" ht="13.5" thickTop="1" x14ac:dyDescent="0.2">
      <c r="A4" s="191" t="s">
        <v>308</v>
      </c>
      <c r="B4" s="33"/>
      <c r="C4" s="34"/>
      <c r="D4" s="34"/>
      <c r="E4" s="34"/>
      <c r="F4" s="34"/>
      <c r="G4" s="34"/>
    </row>
    <row r="5" spans="1:7" x14ac:dyDescent="0.2">
      <c r="A5" s="195" t="s">
        <v>545</v>
      </c>
      <c r="B5" s="121">
        <f>+'E-IVA '!B19</f>
        <v>0</v>
      </c>
      <c r="C5" s="121">
        <f>+'E-IVA '!C16</f>
        <v>456057.06025751267</v>
      </c>
      <c r="D5" s="121">
        <f>+'E-IVA '!D16</f>
        <v>583527.62070894882</v>
      </c>
      <c r="E5" s="121">
        <f>+'E-IVA '!E16</f>
        <v>583527.62070894882</v>
      </c>
      <c r="F5" s="121">
        <f>+'E-IVA '!F16</f>
        <v>589034.64703542017</v>
      </c>
      <c r="G5" s="121">
        <f>+'E-IVA '!G16</f>
        <v>589034.64703542017</v>
      </c>
    </row>
    <row r="6" spans="1:7" x14ac:dyDescent="0.2">
      <c r="A6" s="192" t="s">
        <v>311</v>
      </c>
      <c r="B6" s="121">
        <f>+'E-IVA '!B10</f>
        <v>0</v>
      </c>
      <c r="C6" s="121">
        <f>+'E-IVA '!C17</f>
        <v>10902.266529343076</v>
      </c>
      <c r="D6" s="121">
        <f>+'E-IVA '!D17</f>
        <v>11634.726134082437</v>
      </c>
      <c r="E6" s="121">
        <f>+'E-IVA '!E17</f>
        <v>11634.726134082437</v>
      </c>
      <c r="F6" s="121">
        <f>+'E-IVA '!F17</f>
        <v>11637.463821793503</v>
      </c>
      <c r="G6" s="121">
        <f>+'E-IVA '!G17</f>
        <v>11637.463821793503</v>
      </c>
    </row>
    <row r="7" spans="1:7" x14ac:dyDescent="0.2">
      <c r="A7" s="193" t="s">
        <v>312</v>
      </c>
      <c r="B7" s="121">
        <f>+'E-IVA '!B18</f>
        <v>0</v>
      </c>
      <c r="C7" s="121">
        <f>+'E-IVA '!C18</f>
        <v>35055.154029343073</v>
      </c>
      <c r="D7" s="121">
        <f>+'E-IVA '!D18</f>
        <v>37049.976134082433</v>
      </c>
      <c r="E7" s="121">
        <f>+'E-IVA '!E18</f>
        <v>37049.976134082433</v>
      </c>
      <c r="F7" s="121">
        <f>+'E-IVA '!F18</f>
        <v>37052.713821793499</v>
      </c>
      <c r="G7" s="121">
        <f>+'E-IVA '!G18</f>
        <v>37052.713821793499</v>
      </c>
    </row>
    <row r="8" spans="1:7" x14ac:dyDescent="0.2">
      <c r="A8" s="193" t="s">
        <v>313</v>
      </c>
      <c r="B8" s="121">
        <v>0</v>
      </c>
      <c r="C8" s="121">
        <f>+'DF-Cred'!$G18*InfoInicial!$B$3</f>
        <v>58276.577010835616</v>
      </c>
      <c r="D8" s="121">
        <f>+'DF-Cred'!$G20*InfoInicial!$B$3</f>
        <v>48849.614338960622</v>
      </c>
      <c r="E8" s="121">
        <f>+'DF-Cred'!$G22*InfoInicial!$B$3</f>
        <v>39422.651667085622</v>
      </c>
      <c r="F8" s="121">
        <f>+'DF-Cred'!$G24*InfoInicial!$B$3</f>
        <v>29995.688995210618</v>
      </c>
      <c r="G8" s="121">
        <f>+'DF-Cred'!$G26*InfoInicial!$B$3</f>
        <v>22925.466991304369</v>
      </c>
    </row>
    <row r="9" spans="1:7" x14ac:dyDescent="0.2">
      <c r="A9" s="194" t="s">
        <v>309</v>
      </c>
      <c r="B9" s="303">
        <f>SUM(B5:B8)</f>
        <v>0</v>
      </c>
      <c r="C9" s="303">
        <f>+'E-IVA '!C19+'DF-IVA'!C8</f>
        <v>519883.48265855719</v>
      </c>
      <c r="D9" s="303">
        <f>+'E-IVA '!D19+'DF-IVA'!D8</f>
        <v>680482.93103984999</v>
      </c>
      <c r="E9" s="303">
        <f>+'E-IVA '!E19+'DF-IVA'!E8</f>
        <v>668474.49378618877</v>
      </c>
      <c r="F9" s="303">
        <f>+'E-IVA '!F19+'DF-IVA'!F8</f>
        <v>664558.00825703191</v>
      </c>
      <c r="G9" s="303">
        <f>+'E-IVA '!G19+'DF-IVA'!G8</f>
        <v>657467.22184979997</v>
      </c>
    </row>
    <row r="10" spans="1:7" x14ac:dyDescent="0.2">
      <c r="A10" s="194"/>
      <c r="B10" s="35"/>
      <c r="C10" s="26"/>
      <c r="D10" s="26"/>
      <c r="E10" s="26"/>
      <c r="F10" s="26"/>
      <c r="G10" s="26"/>
    </row>
    <row r="11" spans="1:7" x14ac:dyDescent="0.2">
      <c r="A11" s="195" t="s">
        <v>210</v>
      </c>
      <c r="B11" s="121">
        <f>+B9</f>
        <v>0</v>
      </c>
      <c r="C11" s="21">
        <f>+C9</f>
        <v>519883.48265855719</v>
      </c>
      <c r="D11" s="21">
        <f t="shared" ref="D11:G11" si="0">+D9</f>
        <v>680482.93103984999</v>
      </c>
      <c r="E11" s="21">
        <f t="shared" si="0"/>
        <v>668474.49378618877</v>
      </c>
      <c r="F11" s="21">
        <f t="shared" si="0"/>
        <v>664558.00825703191</v>
      </c>
      <c r="G11" s="21">
        <f t="shared" si="0"/>
        <v>657467.22184979997</v>
      </c>
    </row>
    <row r="12" spans="1:7" x14ac:dyDescent="0.2">
      <c r="A12" s="195" t="s">
        <v>211</v>
      </c>
      <c r="B12" s="121">
        <v>0</v>
      </c>
      <c r="C12" s="21">
        <f>+'E-IVA '!C22</f>
        <v>2352000</v>
      </c>
      <c r="D12" s="21">
        <f>+'E-IVA '!D22</f>
        <v>3528000</v>
      </c>
      <c r="E12" s="21">
        <f>+'E-IVA '!E22</f>
        <v>3528000</v>
      </c>
      <c r="F12" s="21">
        <f>+'E-IVA '!F22</f>
        <v>3528000</v>
      </c>
      <c r="G12" s="21">
        <f>+'E-IVA '!G22</f>
        <v>3528000</v>
      </c>
    </row>
    <row r="13" spans="1:7" x14ac:dyDescent="0.2">
      <c r="A13" s="194" t="s">
        <v>314</v>
      </c>
      <c r="B13" s="103">
        <f>+B12-B11</f>
        <v>0</v>
      </c>
      <c r="C13" s="103">
        <f>+C12-C11</f>
        <v>1832116.5173414429</v>
      </c>
      <c r="D13" s="103">
        <f t="shared" ref="D13:G13" si="1">+D12-D11</f>
        <v>2847517.0689601498</v>
      </c>
      <c r="E13" s="103">
        <f t="shared" si="1"/>
        <v>2859525.5062138112</v>
      </c>
      <c r="F13" s="103">
        <f t="shared" si="1"/>
        <v>2863441.9917429681</v>
      </c>
      <c r="G13" s="103">
        <f t="shared" si="1"/>
        <v>2870532.7781501999</v>
      </c>
    </row>
    <row r="14" spans="1:7" x14ac:dyDescent="0.2">
      <c r="A14" s="192"/>
      <c r="B14" s="35"/>
      <c r="C14" s="26"/>
      <c r="D14" s="26"/>
      <c r="E14" s="26"/>
      <c r="F14" s="26"/>
      <c r="G14" s="26"/>
    </row>
    <row r="15" spans="1:7" x14ac:dyDescent="0.2">
      <c r="A15" s="196" t="s">
        <v>315</v>
      </c>
      <c r="B15" s="121">
        <v>0</v>
      </c>
      <c r="C15" s="21">
        <f>+'DF-2 Estructura'!B8+'DF-2 Estructura'!B20</f>
        <v>1452999.208310911</v>
      </c>
      <c r="D15" s="21">
        <f>IF(C17&lt;0,0,C17)</f>
        <v>0</v>
      </c>
      <c r="E15" s="21">
        <f t="shared" ref="E15:G15" si="2">IF(D17&lt;0,0,D17)</f>
        <v>0</v>
      </c>
      <c r="F15" s="21">
        <f t="shared" si="2"/>
        <v>0</v>
      </c>
      <c r="G15" s="21">
        <f t="shared" si="2"/>
        <v>0</v>
      </c>
    </row>
    <row r="16" spans="1:7" x14ac:dyDescent="0.2">
      <c r="A16" s="196" t="s">
        <v>316</v>
      </c>
      <c r="B16" s="121">
        <f>+'E-IVA '!B26+('DF-Cred'!D15+'DF-Cred'!I15)*InfoInicial!$B$3</f>
        <v>1481372.567660911</v>
      </c>
      <c r="C16" s="21">
        <f>+'DF-2 Estructura'!C8+'DF-2 Estructura'!C20</f>
        <v>99434.012270246807</v>
      </c>
      <c r="D16" s="21">
        <f>+'E-Cal Inv.'!E21</f>
        <v>579.00627622433558</v>
      </c>
      <c r="E16" s="21">
        <f>+'E-Cal Inv.'!F21</f>
        <v>3160.4808580106396</v>
      </c>
      <c r="F16" s="21">
        <f>+'E-Cal Inv.'!G21</f>
        <v>3162.5054171857805</v>
      </c>
      <c r="G16" s="21">
        <f>+'E-Cal Inv.'!H21</f>
        <v>3183.0698205116173</v>
      </c>
    </row>
    <row r="17" spans="1:7" x14ac:dyDescent="0.2">
      <c r="A17" s="194" t="s">
        <v>317</v>
      </c>
      <c r="B17" s="121">
        <f>+B16</f>
        <v>1481372.567660911</v>
      </c>
      <c r="C17" s="21">
        <f>+C16+C15-C13</f>
        <v>-279683.29676028504</v>
      </c>
      <c r="D17" s="21">
        <f t="shared" ref="D17:G17" si="3">+D16+D15-D13</f>
        <v>-2846938.0626839255</v>
      </c>
      <c r="E17" s="21">
        <f t="shared" si="3"/>
        <v>-2856365.0253558005</v>
      </c>
      <c r="F17" s="21">
        <f t="shared" si="3"/>
        <v>-2860279.4863257823</v>
      </c>
      <c r="G17" s="21">
        <f t="shared" si="3"/>
        <v>-2867349.7083296883</v>
      </c>
    </row>
    <row r="18" spans="1:7" x14ac:dyDescent="0.2">
      <c r="A18" s="194" t="s">
        <v>318</v>
      </c>
      <c r="B18" s="103">
        <f>+'E-IVA '!B28</f>
        <v>0</v>
      </c>
      <c r="C18" s="103">
        <f>IF(C17&gt;0,C13,C15+C16)</f>
        <v>1552433.2205811578</v>
      </c>
      <c r="D18" s="103">
        <f t="shared" ref="D18:G18" si="4">IF(D17&gt;0,D13,D15+D16)</f>
        <v>579.00627622433558</v>
      </c>
      <c r="E18" s="103">
        <f t="shared" si="4"/>
        <v>3160.4808580106396</v>
      </c>
      <c r="F18" s="103">
        <f t="shared" si="4"/>
        <v>3162.5054171857805</v>
      </c>
      <c r="G18" s="103">
        <f t="shared" si="4"/>
        <v>3183.0698205116173</v>
      </c>
    </row>
    <row r="19" spans="1:7" x14ac:dyDescent="0.2">
      <c r="A19" s="192"/>
      <c r="B19" s="35"/>
      <c r="C19" s="26"/>
      <c r="D19" s="26"/>
      <c r="E19" s="26"/>
      <c r="F19" s="26"/>
      <c r="G19" s="26"/>
    </row>
    <row r="20" spans="1:7" ht="13.5" thickBot="1" x14ac:dyDescent="0.25">
      <c r="A20" s="197" t="s">
        <v>214</v>
      </c>
      <c r="B20" s="127">
        <f>+'E-IVA '!B30</f>
        <v>0</v>
      </c>
      <c r="C20" s="113">
        <f>+C13-C18</f>
        <v>279683.29676028504</v>
      </c>
      <c r="D20" s="113">
        <f>+D13-D18</f>
        <v>2846938.0626839255</v>
      </c>
      <c r="E20" s="113">
        <f t="shared" ref="E20:G20" si="5">+E13-E18</f>
        <v>2856365.0253558005</v>
      </c>
      <c r="F20" s="113">
        <f t="shared" si="5"/>
        <v>2860279.4863257823</v>
      </c>
      <c r="G20" s="113">
        <f t="shared" si="5"/>
        <v>2867349.7083296883</v>
      </c>
    </row>
    <row r="21" spans="1:7" ht="13.5" thickTop="1" x14ac:dyDescent="0.2"/>
    <row r="22" spans="1:7" x14ac:dyDescent="0.2">
      <c r="B22" s="445"/>
    </row>
    <row r="23" spans="1:7" x14ac:dyDescent="0.2">
      <c r="A23" s="30"/>
    </row>
    <row r="26" spans="1:7" x14ac:dyDescent="0.2">
      <c r="A26" s="30"/>
    </row>
    <row r="29" spans="1:7" x14ac:dyDescent="0.2">
      <c r="A29" s="180"/>
    </row>
    <row r="30" spans="1:7" x14ac:dyDescent="0.2">
      <c r="A30" s="180"/>
    </row>
    <row r="31" spans="1:7" x14ac:dyDescent="0.2">
      <c r="A31" s="180"/>
    </row>
    <row r="32" spans="1:7" x14ac:dyDescent="0.2">
      <c r="A32" s="30"/>
    </row>
    <row r="34" spans="1:1" x14ac:dyDescent="0.2">
      <c r="A34" s="30"/>
    </row>
    <row r="39" spans="1:1" x14ac:dyDescent="0.2">
      <c r="A39" s="180"/>
    </row>
    <row r="40" spans="1:1" x14ac:dyDescent="0.2">
      <c r="A40" s="30"/>
    </row>
    <row r="44" spans="1:1" x14ac:dyDescent="0.2">
      <c r="A44" s="30"/>
    </row>
    <row r="46" spans="1:1" x14ac:dyDescent="0.2">
      <c r="A46" s="30"/>
    </row>
    <row r="47" spans="1:1" x14ac:dyDescent="0.2">
      <c r="A47" s="30"/>
    </row>
    <row r="49" spans="1:1" x14ac:dyDescent="0.2">
      <c r="A49" s="30"/>
    </row>
  </sheetData>
  <mergeCells count="1">
    <mergeCell ref="B2:G2"/>
  </mergeCells>
  <pageMargins left="0.26" right="0.46" top="1.27" bottom="1" header="0" footer="0"/>
  <pageSetup paperSize="9" scale="72" fitToHeight="4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2:N57"/>
  <sheetViews>
    <sheetView zoomScale="90" zoomScaleNormal="90" workbookViewId="0"/>
  </sheetViews>
  <sheetFormatPr baseColWidth="10" defaultRowHeight="12.75" x14ac:dyDescent="0.2"/>
  <cols>
    <col min="1" max="1" width="41" style="25" customWidth="1"/>
    <col min="2" max="2" width="14.85546875" style="25" customWidth="1"/>
    <col min="3" max="7" width="16" style="25" bestFit="1" customWidth="1"/>
    <col min="8" max="8" width="17.140625" style="25" bestFit="1" customWidth="1"/>
    <col min="9" max="9" width="17.42578125" style="25" bestFit="1" customWidth="1"/>
    <col min="10" max="16384" width="11.42578125" style="25"/>
  </cols>
  <sheetData>
    <row r="2" spans="1:8" ht="13.5" thickBot="1" x14ac:dyDescent="0.25"/>
    <row r="3" spans="1:8" ht="16.5" thickTop="1" x14ac:dyDescent="0.25">
      <c r="A3" s="198" t="s">
        <v>338</v>
      </c>
      <c r="B3" s="199"/>
      <c r="C3" s="199"/>
      <c r="D3" s="199"/>
      <c r="E3" s="199"/>
      <c r="F3" s="199"/>
      <c r="G3" s="199"/>
      <c r="H3" s="200"/>
    </row>
    <row r="4" spans="1:8" x14ac:dyDescent="0.2">
      <c r="A4" s="204"/>
      <c r="B4" s="222" t="s">
        <v>23</v>
      </c>
      <c r="C4" s="222" t="s">
        <v>24</v>
      </c>
      <c r="D4" s="222" t="s">
        <v>25</v>
      </c>
      <c r="E4" s="222" t="s">
        <v>26</v>
      </c>
      <c r="F4" s="222" t="s">
        <v>27</v>
      </c>
      <c r="G4" s="222" t="s">
        <v>28</v>
      </c>
      <c r="H4" s="225" t="s">
        <v>193</v>
      </c>
    </row>
    <row r="5" spans="1:8" x14ac:dyDescent="0.2">
      <c r="A5" s="446" t="s">
        <v>319</v>
      </c>
      <c r="B5" s="443">
        <f>+SUM(B6:B12)</f>
        <v>8551243.0574104879</v>
      </c>
      <c r="C5" s="443">
        <f t="shared" ref="C5:H5" si="0">+SUM(C6:C12)</f>
        <v>14250757.879791647</v>
      </c>
      <c r="D5" s="443">
        <f t="shared" si="0"/>
        <v>20845226.295797106</v>
      </c>
      <c r="E5" s="443">
        <f t="shared" si="0"/>
        <v>25843409.614572931</v>
      </c>
      <c r="F5" s="443">
        <f t="shared" si="0"/>
        <v>30866558.177960698</v>
      </c>
      <c r="G5" s="443">
        <f t="shared" si="0"/>
        <v>35865634.838028476</v>
      </c>
      <c r="H5" s="444">
        <f t="shared" si="0"/>
        <v>90012085.999574065</v>
      </c>
    </row>
    <row r="6" spans="1:8" x14ac:dyDescent="0.2">
      <c r="A6" s="437" t="s">
        <v>320</v>
      </c>
      <c r="B6" s="99">
        <v>0</v>
      </c>
      <c r="C6" s="99">
        <f>+B28</f>
        <v>0</v>
      </c>
      <c r="D6" s="99">
        <f t="shared" ref="D6:G6" si="1">+C28</f>
        <v>4044647.2895208816</v>
      </c>
      <c r="E6" s="99">
        <f t="shared" si="1"/>
        <v>9040249.1337149218</v>
      </c>
      <c r="F6" s="99">
        <f t="shared" si="1"/>
        <v>14063395.672543513</v>
      </c>
      <c r="G6" s="99">
        <f t="shared" si="1"/>
        <v>19062451.768207971</v>
      </c>
      <c r="H6" s="100">
        <v>0</v>
      </c>
    </row>
    <row r="7" spans="1:8" x14ac:dyDescent="0.2">
      <c r="A7" s="437" t="s">
        <v>327</v>
      </c>
      <c r="B7" s="101">
        <f>+'DF-2 Estructura'!B30</f>
        <v>6755631.1199104879</v>
      </c>
      <c r="C7" s="101">
        <f>+'DF-2 Estructura'!C30</f>
        <v>588583.90558730112</v>
      </c>
      <c r="D7" s="99">
        <v>0</v>
      </c>
      <c r="E7" s="99">
        <v>0</v>
      </c>
      <c r="F7" s="99">
        <v>0</v>
      </c>
      <c r="G7" s="99">
        <v>0</v>
      </c>
      <c r="H7" s="102">
        <f>SUM(B7:G7)</f>
        <v>7344215.0254977886</v>
      </c>
    </row>
    <row r="8" spans="1:8" x14ac:dyDescent="0.2">
      <c r="A8" s="437" t="s">
        <v>328</v>
      </c>
      <c r="B8" s="99">
        <f>+'DF-2 Estructura'!B28</f>
        <v>0</v>
      </c>
      <c r="C8" s="99">
        <f>+'DF-2 Estructura'!C28</f>
        <v>909740.7536231894</v>
      </c>
      <c r="D8" s="99">
        <v>0</v>
      </c>
      <c r="E8" s="99">
        <v>0</v>
      </c>
      <c r="F8" s="99">
        <v>0</v>
      </c>
      <c r="G8" s="99">
        <v>0</v>
      </c>
      <c r="H8" s="102">
        <f>SUM(B8:G8)</f>
        <v>909740.7536231894</v>
      </c>
    </row>
    <row r="9" spans="1:8" x14ac:dyDescent="0.2">
      <c r="A9" s="437" t="s">
        <v>329</v>
      </c>
      <c r="B9" s="101">
        <f>+'DF-2 Estructura'!B29</f>
        <v>1795611.9375</v>
      </c>
      <c r="C9" s="101">
        <f>+'DF-2 Estructura'!C29</f>
        <v>0</v>
      </c>
      <c r="D9" s="99">
        <v>0</v>
      </c>
      <c r="E9" s="99">
        <v>0</v>
      </c>
      <c r="F9" s="99">
        <v>0</v>
      </c>
      <c r="G9" s="99">
        <v>0</v>
      </c>
      <c r="H9" s="102">
        <f>SUM(B9:G9)</f>
        <v>1795611.9375</v>
      </c>
    </row>
    <row r="10" spans="1:8" x14ac:dyDescent="0.2">
      <c r="A10" s="437" t="s">
        <v>330</v>
      </c>
      <c r="B10" s="99">
        <v>0</v>
      </c>
      <c r="C10" s="99">
        <f>+'DF-CRes'!B3</f>
        <v>11200000</v>
      </c>
      <c r="D10" s="99">
        <f>+'DF-CRes'!C3</f>
        <v>16800000</v>
      </c>
      <c r="E10" s="99">
        <f>+'DF-CRes'!D3</f>
        <v>16800000</v>
      </c>
      <c r="F10" s="99">
        <f>+'DF-CRes'!E3</f>
        <v>16800000</v>
      </c>
      <c r="G10" s="99">
        <f>+'DF-CRes'!F3</f>
        <v>16800000</v>
      </c>
      <c r="H10" s="102">
        <f>SUM(B10:G10)</f>
        <v>78400000</v>
      </c>
    </row>
    <row r="11" spans="1:8" x14ac:dyDescent="0.2">
      <c r="A11" s="437" t="s">
        <v>331</v>
      </c>
      <c r="B11" s="97">
        <f>+'DF-IVA'!B18</f>
        <v>0</v>
      </c>
      <c r="C11" s="97">
        <f>+'DF-IVA'!C18</f>
        <v>1552433.2205811578</v>
      </c>
      <c r="D11" s="97">
        <f>+'DF-IVA'!D18</f>
        <v>579.00627622433558</v>
      </c>
      <c r="E11" s="97">
        <f>+'DF-IVA'!E18</f>
        <v>3160.4808580106396</v>
      </c>
      <c r="F11" s="97">
        <f>+'DF-IVA'!F18</f>
        <v>3162.5054171857805</v>
      </c>
      <c r="G11" s="97">
        <f>+'DF-IVA'!G18</f>
        <v>3183.0698205116173</v>
      </c>
      <c r="H11" s="102">
        <f>SUM(B11:G11)</f>
        <v>1562518.2829530903</v>
      </c>
    </row>
    <row r="12" spans="1:8" x14ac:dyDescent="0.2">
      <c r="A12" s="437" t="s">
        <v>321</v>
      </c>
      <c r="B12" s="99">
        <v>0</v>
      </c>
      <c r="C12" s="99"/>
      <c r="D12" s="99"/>
      <c r="E12" s="99"/>
      <c r="F12" s="99"/>
      <c r="G12" s="99"/>
      <c r="H12" s="100"/>
    </row>
    <row r="13" spans="1:8" x14ac:dyDescent="0.2">
      <c r="A13" s="437"/>
      <c r="B13" s="21"/>
      <c r="C13" s="21"/>
      <c r="D13" s="21"/>
      <c r="E13" s="21"/>
      <c r="F13" s="21"/>
      <c r="G13" s="21"/>
      <c r="H13" s="23"/>
    </row>
    <row r="14" spans="1:8" x14ac:dyDescent="0.2">
      <c r="A14" s="446" t="s">
        <v>322</v>
      </c>
      <c r="B14" s="103">
        <f>+SUM(B15:B23)</f>
        <v>8551243.0574104879</v>
      </c>
      <c r="C14" s="103">
        <f t="shared" ref="C14:G14" si="2">+SUM(C15:C23)</f>
        <v>10714814.336797414</v>
      </c>
      <c r="D14" s="103">
        <f t="shared" si="2"/>
        <v>12313680.908608833</v>
      </c>
      <c r="E14" s="103">
        <f t="shared" si="2"/>
        <v>12288717.688556068</v>
      </c>
      <c r="F14" s="103">
        <f t="shared" si="2"/>
        <v>12229014.932529375</v>
      </c>
      <c r="G14" s="103">
        <f t="shared" si="2"/>
        <v>11760548.533766495</v>
      </c>
      <c r="H14" s="100">
        <f>SUM(B14:G14)</f>
        <v>67858019.457668677</v>
      </c>
    </row>
    <row r="15" spans="1:8" x14ac:dyDescent="0.2">
      <c r="A15" s="437" t="s">
        <v>221</v>
      </c>
      <c r="B15" s="101">
        <f>+'DF-2 Estructura'!B7</f>
        <v>6857556.8114184169</v>
      </c>
      <c r="C15" s="101">
        <f>+'DF-2 Estructura'!C7</f>
        <v>163608.39246482577</v>
      </c>
      <c r="D15" s="99">
        <v>0</v>
      </c>
      <c r="E15" s="99">
        <v>0</v>
      </c>
      <c r="F15" s="99">
        <v>0</v>
      </c>
      <c r="G15" s="99">
        <v>0</v>
      </c>
      <c r="H15" s="100">
        <f>SUM(B15:G15)</f>
        <v>7021165.2038832428</v>
      </c>
    </row>
    <row r="16" spans="1:8" x14ac:dyDescent="0.2">
      <c r="A16" s="437" t="s">
        <v>250</v>
      </c>
      <c r="B16" s="99">
        <f>+'DF-2 Estructura'!B19</f>
        <v>240687.03768115948</v>
      </c>
      <c r="C16" s="99">
        <f>+'DF-2 Estructura'!C19</f>
        <v>1235282.254475418</v>
      </c>
      <c r="D16" s="99">
        <v>0</v>
      </c>
      <c r="E16" s="99">
        <v>0</v>
      </c>
      <c r="F16" s="99">
        <v>0</v>
      </c>
      <c r="G16" s="99">
        <v>0</v>
      </c>
      <c r="H16" s="100">
        <f>SUM(B16:G16)</f>
        <v>1475969.2921565776</v>
      </c>
    </row>
    <row r="17" spans="1:14" x14ac:dyDescent="0.2">
      <c r="A17" s="437" t="s">
        <v>332</v>
      </c>
      <c r="B17" s="99">
        <v>0</v>
      </c>
      <c r="C17" s="99">
        <f>+'DF-CRes'!B4+'DF-CRes'!B7+'DF-CRes'!B8+'DF-CRes'!B9</f>
        <v>7006183.95381366</v>
      </c>
      <c r="D17" s="99">
        <f>+'DF-CRes'!C4+'DF-CRes'!C7+'DF-CRes'!C8+'DF-CRes'!C9</f>
        <v>8289998.1344096698</v>
      </c>
      <c r="E17" s="99">
        <f>+'DF-CRes'!D4+'DF-CRes'!D7+'DF-CRes'!D8+'DF-CRes'!D9</f>
        <v>8242507.2815914769</v>
      </c>
      <c r="F17" s="99">
        <f>+'DF-CRes'!E4+'DF-CRes'!E7+'DF-CRes'!E8+'DF-CRes'!E9</f>
        <v>8139568.0047192965</v>
      </c>
      <c r="G17" s="99">
        <f>+'DF-CRes'!F4+'DF-CRes'!F7+'DF-CRes'!F8+'DF-CRes'!F9</f>
        <v>8105802.5240447978</v>
      </c>
      <c r="H17" s="100">
        <f>SUM(B17:G17)</f>
        <v>39784059.898578897</v>
      </c>
    </row>
    <row r="18" spans="1:14" x14ac:dyDescent="0.2">
      <c r="A18" s="437" t="s">
        <v>333</v>
      </c>
      <c r="B18" s="99">
        <v>0</v>
      </c>
      <c r="C18" s="99">
        <f>+'DF-CRes'!B12</f>
        <v>1467835.6161652189</v>
      </c>
      <c r="D18" s="99">
        <f>+'DF-CRes'!C12</f>
        <v>2978500.6529566152</v>
      </c>
      <c r="E18" s="99">
        <f>+'DF-CRes'!D12</f>
        <v>2995122.451442983</v>
      </c>
      <c r="F18" s="99">
        <f>+'DF-CRes'!E12</f>
        <v>3031151.1983482456</v>
      </c>
      <c r="G18" s="99">
        <f>+'DF-CRes'!F12</f>
        <v>3042969.116584321</v>
      </c>
      <c r="H18" s="100">
        <f>SUM(B18:G18)</f>
        <v>13515579.035497384</v>
      </c>
    </row>
    <row r="19" spans="1:14" x14ac:dyDescent="0.2">
      <c r="A19" s="437" t="s">
        <v>334</v>
      </c>
      <c r="B19" s="99">
        <v>0</v>
      </c>
      <c r="C19" s="101">
        <f>+'DF-Cred'!$E$18</f>
        <v>448902.984375</v>
      </c>
      <c r="D19" s="101">
        <f>+'DF-Cred'!$E$20</f>
        <v>448902.984375</v>
      </c>
      <c r="E19" s="101">
        <f>+'DF-Cred'!$E$22</f>
        <v>448902.984375</v>
      </c>
      <c r="F19" s="101">
        <f>+'DF-Cred'!$E$24</f>
        <v>448902.984375</v>
      </c>
      <c r="G19" s="101">
        <f>+'DF-Cred'!$E$26</f>
        <v>0</v>
      </c>
      <c r="H19" s="100">
        <f>SUM(B19:G19)</f>
        <v>1795611.9375</v>
      </c>
    </row>
    <row r="20" spans="1:14" x14ac:dyDescent="0.2">
      <c r="A20" s="437" t="s">
        <v>335</v>
      </c>
      <c r="B20" s="99">
        <v>0</v>
      </c>
      <c r="C20" s="99">
        <f>+'DF-CRes'!B11</f>
        <v>293567.12323304382</v>
      </c>
      <c r="D20" s="99">
        <f>+'DF-CRes'!C11</f>
        <v>595700.13059132313</v>
      </c>
      <c r="E20" s="99">
        <f>+'DF-CRes'!D11</f>
        <v>599024.49028859672</v>
      </c>
      <c r="F20" s="99">
        <f>+'DF-CRes'!E11</f>
        <v>606230.23966964916</v>
      </c>
      <c r="G20" s="99">
        <f>+'DF-CRes'!F11</f>
        <v>608593.82331686432</v>
      </c>
      <c r="H20" s="100">
        <f>SUM(B20:G20)</f>
        <v>2703115.8070994774</v>
      </c>
    </row>
    <row r="21" spans="1:14" x14ac:dyDescent="0.2">
      <c r="A21" s="437" t="s">
        <v>323</v>
      </c>
      <c r="B21" s="99">
        <v>0</v>
      </c>
      <c r="C21" s="101">
        <v>0</v>
      </c>
      <c r="D21" s="101">
        <v>0</v>
      </c>
      <c r="E21" s="101">
        <v>0</v>
      </c>
      <c r="F21" s="101">
        <v>0</v>
      </c>
      <c r="G21" s="101">
        <v>0</v>
      </c>
      <c r="H21" s="100">
        <f>SUM(B21:G21)</f>
        <v>0</v>
      </c>
    </row>
    <row r="22" spans="1:14" x14ac:dyDescent="0.2">
      <c r="A22" s="437" t="s">
        <v>336</v>
      </c>
      <c r="B22" s="99">
        <f>+'DF-2 Estructura'!B8+'DF-2 Estructura'!B20</f>
        <v>1452999.208310911</v>
      </c>
      <c r="C22" s="99">
        <f>+'DF-2 Estructura'!C8+'DF-2 Estructura'!C20</f>
        <v>99434.012270246807</v>
      </c>
      <c r="D22" s="99">
        <f>+'DF-IVA'!D16</f>
        <v>579.00627622433558</v>
      </c>
      <c r="E22" s="99">
        <f>+'DF-IVA'!E16</f>
        <v>3160.4808580106396</v>
      </c>
      <c r="F22" s="99">
        <f>+'DF-IVA'!F16</f>
        <v>3162.5054171857805</v>
      </c>
      <c r="G22" s="99">
        <f>+'DF-IVA'!G16</f>
        <v>3183.0698205116173</v>
      </c>
      <c r="H22" s="100">
        <f>SUM(B22:G22)</f>
        <v>1562518.2829530903</v>
      </c>
    </row>
    <row r="23" spans="1:14" x14ac:dyDescent="0.2">
      <c r="A23" s="437" t="s">
        <v>324</v>
      </c>
      <c r="B23" s="99">
        <v>0</v>
      </c>
      <c r="C23" s="99">
        <v>0</v>
      </c>
      <c r="D23" s="99">
        <v>0</v>
      </c>
      <c r="E23" s="99">
        <v>0</v>
      </c>
      <c r="F23" s="99">
        <v>0</v>
      </c>
      <c r="G23" s="99">
        <v>0</v>
      </c>
      <c r="H23" s="100">
        <f>SUM(B23:G23)</f>
        <v>0</v>
      </c>
    </row>
    <row r="24" spans="1:14" x14ac:dyDescent="0.2">
      <c r="A24" s="437"/>
      <c r="B24" s="99"/>
      <c r="C24" s="26"/>
      <c r="D24" s="26"/>
      <c r="E24" s="26"/>
      <c r="F24" s="26"/>
      <c r="G24" s="26"/>
      <c r="H24" s="28"/>
    </row>
    <row r="25" spans="1:14" x14ac:dyDescent="0.2">
      <c r="A25" s="446" t="s">
        <v>325</v>
      </c>
      <c r="B25" s="99">
        <f>+B5-B14</f>
        <v>0</v>
      </c>
      <c r="C25" s="99">
        <f t="shared" ref="C25:H25" si="3">+C5-C14</f>
        <v>3535943.5429942328</v>
      </c>
      <c r="D25" s="99">
        <f t="shared" si="3"/>
        <v>8531545.3871882726</v>
      </c>
      <c r="E25" s="99">
        <f t="shared" si="3"/>
        <v>13554691.926016863</v>
      </c>
      <c r="F25" s="99">
        <f t="shared" si="3"/>
        <v>18637543.245431323</v>
      </c>
      <c r="G25" s="99">
        <f t="shared" si="3"/>
        <v>24105086.304261982</v>
      </c>
      <c r="H25" s="100">
        <f t="shared" si="3"/>
        <v>22154066.541905388</v>
      </c>
    </row>
    <row r="26" spans="1:14" x14ac:dyDescent="0.2">
      <c r="A26" s="446" t="s">
        <v>337</v>
      </c>
      <c r="B26" s="99">
        <v>0</v>
      </c>
      <c r="C26" s="21">
        <f>+'E-Inv AF y Am'!$D$55+('DF-Cred'!$G$15+'DF-Cred'!$I$15)/3</f>
        <v>508703.74652664858</v>
      </c>
      <c r="D26" s="21">
        <f>+'E-Inv AF y Am'!$D$55+('DF-Cred'!$G$15+'DF-Cred'!$I$15)/3</f>
        <v>508703.74652664858</v>
      </c>
      <c r="E26" s="21">
        <f>+'E-Inv AF y Am'!$D$55+('DF-Cred'!$G$15+'DF-Cred'!$I$15)/3</f>
        <v>508703.74652664858</v>
      </c>
      <c r="F26" s="21">
        <f>+'E-Inv AF y Am'!$E$55</f>
        <v>424908.52277664858</v>
      </c>
      <c r="G26" s="21">
        <f>+'E-Inv AF y Am'!$E$55</f>
        <v>424908.52277664858</v>
      </c>
      <c r="H26" s="100">
        <f>SUM(B26:G26)</f>
        <v>2375928.2851332431</v>
      </c>
    </row>
    <row r="27" spans="1:14" x14ac:dyDescent="0.2">
      <c r="A27" s="446"/>
      <c r="B27" s="99"/>
      <c r="C27" s="26"/>
      <c r="D27" s="26"/>
      <c r="E27" s="26"/>
      <c r="F27" s="26"/>
      <c r="G27" s="26"/>
      <c r="H27" s="28"/>
    </row>
    <row r="28" spans="1:14" x14ac:dyDescent="0.2">
      <c r="A28" s="446" t="s">
        <v>326</v>
      </c>
      <c r="B28" s="99">
        <v>0</v>
      </c>
      <c r="C28" s="99">
        <f>+C26+C25</f>
        <v>4044647.2895208816</v>
      </c>
      <c r="D28" s="99">
        <f t="shared" ref="D28:G28" si="4">+D26+D25</f>
        <v>9040249.1337149218</v>
      </c>
      <c r="E28" s="99">
        <f t="shared" si="4"/>
        <v>14063395.672543513</v>
      </c>
      <c r="F28" s="99">
        <f t="shared" si="4"/>
        <v>19062451.768207971</v>
      </c>
      <c r="G28" s="99">
        <f t="shared" si="4"/>
        <v>24529994.827038631</v>
      </c>
      <c r="H28" s="104">
        <f>+H26+H25</f>
        <v>24529994.827038631</v>
      </c>
    </row>
    <row r="29" spans="1:14" ht="13.5" thickBot="1" x14ac:dyDescent="0.25">
      <c r="A29" s="186" t="s">
        <v>339</v>
      </c>
      <c r="B29" s="447">
        <v>0</v>
      </c>
      <c r="C29" s="447">
        <f>+C28-B28</f>
        <v>4044647.2895208816</v>
      </c>
      <c r="D29" s="447">
        <f t="shared" ref="D29:G29" si="5">+D28-C28</f>
        <v>4995601.8441940397</v>
      </c>
      <c r="E29" s="447">
        <f t="shared" si="5"/>
        <v>5023146.5388285909</v>
      </c>
      <c r="F29" s="447">
        <f t="shared" si="5"/>
        <v>4999056.0956644583</v>
      </c>
      <c r="G29" s="447">
        <f t="shared" si="5"/>
        <v>5467543.0588306598</v>
      </c>
      <c r="H29" s="448">
        <f>SUM(B29:G29)</f>
        <v>24529994.827038631</v>
      </c>
      <c r="I29" s="32"/>
      <c r="J29" s="32"/>
      <c r="K29" s="32"/>
      <c r="L29" s="32"/>
      <c r="M29" s="32"/>
      <c r="N29" s="32"/>
    </row>
    <row r="30" spans="1:14" ht="13.5" thickTop="1" x14ac:dyDescent="0.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3" spans="1:1" x14ac:dyDescent="0.2">
      <c r="A33" s="29"/>
    </row>
    <row r="42" spans="1:1" x14ac:dyDescent="0.2">
      <c r="A42" s="29"/>
    </row>
    <row r="53" spans="1:1" x14ac:dyDescent="0.2">
      <c r="A53" s="29"/>
    </row>
    <row r="54" spans="1:1" x14ac:dyDescent="0.2">
      <c r="A54" s="29"/>
    </row>
    <row r="55" spans="1:1" x14ac:dyDescent="0.2">
      <c r="A55" s="29"/>
    </row>
    <row r="56" spans="1:1" x14ac:dyDescent="0.2">
      <c r="A56" s="29"/>
    </row>
    <row r="57" spans="1:1" x14ac:dyDescent="0.2">
      <c r="A57" s="29"/>
    </row>
  </sheetData>
  <pageMargins left="0.32" right="0.75" top="0.6" bottom="0.24" header="0" footer="0"/>
  <pageSetup paperSize="9" scale="64" fitToHeight="4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2:G71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37.7109375" style="32" bestFit="1" customWidth="1"/>
    <col min="2" max="2" width="14.85546875" style="32" customWidth="1"/>
    <col min="3" max="3" width="15.42578125" style="32" bestFit="1" customWidth="1"/>
    <col min="4" max="7" width="14.85546875" style="32" customWidth="1"/>
    <col min="8" max="8" width="17.42578125" style="32" bestFit="1" customWidth="1"/>
    <col min="9" max="16384" width="11.42578125" style="32"/>
  </cols>
  <sheetData>
    <row r="2" spans="1:7" ht="13.5" thickBot="1" x14ac:dyDescent="0.25"/>
    <row r="3" spans="1:7" ht="16.5" thickTop="1" x14ac:dyDescent="0.25">
      <c r="A3" s="198" t="s">
        <v>367</v>
      </c>
      <c r="B3" s="199"/>
      <c r="C3" s="199"/>
      <c r="D3" s="199"/>
      <c r="E3" s="199"/>
      <c r="F3" s="199"/>
      <c r="G3" s="199"/>
    </row>
    <row r="4" spans="1:7" ht="13.5" thickBot="1" x14ac:dyDescent="0.25">
      <c r="A4" s="201"/>
      <c r="B4" s="202" t="s">
        <v>23</v>
      </c>
      <c r="C4" s="202" t="s">
        <v>24</v>
      </c>
      <c r="D4" s="202" t="s">
        <v>25</v>
      </c>
      <c r="E4" s="202" t="s">
        <v>26</v>
      </c>
      <c r="F4" s="202" t="s">
        <v>27</v>
      </c>
      <c r="G4" s="202" t="s">
        <v>28</v>
      </c>
    </row>
    <row r="5" spans="1:7" ht="13.5" thickTop="1" x14ac:dyDescent="0.2">
      <c r="A5" s="203" t="s">
        <v>340</v>
      </c>
      <c r="B5" s="449">
        <f>+SUM(B7:B11)</f>
        <v>240687.03768115948</v>
      </c>
      <c r="C5" s="449">
        <f t="shared" ref="C5:G5" si="0">+SUM(C7:C11)</f>
        <v>7140302.025483611</v>
      </c>
      <c r="D5" s="449">
        <f t="shared" si="0"/>
        <v>11153144.06731854</v>
      </c>
      <c r="E5" s="449">
        <f t="shared" si="0"/>
        <v>16176290.606147131</v>
      </c>
      <c r="F5" s="449">
        <f t="shared" si="0"/>
        <v>21175248.944965214</v>
      </c>
      <c r="G5" s="449">
        <f t="shared" si="0"/>
        <v>26642792.003795873</v>
      </c>
    </row>
    <row r="6" spans="1:7" x14ac:dyDescent="0.2">
      <c r="A6" s="184" t="s">
        <v>341</v>
      </c>
      <c r="B6" s="36"/>
      <c r="C6" s="36"/>
      <c r="D6" s="36"/>
      <c r="E6" s="36"/>
      <c r="F6" s="36"/>
      <c r="G6" s="36"/>
    </row>
    <row r="7" spans="1:7" x14ac:dyDescent="0.2">
      <c r="A7" s="204" t="s">
        <v>352</v>
      </c>
      <c r="B7" s="101">
        <f>+'E-InvAT'!B4</f>
        <v>179200</v>
      </c>
      <c r="C7" s="101">
        <f>+'E-InvAT'!C4</f>
        <v>224000</v>
      </c>
      <c r="D7" s="101">
        <f>+'E-InvAT'!D4</f>
        <v>336000</v>
      </c>
      <c r="E7" s="101">
        <f>+'E-InvAT'!E4</f>
        <v>336000</v>
      </c>
      <c r="F7" s="101">
        <f>+'E-InvAT'!F4</f>
        <v>336000</v>
      </c>
      <c r="G7" s="101">
        <f>+'E-InvAT'!G4</f>
        <v>336000</v>
      </c>
    </row>
    <row r="8" spans="1:7" x14ac:dyDescent="0.2">
      <c r="A8" s="204" t="s">
        <v>353</v>
      </c>
      <c r="B8" s="99">
        <f>+'DF- CFyU'!B28</f>
        <v>0</v>
      </c>
      <c r="C8" s="99">
        <f>+'DF- CFyU'!C28</f>
        <v>4044647.2895208816</v>
      </c>
      <c r="D8" s="99">
        <f>+'DF- CFyU'!D28</f>
        <v>9040249.1337149218</v>
      </c>
      <c r="E8" s="99">
        <f>+'DF- CFyU'!E28</f>
        <v>14063395.672543513</v>
      </c>
      <c r="F8" s="99">
        <f>+'DF- CFyU'!F28</f>
        <v>19062451.768207971</v>
      </c>
      <c r="G8" s="99">
        <f>+'DF- CFyU'!G28</f>
        <v>24529994.827038631</v>
      </c>
    </row>
    <row r="9" spans="1:7" x14ac:dyDescent="0.2">
      <c r="A9" s="184" t="s">
        <v>354</v>
      </c>
      <c r="B9" s="101">
        <f>+'E-InvAT'!B5</f>
        <v>0</v>
      </c>
      <c r="C9" s="101">
        <f>+'E-InvAT'!C5</f>
        <v>920547.94520547939</v>
      </c>
      <c r="D9" s="101">
        <f>+'E-InvAT'!D5</f>
        <v>1380821.9178082191</v>
      </c>
      <c r="E9" s="101">
        <f>+'E-InvAT'!E5</f>
        <v>1380821.9178082191</v>
      </c>
      <c r="F9" s="101">
        <f>+'E-InvAT'!F5</f>
        <v>1380821.9178082191</v>
      </c>
      <c r="G9" s="101">
        <f>+'E-InvAT'!G5</f>
        <v>1380821.9178082191</v>
      </c>
    </row>
    <row r="10" spans="1:7" x14ac:dyDescent="0.2">
      <c r="A10" s="184" t="s">
        <v>355</v>
      </c>
      <c r="B10" s="99">
        <f>+SUM('E-InvAT'!B8+'E-InvAT'!B9+'E-InvAT'!B10+'E-InvAT'!B11)</f>
        <v>61487.037681159476</v>
      </c>
      <c r="C10" s="99">
        <f>+SUM('E-InvAT'!C8+'E-InvAT'!C9+'E-InvAT'!C10+'E-InvAT'!C11)</f>
        <v>398673.57017609093</v>
      </c>
      <c r="D10" s="99">
        <f>+SUM('E-InvAT'!D8+'E-InvAT'!D9+'E-InvAT'!D10+'E-InvAT'!D11)</f>
        <v>396073.01579539792</v>
      </c>
      <c r="E10" s="99">
        <f>+SUM('E-InvAT'!E8+'E-InvAT'!E9+'E-InvAT'!E10+'E-InvAT'!E11)</f>
        <v>396073.01579539792</v>
      </c>
      <c r="F10" s="99">
        <f>+SUM('E-InvAT'!F8+'E-InvAT'!F9+'E-InvAT'!F10+'E-InvAT'!F11)</f>
        <v>395975.25894902402</v>
      </c>
      <c r="G10" s="99">
        <f>+SUM('E-InvAT'!G8+'E-InvAT'!G9+'E-InvAT'!G10+'E-InvAT'!G11)</f>
        <v>395975.25894902402</v>
      </c>
    </row>
    <row r="11" spans="1:7" x14ac:dyDescent="0.2">
      <c r="A11" s="184" t="s">
        <v>356</v>
      </c>
      <c r="B11" s="99">
        <f>IF('DF-IVA'!B15=0,0,'DF-IVA'!B18)</f>
        <v>0</v>
      </c>
      <c r="C11" s="99">
        <f>IF('DF-IVA'!C15=0,0,'DF-IVA'!C18)</f>
        <v>1552433.2205811578</v>
      </c>
      <c r="D11" s="99">
        <f>IF('DF-IVA'!D15=0,0,'DF-IVA'!D18)</f>
        <v>0</v>
      </c>
      <c r="E11" s="99">
        <f>IF('DF-IVA'!E15=0,0,'DF-IVA'!E18)</f>
        <v>0</v>
      </c>
      <c r="F11" s="99">
        <f>IF('DF-IVA'!F15=0,0,'DF-IVA'!F18)</f>
        <v>0</v>
      </c>
      <c r="G11" s="99">
        <f>IF('DF-IVA'!G15=0,0,'DF-IVA'!G18)</f>
        <v>0</v>
      </c>
    </row>
    <row r="12" spans="1:7" x14ac:dyDescent="0.2">
      <c r="A12" s="184" t="s">
        <v>342</v>
      </c>
      <c r="B12" s="103">
        <f>+B17+B22+B23</f>
        <v>6857556.8114184169</v>
      </c>
      <c r="C12" s="103">
        <f t="shared" ref="C12:G12" si="1">+C17+C22+C23</f>
        <v>6348853.0648917686</v>
      </c>
      <c r="D12" s="103">
        <f t="shared" si="1"/>
        <v>5840149.3183651213</v>
      </c>
      <c r="E12" s="103">
        <f t="shared" si="1"/>
        <v>5331445.571838473</v>
      </c>
      <c r="F12" s="103">
        <f t="shared" si="1"/>
        <v>4906537.0490618246</v>
      </c>
      <c r="G12" s="103">
        <f t="shared" si="1"/>
        <v>4481628.5262851762</v>
      </c>
    </row>
    <row r="13" spans="1:7" x14ac:dyDescent="0.2">
      <c r="A13" s="184" t="s">
        <v>343</v>
      </c>
      <c r="B13" s="37"/>
      <c r="C13" s="37"/>
      <c r="D13" s="37"/>
      <c r="E13" s="37"/>
      <c r="F13" s="37"/>
      <c r="G13" s="37"/>
    </row>
    <row r="14" spans="1:7" x14ac:dyDescent="0.2">
      <c r="A14" s="204" t="s">
        <v>357</v>
      </c>
      <c r="B14" s="99">
        <f>+'E-Inv AF y Am'!B30-'E-Inv AF y Am'!B26+('DF-Cred'!G15+'DF-Cred'!I15)</f>
        <v>413407.56141841714</v>
      </c>
      <c r="C14" s="99">
        <f>+B17</f>
        <v>413407.56141841714</v>
      </c>
      <c r="D14" s="99">
        <f t="shared" ref="D14:G14" si="2">+C17</f>
        <v>264486.28114176856</v>
      </c>
      <c r="E14" s="99">
        <f t="shared" si="2"/>
        <v>115565.00086511998</v>
      </c>
      <c r="F14" s="99">
        <f t="shared" si="2"/>
        <v>-33356.279411528609</v>
      </c>
      <c r="G14" s="99">
        <f t="shared" si="2"/>
        <v>-98482.335938177188</v>
      </c>
    </row>
    <row r="15" spans="1:7" x14ac:dyDescent="0.2">
      <c r="A15" s="204" t="s">
        <v>359</v>
      </c>
      <c r="B15" s="99">
        <v>0</v>
      </c>
      <c r="C15" s="99"/>
      <c r="D15" s="99">
        <v>0</v>
      </c>
      <c r="E15" s="99">
        <v>0</v>
      </c>
      <c r="F15" s="99">
        <v>0</v>
      </c>
      <c r="G15" s="99">
        <v>0</v>
      </c>
    </row>
    <row r="16" spans="1:7" x14ac:dyDescent="0.2">
      <c r="A16" s="204" t="s">
        <v>360</v>
      </c>
      <c r="B16" s="99">
        <v>0</v>
      </c>
      <c r="C16" s="99">
        <f>+'E-Inv AF y Am'!$D$53+('DF-Cred'!$G$15+'DF-Cred'!$I$15)/3</f>
        <v>148921.28027664858</v>
      </c>
      <c r="D16" s="99">
        <f>+'E-Inv AF y Am'!$D$53+('DF-Cred'!$G$15+'DF-Cred'!$I$15)/3</f>
        <v>148921.28027664858</v>
      </c>
      <c r="E16" s="99">
        <f>+'E-Inv AF y Am'!$D$53+('DF-Cred'!$G$15+'DF-Cred'!$I$15)/3</f>
        <v>148921.28027664858</v>
      </c>
      <c r="F16" s="99">
        <f>+'E-Inv AF y Am'!$E$53</f>
        <v>65126.056526648579</v>
      </c>
      <c r="G16" s="99">
        <f>+'E-Inv AF y Am'!$E$53</f>
        <v>65126.056526648579</v>
      </c>
    </row>
    <row r="17" spans="1:7" x14ac:dyDescent="0.2">
      <c r="A17" s="204" t="s">
        <v>344</v>
      </c>
      <c r="B17" s="99">
        <f>+B14+B15-B16</f>
        <v>413407.56141841714</v>
      </c>
      <c r="C17" s="99">
        <f>+C14+C15-C16</f>
        <v>264486.28114176856</v>
      </c>
      <c r="D17" s="99">
        <f t="shared" ref="D17:G17" si="3">+D14+D15-D16</f>
        <v>115565.00086511998</v>
      </c>
      <c r="E17" s="99">
        <f t="shared" si="3"/>
        <v>-33356.279411528609</v>
      </c>
      <c r="F17" s="99">
        <f t="shared" si="3"/>
        <v>-98482.335938177188</v>
      </c>
      <c r="G17" s="99">
        <f t="shared" si="3"/>
        <v>-163608.39246482577</v>
      </c>
    </row>
    <row r="18" spans="1:7" x14ac:dyDescent="0.2">
      <c r="A18" s="184" t="s">
        <v>1</v>
      </c>
      <c r="B18" s="101"/>
      <c r="C18" s="101"/>
      <c r="D18" s="101"/>
      <c r="E18" s="101"/>
      <c r="F18" s="101"/>
      <c r="G18" s="101"/>
    </row>
    <row r="19" spans="1:7" x14ac:dyDescent="0.2">
      <c r="A19" s="204" t="s">
        <v>357</v>
      </c>
      <c r="B19" s="99">
        <f>+'E-Inv AF y Am'!B51</f>
        <v>6444149.25</v>
      </c>
      <c r="C19" s="99">
        <f>+B22</f>
        <v>6444149.25</v>
      </c>
      <c r="D19" s="99">
        <f t="shared" ref="D19:G19" si="4">+C22</f>
        <v>6084366.7837500004</v>
      </c>
      <c r="E19" s="99">
        <f t="shared" si="4"/>
        <v>5724584.3175000008</v>
      </c>
      <c r="F19" s="99">
        <f t="shared" si="4"/>
        <v>5364801.8512500012</v>
      </c>
      <c r="G19" s="99">
        <f t="shared" si="4"/>
        <v>5005019.3850000016</v>
      </c>
    </row>
    <row r="20" spans="1:7" x14ac:dyDescent="0.2">
      <c r="A20" s="204" t="s">
        <v>361</v>
      </c>
      <c r="B20" s="99">
        <v>0</v>
      </c>
      <c r="C20" s="99">
        <f>+'E-Cal Inv.'!D4</f>
        <v>0</v>
      </c>
      <c r="D20" s="99">
        <f>+'E-Cal Inv.'!E4</f>
        <v>0</v>
      </c>
      <c r="E20" s="99">
        <f>+'E-Cal Inv.'!F4</f>
        <v>0</v>
      </c>
      <c r="F20" s="99">
        <f>+'E-Cal Inv.'!G4</f>
        <v>0</v>
      </c>
      <c r="G20" s="99">
        <f>+'E-Cal Inv.'!H4</f>
        <v>0</v>
      </c>
    </row>
    <row r="21" spans="1:7" x14ac:dyDescent="0.2">
      <c r="A21" s="204" t="s">
        <v>362</v>
      </c>
      <c r="B21" s="99">
        <v>0</v>
      </c>
      <c r="C21" s="99">
        <f>+'E-Inv AF y Am'!$D$51</f>
        <v>359782.46625</v>
      </c>
      <c r="D21" s="99">
        <f>+'E-Inv AF y Am'!$D$51</f>
        <v>359782.46625</v>
      </c>
      <c r="E21" s="99">
        <f>+'E-Inv AF y Am'!$D$51</f>
        <v>359782.46625</v>
      </c>
      <c r="F21" s="99">
        <f>+'E-Inv AF y Am'!$E$51</f>
        <v>359782.46625</v>
      </c>
      <c r="G21" s="99">
        <f>+'E-Inv AF y Am'!$E$51</f>
        <v>359782.46625</v>
      </c>
    </row>
    <row r="22" spans="1:7" x14ac:dyDescent="0.2">
      <c r="A22" s="204" t="s">
        <v>344</v>
      </c>
      <c r="B22" s="101">
        <f>+B19+B20-B21</f>
        <v>6444149.25</v>
      </c>
      <c r="C22" s="101">
        <f>+C19+C20-C21</f>
        <v>6084366.7837500004</v>
      </c>
      <c r="D22" s="101">
        <f t="shared" ref="D22:G22" si="5">+D19+D20-D21</f>
        <v>5724584.3175000008</v>
      </c>
      <c r="E22" s="101">
        <f t="shared" si="5"/>
        <v>5364801.8512500012</v>
      </c>
      <c r="F22" s="101">
        <f t="shared" si="5"/>
        <v>5005019.3850000016</v>
      </c>
      <c r="G22" s="101">
        <f t="shared" si="5"/>
        <v>4645236.918750002</v>
      </c>
    </row>
    <row r="23" spans="1:7" x14ac:dyDescent="0.2">
      <c r="A23" s="184" t="s">
        <v>363</v>
      </c>
      <c r="B23" s="101">
        <f>IF('DF-IVA'!B15-B11&lt;0,0,'DF-IVA'!B15-B11)</f>
        <v>0</v>
      </c>
      <c r="C23" s="101">
        <f>IF('DF-IVA'!C15-C11&lt;0,0,'DF-IVA'!C15-C11)</f>
        <v>0</v>
      </c>
      <c r="D23" s="101">
        <f>IF('DF-IVA'!D15-D11&lt;0,0,'DF-IVA'!D15-D11)</f>
        <v>0</v>
      </c>
      <c r="E23" s="101">
        <f>IF('DF-IVA'!E15-E11&lt;0,0,'DF-IVA'!E15-E11)</f>
        <v>0</v>
      </c>
      <c r="F23" s="101">
        <f>IF('DF-IVA'!F15-F11&lt;0,0,'DF-IVA'!F15-F11)</f>
        <v>0</v>
      </c>
      <c r="G23" s="101">
        <f>IF('DF-IVA'!G15-G11&lt;0,0,'DF-IVA'!G15-G11)</f>
        <v>0</v>
      </c>
    </row>
    <row r="24" spans="1:7" x14ac:dyDescent="0.2">
      <c r="A24" s="184" t="s">
        <v>345</v>
      </c>
      <c r="B24" s="487">
        <f>+B12+B5</f>
        <v>7098243.8490995765</v>
      </c>
      <c r="C24" s="487">
        <f t="shared" ref="C24:G24" si="6">+C12+C5</f>
        <v>13489155.090375379</v>
      </c>
      <c r="D24" s="487">
        <f t="shared" si="6"/>
        <v>16993293.385683663</v>
      </c>
      <c r="E24" s="487">
        <f t="shared" si="6"/>
        <v>21507736.177985605</v>
      </c>
      <c r="F24" s="487">
        <f t="shared" si="6"/>
        <v>26081785.994027037</v>
      </c>
      <c r="G24" s="487">
        <f t="shared" si="6"/>
        <v>31124420.530081049</v>
      </c>
    </row>
    <row r="25" spans="1:7" x14ac:dyDescent="0.2">
      <c r="A25" s="184" t="s">
        <v>346</v>
      </c>
      <c r="B25" s="450">
        <f>+B26+B27</f>
        <v>448902.984375</v>
      </c>
      <c r="C25" s="450">
        <f t="shared" ref="C25:G25" si="7">+C26+C27</f>
        <v>1358643.7379981894</v>
      </c>
      <c r="D25" s="450">
        <f t="shared" si="7"/>
        <v>1358643.7379981894</v>
      </c>
      <c r="E25" s="450">
        <f t="shared" si="7"/>
        <v>1358643.7379981894</v>
      </c>
      <c r="F25" s="450">
        <f t="shared" si="7"/>
        <v>909740.7536231894</v>
      </c>
      <c r="G25" s="450" t="e">
        <f t="shared" si="7"/>
        <v>#REF!</v>
      </c>
    </row>
    <row r="26" spans="1:7" x14ac:dyDescent="0.2">
      <c r="A26" s="184" t="s">
        <v>364</v>
      </c>
      <c r="B26" s="99">
        <v>0</v>
      </c>
      <c r="C26" s="101">
        <f>+'DF-2 Estructura'!$C$28</f>
        <v>909740.7536231894</v>
      </c>
      <c r="D26" s="101">
        <f>+'DF-2 Estructura'!$C$28</f>
        <v>909740.7536231894</v>
      </c>
      <c r="E26" s="101">
        <f>+'DF-2 Estructura'!$C$28</f>
        <v>909740.7536231894</v>
      </c>
      <c r="F26" s="101">
        <f>+'DF-2 Estructura'!$C$28</f>
        <v>909740.7536231894</v>
      </c>
      <c r="G26" s="101">
        <f>+'DF-2 Estructura'!$C$28</f>
        <v>909740.7536231894</v>
      </c>
    </row>
    <row r="27" spans="1:7" x14ac:dyDescent="0.2">
      <c r="A27" s="184" t="s">
        <v>365</v>
      </c>
      <c r="B27" s="99">
        <f>+'DF-Cred'!$E18</f>
        <v>448902.984375</v>
      </c>
      <c r="C27" s="99">
        <f>+'DF-Cred'!$E20</f>
        <v>448902.984375</v>
      </c>
      <c r="D27" s="99">
        <f>+'DF-Cred'!$E22</f>
        <v>448902.984375</v>
      </c>
      <c r="E27" s="99">
        <f>+'DF-Cred'!$E24</f>
        <v>448902.984375</v>
      </c>
      <c r="F27" s="99">
        <f>+'DF-Cred'!$E26</f>
        <v>0</v>
      </c>
      <c r="G27" s="99" t="e">
        <f>+'DF-Cred'!#REF!</f>
        <v>#REF!</v>
      </c>
    </row>
    <row r="28" spans="1:7" x14ac:dyDescent="0.2">
      <c r="A28" s="184" t="s">
        <v>347</v>
      </c>
      <c r="B28" s="103">
        <f>+B29</f>
        <v>1346708.953125</v>
      </c>
      <c r="C28" s="103">
        <f t="shared" ref="C28:G28" si="8">+C29</f>
        <v>897805.96875</v>
      </c>
      <c r="D28" s="103">
        <f t="shared" si="8"/>
        <v>448902.984375</v>
      </c>
      <c r="E28" s="103">
        <f t="shared" si="8"/>
        <v>0</v>
      </c>
      <c r="F28" s="103">
        <f t="shared" si="8"/>
        <v>0</v>
      </c>
      <c r="G28" s="103" t="e">
        <f t="shared" si="8"/>
        <v>#REF!</v>
      </c>
    </row>
    <row r="29" spans="1:7" x14ac:dyDescent="0.2">
      <c r="A29" s="184" t="s">
        <v>365</v>
      </c>
      <c r="B29" s="101">
        <f>+'DF-Cred'!$E$29-'DF-Balance'!B27</f>
        <v>1346708.953125</v>
      </c>
      <c r="C29" s="101">
        <f>+B29-C27</f>
        <v>897805.96875</v>
      </c>
      <c r="D29" s="101">
        <f t="shared" ref="D29:G29" si="9">+C29-D27</f>
        <v>448902.984375</v>
      </c>
      <c r="E29" s="101">
        <f t="shared" si="9"/>
        <v>0</v>
      </c>
      <c r="F29" s="101">
        <f t="shared" si="9"/>
        <v>0</v>
      </c>
      <c r="G29" s="101" t="e">
        <f t="shared" si="9"/>
        <v>#REF!</v>
      </c>
    </row>
    <row r="30" spans="1:7" x14ac:dyDescent="0.2">
      <c r="A30" s="184" t="s">
        <v>348</v>
      </c>
      <c r="B30" s="103">
        <f>+B28+B25</f>
        <v>1795611.9375</v>
      </c>
      <c r="C30" s="103">
        <f t="shared" ref="C30:G30" si="10">+C28+C25</f>
        <v>2256449.7067481894</v>
      </c>
      <c r="D30" s="103">
        <f t="shared" si="10"/>
        <v>1807546.7223731894</v>
      </c>
      <c r="E30" s="103">
        <f t="shared" si="10"/>
        <v>1358643.7379981894</v>
      </c>
      <c r="F30" s="103">
        <f t="shared" si="10"/>
        <v>909740.7536231894</v>
      </c>
      <c r="G30" s="103" t="e">
        <f t="shared" si="10"/>
        <v>#REF!</v>
      </c>
    </row>
    <row r="31" spans="1:7" x14ac:dyDescent="0.2">
      <c r="A31" s="184" t="s">
        <v>349</v>
      </c>
      <c r="B31" s="103">
        <f>+B24-B30</f>
        <v>5302631.9115995765</v>
      </c>
      <c r="C31" s="103">
        <f t="shared" ref="C31:G31" si="11">+C24-C30</f>
        <v>11232705.383627189</v>
      </c>
      <c r="D31" s="103">
        <f t="shared" si="11"/>
        <v>15185746.663310474</v>
      </c>
      <c r="E31" s="103">
        <f t="shared" si="11"/>
        <v>20149092.439987414</v>
      </c>
      <c r="F31" s="103">
        <f t="shared" si="11"/>
        <v>25172045.240403846</v>
      </c>
      <c r="G31" s="103" t="e">
        <f t="shared" si="11"/>
        <v>#REF!</v>
      </c>
    </row>
    <row r="32" spans="1:7" x14ac:dyDescent="0.2">
      <c r="A32" s="184" t="s">
        <v>366</v>
      </c>
      <c r="B32" s="99">
        <f>+B31</f>
        <v>5302631.9115995765</v>
      </c>
      <c r="C32" s="99">
        <f>+'DF-2 Estructura'!$D$30</f>
        <v>7344215.0254977886</v>
      </c>
      <c r="D32" s="99">
        <f>+'DF-2 Estructura'!$D$30</f>
        <v>7344215.0254977886</v>
      </c>
      <c r="E32" s="99">
        <f>+'DF-2 Estructura'!$D$30</f>
        <v>7344215.0254977886</v>
      </c>
      <c r="F32" s="99">
        <f>+'DF-2 Estructura'!$D$30</f>
        <v>7344215.0254977886</v>
      </c>
      <c r="G32" s="99">
        <f>+'DF-2 Estructura'!$D$30</f>
        <v>7344215.0254977886</v>
      </c>
    </row>
    <row r="33" spans="1:7" x14ac:dyDescent="0.2">
      <c r="A33" s="184" t="s">
        <v>358</v>
      </c>
      <c r="B33" s="99">
        <v>0</v>
      </c>
      <c r="C33" s="101">
        <f>+'DF-CRes'!B13</f>
        <v>2432413.3067880766</v>
      </c>
      <c r="D33" s="101">
        <f>+'DF-CRes'!C13</f>
        <v>4935801.0820423923</v>
      </c>
      <c r="E33" s="101">
        <f>+'DF-CRes'!D13</f>
        <v>4963345.7766769435</v>
      </c>
      <c r="F33" s="101">
        <f>+'DF-CRes'!E13</f>
        <v>5023050.5572628072</v>
      </c>
      <c r="G33" s="101">
        <f>+'DF-CRes'!F13</f>
        <v>5042634.536054018</v>
      </c>
    </row>
    <row r="34" spans="1:7" x14ac:dyDescent="0.2">
      <c r="A34" s="184" t="s">
        <v>350</v>
      </c>
      <c r="B34" s="99">
        <v>0</v>
      </c>
      <c r="C34" s="99">
        <f>+B34+B33</f>
        <v>0</v>
      </c>
      <c r="D34" s="99">
        <f t="shared" ref="D34:G34" si="12">+C34+C33</f>
        <v>2432413.3067880766</v>
      </c>
      <c r="E34" s="99">
        <f t="shared" si="12"/>
        <v>7368214.388830469</v>
      </c>
      <c r="F34" s="99">
        <f t="shared" si="12"/>
        <v>12331560.165507413</v>
      </c>
      <c r="G34" s="99">
        <f t="shared" si="12"/>
        <v>17354610.722770222</v>
      </c>
    </row>
    <row r="35" spans="1:7" ht="13.5" thickBot="1" x14ac:dyDescent="0.25">
      <c r="A35" s="186" t="s">
        <v>351</v>
      </c>
      <c r="B35" s="488">
        <f>+B31+B30</f>
        <v>7098243.8490995765</v>
      </c>
      <c r="C35" s="488">
        <f t="shared" ref="C35:G35" si="13">+C31+C30</f>
        <v>13489155.090375379</v>
      </c>
      <c r="D35" s="488">
        <f t="shared" si="13"/>
        <v>16993293.385683663</v>
      </c>
      <c r="E35" s="488">
        <f t="shared" si="13"/>
        <v>21507736.177985601</v>
      </c>
      <c r="F35" s="488">
        <f t="shared" si="13"/>
        <v>26081785.994027033</v>
      </c>
      <c r="G35" s="488" t="e">
        <f t="shared" si="13"/>
        <v>#REF!</v>
      </c>
    </row>
    <row r="36" spans="1:7" ht="13.5" thickTop="1" x14ac:dyDescent="0.2">
      <c r="B36" s="451"/>
      <c r="C36" s="451"/>
      <c r="D36" s="451"/>
      <c r="E36" s="451"/>
      <c r="F36" s="451"/>
      <c r="G36" s="451"/>
    </row>
    <row r="39" spans="1:7" x14ac:dyDescent="0.2">
      <c r="A39" s="30"/>
    </row>
    <row r="41" spans="1:7" x14ac:dyDescent="0.2">
      <c r="A41" s="30"/>
    </row>
    <row r="42" spans="1:7" x14ac:dyDescent="0.2">
      <c r="A42" s="30"/>
    </row>
    <row r="45" spans="1:7" x14ac:dyDescent="0.2">
      <c r="A45" s="30"/>
    </row>
    <row r="46" spans="1:7" x14ac:dyDescent="0.2">
      <c r="A46" s="30"/>
    </row>
    <row r="47" spans="1:7" x14ac:dyDescent="0.2">
      <c r="A47" s="30"/>
    </row>
    <row r="48" spans="1:7" x14ac:dyDescent="0.2">
      <c r="A48" s="30"/>
    </row>
    <row r="49" spans="1:1" x14ac:dyDescent="0.2">
      <c r="A49" s="30"/>
    </row>
    <row r="54" spans="1:1" x14ac:dyDescent="0.2">
      <c r="A54" s="30"/>
    </row>
    <row r="59" spans="1:1" x14ac:dyDescent="0.2">
      <c r="A59" s="30"/>
    </row>
    <row r="60" spans="1:1" x14ac:dyDescent="0.2">
      <c r="A60" s="30"/>
    </row>
    <row r="61" spans="1:1" x14ac:dyDescent="0.2">
      <c r="A61" s="30"/>
    </row>
    <row r="62" spans="1:1" x14ac:dyDescent="0.2">
      <c r="A62" s="30"/>
    </row>
    <row r="63" spans="1:1" x14ac:dyDescent="0.2">
      <c r="A63" s="30"/>
    </row>
    <row r="64" spans="1:1" x14ac:dyDescent="0.2">
      <c r="A64" s="30"/>
    </row>
    <row r="65" spans="1:1" x14ac:dyDescent="0.2">
      <c r="A65" s="30"/>
    </row>
    <row r="66" spans="1:1" x14ac:dyDescent="0.2">
      <c r="A66" s="30"/>
    </row>
    <row r="67" spans="1:1" x14ac:dyDescent="0.2">
      <c r="A67" s="30"/>
    </row>
    <row r="68" spans="1:1" x14ac:dyDescent="0.2">
      <c r="A68" s="30"/>
    </row>
    <row r="69" spans="1:1" x14ac:dyDescent="0.2">
      <c r="A69" s="30"/>
    </row>
    <row r="70" spans="1:1" x14ac:dyDescent="0.2">
      <c r="A70" s="30"/>
    </row>
    <row r="71" spans="1:1" x14ac:dyDescent="0.2">
      <c r="A71" s="30"/>
    </row>
  </sheetData>
  <pageMargins left="0.32" right="0.75" top="0.6" bottom="0.24" header="0" footer="0"/>
  <pageSetup paperSize="9" scale="70" fitToHeight="4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U45"/>
  <sheetViews>
    <sheetView topLeftCell="A19" zoomScale="80" zoomScaleNormal="80" workbookViewId="0">
      <selection activeCell="A27" sqref="A27"/>
    </sheetView>
  </sheetViews>
  <sheetFormatPr baseColWidth="10" defaultRowHeight="12.75" x14ac:dyDescent="0.2"/>
  <cols>
    <col min="1" max="1" width="8" style="32" customWidth="1"/>
    <col min="2" max="2" width="16.7109375" style="32" customWidth="1"/>
    <col min="3" max="3" width="17.7109375" style="32" customWidth="1"/>
    <col min="4" max="4" width="16.85546875" style="32" customWidth="1"/>
    <col min="5" max="5" width="17.42578125" style="32" customWidth="1"/>
    <col min="6" max="6" width="16.5703125" style="32" customWidth="1"/>
    <col min="7" max="7" width="16.140625" style="32" customWidth="1"/>
    <col min="8" max="8" width="15.85546875" style="32" bestFit="1" customWidth="1"/>
    <col min="9" max="10" width="14.85546875" style="32" customWidth="1"/>
    <col min="11" max="11" width="15.85546875" style="32" bestFit="1" customWidth="1"/>
    <col min="12" max="12" width="18" style="32" customWidth="1"/>
    <col min="13" max="18" width="15.85546875" style="32" bestFit="1" customWidth="1"/>
    <col min="19" max="19" width="16.42578125" style="32" customWidth="1"/>
    <col min="20" max="21" width="16.28515625" style="32" customWidth="1"/>
    <col min="22" max="16384" width="11.42578125" style="32"/>
  </cols>
  <sheetData>
    <row r="1" spans="1:15" ht="16.5" thickTop="1" x14ac:dyDescent="0.25">
      <c r="A1" s="172" t="s">
        <v>368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4"/>
    </row>
    <row r="2" spans="1:15" ht="26.25" thickBot="1" x14ac:dyDescent="0.25">
      <c r="A2" s="205" t="s">
        <v>220</v>
      </c>
      <c r="B2" s="190" t="s">
        <v>221</v>
      </c>
      <c r="C2" s="190" t="s">
        <v>369</v>
      </c>
      <c r="D2" s="190" t="s">
        <v>223</v>
      </c>
      <c r="E2" s="190" t="s">
        <v>78</v>
      </c>
      <c r="F2" s="190" t="s">
        <v>224</v>
      </c>
      <c r="G2" s="190" t="s">
        <v>225</v>
      </c>
      <c r="H2" s="190" t="s">
        <v>370</v>
      </c>
      <c r="I2" s="190" t="s">
        <v>371</v>
      </c>
      <c r="J2" s="190" t="s">
        <v>227</v>
      </c>
      <c r="K2" s="190" t="s">
        <v>228</v>
      </c>
      <c r="L2" s="190" t="s">
        <v>229</v>
      </c>
      <c r="M2" s="206" t="s">
        <v>232</v>
      </c>
      <c r="N2" s="207" t="s">
        <v>233</v>
      </c>
    </row>
    <row r="3" spans="1:15" ht="13.5" thickTop="1" x14ac:dyDescent="0.2">
      <c r="A3" s="208">
        <v>0</v>
      </c>
      <c r="B3" s="133">
        <f>+'DF- CFyU'!B15</f>
        <v>6857556.8114184169</v>
      </c>
      <c r="C3" s="134">
        <f>+'DF- CFyU'!B$16</f>
        <v>240687.03768115948</v>
      </c>
      <c r="D3" s="134">
        <f>+'DF- CFyU'!B$22</f>
        <v>1452999.208310911</v>
      </c>
      <c r="E3" s="134">
        <f>+'DF- CFyU'!B$20</f>
        <v>0</v>
      </c>
      <c r="F3" s="134">
        <f>+'DF- CFyU'!B$18</f>
        <v>0</v>
      </c>
      <c r="G3" s="134">
        <f>SUM(B3:F3)</f>
        <v>8551243.0574104879</v>
      </c>
      <c r="H3" s="134">
        <v>0</v>
      </c>
      <c r="I3" s="134">
        <f>+'DF-Cred'!G15+'DF-Cred'!I15</f>
        <v>251385.67125000001</v>
      </c>
      <c r="J3" s="134">
        <f>+'DF- CFyU'!B$26</f>
        <v>0</v>
      </c>
      <c r="K3" s="134">
        <f>+'DF- CFyU'!B$11</f>
        <v>0</v>
      </c>
      <c r="L3" s="134">
        <f>SUM(H3:K3)</f>
        <v>251385.67125000001</v>
      </c>
      <c r="M3" s="135">
        <f>+L3-G3</f>
        <v>-8299857.3861604882</v>
      </c>
      <c r="N3" s="136">
        <f>+M3</f>
        <v>-8299857.3861604882</v>
      </c>
    </row>
    <row r="4" spans="1:15" ht="13.5" thickBot="1" x14ac:dyDescent="0.25">
      <c r="A4" s="209">
        <v>1</v>
      </c>
      <c r="B4" s="121">
        <f>+'DF- CFyU'!C15</f>
        <v>163608.39246482577</v>
      </c>
      <c r="C4" s="134">
        <f>+'DF- CFyU'!C$16</f>
        <v>1235282.254475418</v>
      </c>
      <c r="D4" s="134">
        <f>+'DF- CFyU'!C$22</f>
        <v>99434.012270246807</v>
      </c>
      <c r="E4" s="134">
        <f>+'DF- CFyU'!C$20</f>
        <v>293567.12323304382</v>
      </c>
      <c r="F4" s="134">
        <f>+'DF- CFyU'!C$18</f>
        <v>1467835.6161652189</v>
      </c>
      <c r="G4" s="134">
        <f t="shared" ref="G4:G8" si="0">SUM(B4:F4)</f>
        <v>3259727.3986087535</v>
      </c>
      <c r="H4" s="21">
        <f>+'DF-CRes'!B$10</f>
        <v>4193816.0461863396</v>
      </c>
      <c r="I4" s="21">
        <f>+'DF-CRes'!B9-('DF-Cred'!$G$15+'DF-Cred'!$I$15)/3</f>
        <v>277507.50957540772</v>
      </c>
      <c r="J4" s="134">
        <f>+'DF- CFyU'!C$26</f>
        <v>508703.74652664858</v>
      </c>
      <c r="K4" s="134">
        <f>+'DF- CFyU'!C$11</f>
        <v>1552433.2205811578</v>
      </c>
      <c r="L4" s="134">
        <f t="shared" ref="L4:L8" si="1">SUM(H4:K4)</f>
        <v>6532460.5228695534</v>
      </c>
      <c r="M4" s="454">
        <f t="shared" ref="M4:M10" si="2">+L4-G4</f>
        <v>3272733.1242608</v>
      </c>
      <c r="N4" s="243">
        <f>+N3+M4</f>
        <v>-5027124.2618996883</v>
      </c>
    </row>
    <row r="5" spans="1:15" x14ac:dyDescent="0.2">
      <c r="A5" s="209">
        <v>2</v>
      </c>
      <c r="B5" s="121">
        <f>+'DF- CFyU'!D$15</f>
        <v>0</v>
      </c>
      <c r="C5" s="134">
        <f>+'DF- CFyU'!D$16</f>
        <v>0</v>
      </c>
      <c r="D5" s="134">
        <f>+'DF- CFyU'!D$22</f>
        <v>579.00627622433558</v>
      </c>
      <c r="E5" s="134">
        <f>+'DF- CFyU'!D$20</f>
        <v>595700.13059132313</v>
      </c>
      <c r="F5" s="134">
        <f>+'DF- CFyU'!D$18</f>
        <v>2978500.6529566152</v>
      </c>
      <c r="G5" s="134">
        <f t="shared" si="0"/>
        <v>3574779.7898241626</v>
      </c>
      <c r="H5" s="21">
        <f>+'DF-CRes'!C$10</f>
        <v>8510001.8655903302</v>
      </c>
      <c r="I5" s="21">
        <f>+'DF-CRes'!C9-('DF-Cred'!$G$15+'DF-Cred'!$I$15)/3</f>
        <v>232617.2111379077</v>
      </c>
      <c r="J5" s="134">
        <f>+'DF- CFyU'!D$26</f>
        <v>508703.74652664858</v>
      </c>
      <c r="K5" s="134">
        <f>+'DF- CFyU'!D$11</f>
        <v>579.00627622433558</v>
      </c>
      <c r="L5" s="134">
        <f t="shared" si="1"/>
        <v>9251901.8295311108</v>
      </c>
      <c r="M5" s="455">
        <f t="shared" si="2"/>
        <v>5677122.0397069482</v>
      </c>
      <c r="N5" s="456">
        <f t="shared" ref="N5:N8" si="3">+N4+M5</f>
        <v>649997.77780725993</v>
      </c>
    </row>
    <row r="6" spans="1:15" x14ac:dyDescent="0.2">
      <c r="A6" s="209">
        <v>3</v>
      </c>
      <c r="B6" s="121">
        <f>+'DF- CFyU'!E$15</f>
        <v>0</v>
      </c>
      <c r="C6" s="134">
        <f>+'DF- CFyU'!E$16</f>
        <v>0</v>
      </c>
      <c r="D6" s="134">
        <f>+'DF- CFyU'!E$22</f>
        <v>3160.4808580106396</v>
      </c>
      <c r="E6" s="134">
        <f>+'DF- CFyU'!E$20</f>
        <v>599024.49028859672</v>
      </c>
      <c r="F6" s="134">
        <f>+'DF- CFyU'!E$18</f>
        <v>2995122.451442983</v>
      </c>
      <c r="G6" s="134">
        <f t="shared" si="0"/>
        <v>3597307.4225895903</v>
      </c>
      <c r="H6" s="21">
        <f>+'DF-CRes'!D$10</f>
        <v>8557492.7184085231</v>
      </c>
      <c r="I6" s="21">
        <f>+'DF-CRes'!D9-('DF-Cred'!$G$15+'DF-Cred'!$I$15)/3</f>
        <v>187726.91270040773</v>
      </c>
      <c r="J6" s="134">
        <f>+'DF- CFyU'!E$26</f>
        <v>508703.74652664858</v>
      </c>
      <c r="K6" s="134">
        <f>+'DF- CFyU'!E$11</f>
        <v>3160.4808580106396</v>
      </c>
      <c r="L6" s="134">
        <f t="shared" si="1"/>
        <v>9257083.8584935907</v>
      </c>
      <c r="M6" s="135">
        <f t="shared" si="2"/>
        <v>5659776.435904</v>
      </c>
      <c r="N6" s="23">
        <f t="shared" si="3"/>
        <v>6309774.2137112599</v>
      </c>
    </row>
    <row r="7" spans="1:15" x14ac:dyDescent="0.2">
      <c r="A7" s="209">
        <v>4</v>
      </c>
      <c r="B7" s="121">
        <f>+'DF- CFyU'!F$15</f>
        <v>0</v>
      </c>
      <c r="C7" s="134">
        <f>+'DF- CFyU'!F$16</f>
        <v>0</v>
      </c>
      <c r="D7" s="134">
        <f>+'DF- CFyU'!F$22</f>
        <v>3162.5054171857805</v>
      </c>
      <c r="E7" s="134">
        <f>+'DF- CFyU'!F$20</f>
        <v>606230.23966964916</v>
      </c>
      <c r="F7" s="134">
        <f>+'DF- CFyU'!F$18</f>
        <v>3031151.1983482456</v>
      </c>
      <c r="G7" s="134">
        <f t="shared" si="0"/>
        <v>3640543.9434350803</v>
      </c>
      <c r="H7" s="21">
        <f>+'DF-CRes'!E$10</f>
        <v>8660431.9952807017</v>
      </c>
      <c r="I7" s="21">
        <f>+'DF-CRes'!E$9</f>
        <v>142836.61426290771</v>
      </c>
      <c r="J7" s="134">
        <f>+'DF- CFyU'!F$26</f>
        <v>424908.52277664858</v>
      </c>
      <c r="K7" s="134">
        <f>+'DF- CFyU'!F$11</f>
        <v>3162.5054171857805</v>
      </c>
      <c r="L7" s="134">
        <f t="shared" si="1"/>
        <v>9231339.6377374418</v>
      </c>
      <c r="M7" s="135">
        <f t="shared" si="2"/>
        <v>5590795.6943023615</v>
      </c>
      <c r="N7" s="23">
        <f t="shared" si="3"/>
        <v>11900569.908013621</v>
      </c>
    </row>
    <row r="8" spans="1:15" x14ac:dyDescent="0.2">
      <c r="A8" s="209">
        <v>5</v>
      </c>
      <c r="B8" s="121">
        <f>-'E-Inv AF y Am'!G55</f>
        <v>-4645236.9187500002</v>
      </c>
      <c r="C8" s="134">
        <f>-(C3+C4)</f>
        <v>-1475969.2921565776</v>
      </c>
      <c r="D8" s="134">
        <f>+'DF- CFyU'!G$22</f>
        <v>3183.0698205116173</v>
      </c>
      <c r="E8" s="134">
        <f>+'DF- CFyU'!G$20</f>
        <v>608593.82331686432</v>
      </c>
      <c r="F8" s="134">
        <f>+'DF- CFyU'!G$18</f>
        <v>3042969.116584321</v>
      </c>
      <c r="G8" s="134">
        <f t="shared" si="0"/>
        <v>-2466460.2011848814</v>
      </c>
      <c r="H8" s="21">
        <f>+'DF-CRes'!F$10</f>
        <v>8694197.4759552032</v>
      </c>
      <c r="I8" s="21">
        <f>+'DF-CRes'!F$9</f>
        <v>109168.89043478272</v>
      </c>
      <c r="J8" s="134">
        <f>+'DF- CFyU'!G$26</f>
        <v>424908.52277664858</v>
      </c>
      <c r="K8" s="134">
        <f>+'DF- CFyU'!G$11</f>
        <v>3183.0698205116173</v>
      </c>
      <c r="L8" s="134">
        <f t="shared" si="1"/>
        <v>9231457.9589871466</v>
      </c>
      <c r="M8" s="135">
        <f t="shared" si="2"/>
        <v>11697918.160172028</v>
      </c>
      <c r="N8" s="23">
        <f t="shared" si="3"/>
        <v>23598488.06818565</v>
      </c>
    </row>
    <row r="9" spans="1:15" x14ac:dyDescent="0.2">
      <c r="A9" s="209"/>
      <c r="B9" s="35"/>
      <c r="C9" s="26"/>
      <c r="D9" s="26"/>
      <c r="E9" s="26"/>
      <c r="F9" s="26"/>
      <c r="G9" s="26"/>
      <c r="H9" s="26"/>
      <c r="I9" s="26"/>
      <c r="J9" s="26"/>
      <c r="K9" s="26"/>
      <c r="L9" s="26"/>
      <c r="M9" s="27"/>
      <c r="N9" s="28"/>
    </row>
    <row r="10" spans="1:15" ht="13.5" thickBot="1" x14ac:dyDescent="0.25">
      <c r="A10" s="210" t="s">
        <v>231</v>
      </c>
      <c r="B10" s="127">
        <f>SUM(B3:B8)</f>
        <v>2375928.2851332426</v>
      </c>
      <c r="C10" s="127">
        <f>SUM(C3:C8)</f>
        <v>0</v>
      </c>
      <c r="D10" s="127">
        <f>SUM(D3:D8)</f>
        <v>1562518.2829530903</v>
      </c>
      <c r="E10" s="127">
        <f>SUM(E3:E8)</f>
        <v>2703115.8070994774</v>
      </c>
      <c r="F10" s="127">
        <f>SUM(F3:F8)</f>
        <v>13515579.035497384</v>
      </c>
      <c r="G10" s="127">
        <f>SUM(G3:G8)</f>
        <v>20157141.410683192</v>
      </c>
      <c r="H10" s="127">
        <f>SUM(H3:H8)</f>
        <v>38615940.101421103</v>
      </c>
      <c r="I10" s="127">
        <f>SUM(I3:I8)</f>
        <v>1201242.8093614136</v>
      </c>
      <c r="J10" s="127">
        <f>SUM(J3:J8)</f>
        <v>2375928.2851332431</v>
      </c>
      <c r="K10" s="127">
        <f>SUM(K3:K8)</f>
        <v>1562518.2829530903</v>
      </c>
      <c r="L10" s="127">
        <f>SUM(L3:L8)</f>
        <v>43755629.478868842</v>
      </c>
      <c r="M10" s="453">
        <f t="shared" si="2"/>
        <v>23598488.06818565</v>
      </c>
      <c r="N10" s="452">
        <v>0</v>
      </c>
    </row>
    <row r="11" spans="1:15" ht="13.5" thickTop="1" x14ac:dyDescent="0.2"/>
    <row r="12" spans="1:15" x14ac:dyDescent="0.2">
      <c r="C12" s="211" t="s">
        <v>234</v>
      </c>
      <c r="D12" s="140">
        <f>+H10+I10-E10-F10</f>
        <v>23598488.068185657</v>
      </c>
      <c r="F12" s="494">
        <f>+D12-N10</f>
        <v>23598488.068185657</v>
      </c>
      <c r="G12" s="495" t="s">
        <v>559</v>
      </c>
      <c r="H12" s="451"/>
    </row>
    <row r="13" spans="1:15" x14ac:dyDescent="0.2">
      <c r="A13" s="30"/>
      <c r="C13" s="211" t="s">
        <v>235</v>
      </c>
      <c r="D13" s="458">
        <f>1+(ABS(N4)/M5)</f>
        <v>1.8855057592102049</v>
      </c>
      <c r="E13" s="32" t="s">
        <v>237</v>
      </c>
      <c r="F13" s="494">
        <f>+B10-J10</f>
        <v>0</v>
      </c>
      <c r="G13" s="495" t="s">
        <v>560</v>
      </c>
    </row>
    <row r="14" spans="1:15" x14ac:dyDescent="0.2">
      <c r="C14" s="211" t="s">
        <v>372</v>
      </c>
      <c r="D14" s="212">
        <f>+IRR(M3:M8)</f>
        <v>0.54791536323105694</v>
      </c>
      <c r="F14" s="494">
        <f>+D10-K10</f>
        <v>0</v>
      </c>
      <c r="G14" s="496" t="s">
        <v>303</v>
      </c>
    </row>
    <row r="15" spans="1:15" x14ac:dyDescent="0.2">
      <c r="A15" s="213"/>
      <c r="B15" s="214"/>
      <c r="C15" s="214"/>
      <c r="D15" s="214"/>
      <c r="E15" s="215"/>
      <c r="F15" s="216"/>
      <c r="G15" s="216"/>
      <c r="H15" s="216"/>
      <c r="I15" s="216"/>
      <c r="J15" s="214"/>
      <c r="K15" s="216"/>
      <c r="L15" s="216"/>
      <c r="M15" s="216"/>
      <c r="N15" s="216"/>
      <c r="O15" s="214"/>
    </row>
    <row r="16" spans="1:15" ht="15.75" x14ac:dyDescent="0.25">
      <c r="A16" s="217"/>
      <c r="B16" s="216"/>
      <c r="C16" s="218"/>
      <c r="D16" s="216"/>
      <c r="E16" s="219"/>
      <c r="F16" s="216"/>
      <c r="G16" s="216"/>
      <c r="H16" s="216"/>
      <c r="I16" s="216"/>
      <c r="J16" s="216"/>
      <c r="K16" s="216"/>
      <c r="L16" s="216"/>
      <c r="M16" s="216"/>
      <c r="N16" s="216"/>
    </row>
    <row r="18" spans="1:8" ht="13.5" thickBot="1" x14ac:dyDescent="0.25">
      <c r="A18" s="220"/>
    </row>
    <row r="19" spans="1:8" ht="16.5" thickTop="1" x14ac:dyDescent="0.25">
      <c r="A19" s="172" t="s">
        <v>373</v>
      </c>
      <c r="B19" s="173"/>
      <c r="C19" s="173"/>
      <c r="D19" s="173"/>
      <c r="E19" s="173"/>
      <c r="F19" s="173"/>
      <c r="G19" s="173"/>
      <c r="H19" s="174"/>
    </row>
    <row r="20" spans="1:8" ht="26.25" thickBot="1" x14ac:dyDescent="0.25">
      <c r="A20" s="205" t="s">
        <v>220</v>
      </c>
      <c r="B20" s="190" t="s">
        <v>374</v>
      </c>
      <c r="C20" s="190" t="s">
        <v>225</v>
      </c>
      <c r="D20" s="190" t="s">
        <v>323</v>
      </c>
      <c r="E20" s="190" t="s">
        <v>375</v>
      </c>
      <c r="F20" s="190" t="s">
        <v>229</v>
      </c>
      <c r="G20" s="206" t="s">
        <v>232</v>
      </c>
      <c r="H20" s="207" t="s">
        <v>233</v>
      </c>
    </row>
    <row r="21" spans="1:8" ht="13.5" thickTop="1" x14ac:dyDescent="0.2">
      <c r="A21" s="208">
        <v>0</v>
      </c>
      <c r="B21" s="133">
        <f>+'DF- CFyU'!B$7</f>
        <v>6755631.1199104879</v>
      </c>
      <c r="C21" s="134">
        <f>+B21</f>
        <v>6755631.1199104879</v>
      </c>
      <c r="D21" s="134">
        <v>0</v>
      </c>
      <c r="E21" s="134">
        <f>+'DF- CFyU'!B$29</f>
        <v>0</v>
      </c>
      <c r="F21" s="134">
        <f>+D21+E21</f>
        <v>0</v>
      </c>
      <c r="G21" s="135">
        <f>+F21-C21</f>
        <v>-6755631.1199104879</v>
      </c>
      <c r="H21" s="136">
        <f>+G21</f>
        <v>-6755631.1199104879</v>
      </c>
    </row>
    <row r="22" spans="1:8" ht="13.5" thickBot="1" x14ac:dyDescent="0.25">
      <c r="A22" s="209">
        <v>1</v>
      </c>
      <c r="B22" s="133">
        <f>+'DF- CFyU'!C$7</f>
        <v>588583.90558730112</v>
      </c>
      <c r="C22" s="134">
        <f t="shared" ref="C22:C26" si="4">+B22</f>
        <v>588583.90558730112</v>
      </c>
      <c r="D22" s="21">
        <v>0</v>
      </c>
      <c r="E22" s="134">
        <f>+'DF- CFyU'!C$29</f>
        <v>4044647.2895208816</v>
      </c>
      <c r="F22" s="134">
        <f t="shared" ref="F22:F26" si="5">+D22+E22</f>
        <v>4044647.2895208816</v>
      </c>
      <c r="G22" s="454">
        <f t="shared" ref="G22:G28" si="6">+F22-C22</f>
        <v>3456063.3839335805</v>
      </c>
      <c r="H22" s="243">
        <f>+H21+G22</f>
        <v>-3299567.7359769074</v>
      </c>
    </row>
    <row r="23" spans="1:8" x14ac:dyDescent="0.2">
      <c r="A23" s="209">
        <v>2</v>
      </c>
      <c r="B23" s="133">
        <f>+'DF- CFyU'!D$7</f>
        <v>0</v>
      </c>
      <c r="C23" s="134">
        <f t="shared" si="4"/>
        <v>0</v>
      </c>
      <c r="D23" s="21">
        <v>0</v>
      </c>
      <c r="E23" s="134">
        <f>+'DF- CFyU'!D$29</f>
        <v>4995601.8441940397</v>
      </c>
      <c r="F23" s="134">
        <f t="shared" si="5"/>
        <v>4995601.8441940397</v>
      </c>
      <c r="G23" s="455">
        <f t="shared" si="6"/>
        <v>4995601.8441940397</v>
      </c>
      <c r="H23" s="456">
        <f t="shared" ref="H23:H26" si="7">+H22+G23</f>
        <v>1696034.1082171323</v>
      </c>
    </row>
    <row r="24" spans="1:8" x14ac:dyDescent="0.2">
      <c r="A24" s="209">
        <v>3</v>
      </c>
      <c r="B24" s="133">
        <f>+'DF- CFyU'!E$7</f>
        <v>0</v>
      </c>
      <c r="C24" s="134">
        <f t="shared" si="4"/>
        <v>0</v>
      </c>
      <c r="D24" s="21">
        <v>0</v>
      </c>
      <c r="E24" s="134">
        <f>+'DF- CFyU'!E$29</f>
        <v>5023146.5388285909</v>
      </c>
      <c r="F24" s="134">
        <f t="shared" si="5"/>
        <v>5023146.5388285909</v>
      </c>
      <c r="G24" s="135">
        <f t="shared" si="6"/>
        <v>5023146.5388285909</v>
      </c>
      <c r="H24" s="23">
        <f t="shared" si="7"/>
        <v>6719180.6470457232</v>
      </c>
    </row>
    <row r="25" spans="1:8" x14ac:dyDescent="0.2">
      <c r="A25" s="209">
        <v>4</v>
      </c>
      <c r="B25" s="133">
        <f>+'DF- CFyU'!F$7</f>
        <v>0</v>
      </c>
      <c r="C25" s="134">
        <f t="shared" si="4"/>
        <v>0</v>
      </c>
      <c r="D25" s="21">
        <v>0</v>
      </c>
      <c r="E25" s="134">
        <f>+'DF- CFyU'!F$29</f>
        <v>4999056.0956644583</v>
      </c>
      <c r="F25" s="134">
        <f t="shared" si="5"/>
        <v>4999056.0956644583</v>
      </c>
      <c r="G25" s="135">
        <f t="shared" si="6"/>
        <v>4999056.0956644583</v>
      </c>
      <c r="H25" s="23">
        <f t="shared" si="7"/>
        <v>11718236.742710181</v>
      </c>
    </row>
    <row r="26" spans="1:8" x14ac:dyDescent="0.2">
      <c r="A26" s="209">
        <v>5</v>
      </c>
      <c r="B26" s="133">
        <f>-('E-Inv AF y Am'!G55+'DF- CFyU'!H16-'DF- CFyU'!H8)</f>
        <v>-5211465.4572833888</v>
      </c>
      <c r="C26" s="134">
        <f t="shared" si="4"/>
        <v>-5211465.4572833888</v>
      </c>
      <c r="D26" s="21">
        <v>0</v>
      </c>
      <c r="E26" s="134">
        <f>+'DF- CFyU'!G$29</f>
        <v>5467543.0588306598</v>
      </c>
      <c r="F26" s="134">
        <f t="shared" si="5"/>
        <v>5467543.0588306598</v>
      </c>
      <c r="G26" s="135">
        <f t="shared" si="6"/>
        <v>10679008.516114049</v>
      </c>
      <c r="H26" s="23">
        <f t="shared" si="7"/>
        <v>22397245.258824229</v>
      </c>
    </row>
    <row r="27" spans="1:8" x14ac:dyDescent="0.2">
      <c r="A27" s="209"/>
      <c r="B27" s="35"/>
      <c r="C27" s="26"/>
      <c r="D27" s="26"/>
      <c r="E27" s="26"/>
      <c r="F27" s="26"/>
      <c r="G27" s="27"/>
      <c r="H27" s="28"/>
    </row>
    <row r="28" spans="1:8" ht="13.5" thickBot="1" x14ac:dyDescent="0.25">
      <c r="A28" s="210" t="s">
        <v>231</v>
      </c>
      <c r="B28" s="127">
        <f>SUM(B21:B27)</f>
        <v>2132749.5682143997</v>
      </c>
      <c r="C28" s="127">
        <f>SUM(C21:C27)</f>
        <v>2132749.5682143997</v>
      </c>
      <c r="D28" s="127">
        <f>SUM(D21:D27)</f>
        <v>0</v>
      </c>
      <c r="E28" s="127">
        <f>SUM(E21:E27)</f>
        <v>24529994.827038631</v>
      </c>
      <c r="F28" s="127">
        <f>SUM(F21:F27)</f>
        <v>24529994.827038631</v>
      </c>
      <c r="G28" s="453">
        <f t="shared" si="6"/>
        <v>22397245.258824229</v>
      </c>
      <c r="H28" s="483" t="e">
        <f>+#REF!</f>
        <v>#REF!</v>
      </c>
    </row>
    <row r="29" spans="1:8" ht="13.5" thickTop="1" x14ac:dyDescent="0.2"/>
    <row r="31" spans="1:8" x14ac:dyDescent="0.2">
      <c r="C31" s="211" t="s">
        <v>234</v>
      </c>
      <c r="D31" s="140">
        <f>+H10-F10-E10</f>
        <v>22397245.258824244</v>
      </c>
      <c r="E31" s="32" t="s">
        <v>378</v>
      </c>
    </row>
    <row r="32" spans="1:8" x14ac:dyDescent="0.2">
      <c r="C32" s="211" t="s">
        <v>235</v>
      </c>
      <c r="D32" s="457">
        <f>1+ABS(H22)/G23</f>
        <v>1.660494538773484</v>
      </c>
      <c r="E32" s="32" t="s">
        <v>377</v>
      </c>
    </row>
    <row r="33" spans="2:21" x14ac:dyDescent="0.2">
      <c r="C33" s="211" t="s">
        <v>376</v>
      </c>
      <c r="D33" s="221">
        <f>+IRR(G21:G26)</f>
        <v>0.63399423432949664</v>
      </c>
    </row>
    <row r="35" spans="2:21" ht="13.5" thickBot="1" x14ac:dyDescent="0.25">
      <c r="C35" s="485" t="s">
        <v>546</v>
      </c>
      <c r="D35" s="486">
        <f>+D33/D14</f>
        <v>1.1571024958870155</v>
      </c>
    </row>
    <row r="36" spans="2:21" ht="13.5" thickTop="1" x14ac:dyDescent="0.2"/>
    <row r="37" spans="2:21" x14ac:dyDescent="0.2">
      <c r="B37" s="459" t="s">
        <v>552</v>
      </c>
      <c r="C37" s="464">
        <f>+'DF-CRes'!G13</f>
        <v>22397245.25882424</v>
      </c>
      <c r="D37" s="460" t="s">
        <v>547</v>
      </c>
      <c r="E37" s="461"/>
      <c r="F37" s="461"/>
      <c r="G37" s="461"/>
      <c r="H37" s="461"/>
    </row>
    <row r="38" spans="2:21" x14ac:dyDescent="0.2">
      <c r="B38" s="461"/>
      <c r="C38" s="464">
        <f>+'DF-Balance'!G34+'DF-Balance'!G33</f>
        <v>22397245.25882424</v>
      </c>
      <c r="D38" s="460" t="s">
        <v>549</v>
      </c>
      <c r="G38" s="461"/>
      <c r="H38" s="461"/>
    </row>
    <row r="39" spans="2:21" ht="13.5" thickBot="1" x14ac:dyDescent="0.25">
      <c r="B39" s="461"/>
      <c r="C39" s="464">
        <f>+H10-F10-E10</f>
        <v>22397245.258824244</v>
      </c>
      <c r="D39" s="462" t="s">
        <v>550</v>
      </c>
      <c r="E39" s="461"/>
      <c r="F39" s="461"/>
      <c r="G39" s="461"/>
      <c r="H39" s="461"/>
    </row>
    <row r="40" spans="2:21" ht="13.5" thickBot="1" x14ac:dyDescent="0.25">
      <c r="B40" s="461"/>
      <c r="C40" s="465">
        <f>+'DF- CFyU'!H28+ABS('DF- Form'!B8)+ABS('DF- Form'!C8)-'DF- CFyU'!H8-'DF- Form'!B21-'DF- Form'!B22</f>
        <v>22397245.258824229</v>
      </c>
      <c r="D40" s="463" t="s">
        <v>551</v>
      </c>
      <c r="E40" s="461"/>
      <c r="F40" s="461"/>
      <c r="G40" s="461"/>
      <c r="H40" s="461"/>
      <c r="J40" s="467" t="s">
        <v>553</v>
      </c>
      <c r="K40" s="468">
        <f>0</f>
        <v>0</v>
      </c>
      <c r="L40" s="469">
        <f>+K40+$U$40/10</f>
        <v>9.5000000000000001E-2</v>
      </c>
      <c r="M40" s="469">
        <f t="shared" ref="M40:T40" si="8">+L40+$U$40/10</f>
        <v>0.19</v>
      </c>
      <c r="N40" s="469">
        <f t="shared" si="8"/>
        <v>0.28500000000000003</v>
      </c>
      <c r="O40" s="469">
        <f t="shared" si="8"/>
        <v>0.38</v>
      </c>
      <c r="P40" s="469">
        <f t="shared" si="8"/>
        <v>0.47499999999999998</v>
      </c>
      <c r="Q40" s="469">
        <f t="shared" si="8"/>
        <v>0.56999999999999995</v>
      </c>
      <c r="R40" s="469">
        <f t="shared" si="8"/>
        <v>0.66499999999999992</v>
      </c>
      <c r="S40" s="469">
        <f t="shared" si="8"/>
        <v>0.7599999999999999</v>
      </c>
      <c r="T40" s="469">
        <f t="shared" si="8"/>
        <v>0.85499999999999987</v>
      </c>
      <c r="U40" s="470">
        <v>0.95</v>
      </c>
    </row>
    <row r="41" spans="2:21" x14ac:dyDescent="0.2">
      <c r="B41" s="461"/>
      <c r="C41" s="466">
        <f>+M10-I10</f>
        <v>22397245.258824237</v>
      </c>
      <c r="D41" s="460" t="s">
        <v>548</v>
      </c>
      <c r="E41" s="461"/>
      <c r="F41" s="461"/>
      <c r="G41" s="461"/>
      <c r="H41" s="461"/>
      <c r="J41" s="471" t="s">
        <v>554</v>
      </c>
      <c r="K41" s="472">
        <f>+NPV(K40,$M$3:$M$8)</f>
        <v>23598488.06818565</v>
      </c>
      <c r="L41" s="473">
        <f>+NPV(L40,$M$3:$M$8)</f>
        <v>13748098.226467609</v>
      </c>
      <c r="M41" s="473">
        <f>+NPV(M40,$M$3:$M$8)</f>
        <v>7989818.125785362</v>
      </c>
      <c r="N41" s="473">
        <f>+NPV(N40,$M$3:$M$8)</f>
        <v>4468389.6132637132</v>
      </c>
      <c r="O41" s="473">
        <f>+NPV(O40,$M$3:$M$8)</f>
        <v>2235630.8402899262</v>
      </c>
      <c r="P41" s="473">
        <f>+NPV(P40,$M$3:$M$8)</f>
        <v>778797.82452846889</v>
      </c>
      <c r="Q41" s="473">
        <f>+NPV(Q40,$M$3:$M$8)</f>
        <v>-193051.21488789524</v>
      </c>
      <c r="R41" s="473">
        <f>+NPV(R40,$M$3:$M$8)</f>
        <v>-851977.84874390927</v>
      </c>
      <c r="S41" s="473">
        <f>+NPV(S40,$M$3:$M$8)</f>
        <v>-1303453.4526083362</v>
      </c>
      <c r="T41" s="473">
        <f>+NPV(T40,$M$3:$M$8)</f>
        <v>-1614183.4407334677</v>
      </c>
      <c r="U41" s="474">
        <f>+NPV(U40,$M$3:$M$8)</f>
        <v>-1827526.8826525696</v>
      </c>
    </row>
    <row r="42" spans="2:21" ht="14.25" x14ac:dyDescent="0.25">
      <c r="E42" s="461"/>
      <c r="F42" s="461"/>
      <c r="J42" s="475" t="s">
        <v>555</v>
      </c>
      <c r="K42" s="476">
        <f>$G$3</f>
        <v>8551243.0574104879</v>
      </c>
      <c r="L42" s="477">
        <f t="shared" ref="L42:R42" si="9">+K42</f>
        <v>8551243.0574104879</v>
      </c>
      <c r="M42" s="477">
        <f t="shared" si="9"/>
        <v>8551243.0574104879</v>
      </c>
      <c r="N42" s="477">
        <f t="shared" si="9"/>
        <v>8551243.0574104879</v>
      </c>
      <c r="O42" s="477">
        <f t="shared" si="9"/>
        <v>8551243.0574104879</v>
      </c>
      <c r="P42" s="477">
        <f t="shared" si="9"/>
        <v>8551243.0574104879</v>
      </c>
      <c r="Q42" s="477">
        <f t="shared" si="9"/>
        <v>8551243.0574104879</v>
      </c>
      <c r="R42" s="477">
        <f t="shared" si="9"/>
        <v>8551243.0574104879</v>
      </c>
      <c r="S42" s="477">
        <f>+R42</f>
        <v>8551243.0574104879</v>
      </c>
      <c r="T42" s="477">
        <f>+S42</f>
        <v>8551243.0574104879</v>
      </c>
      <c r="U42" s="478">
        <f>+R42</f>
        <v>8551243.0574104879</v>
      </c>
    </row>
    <row r="43" spans="2:21" ht="15" thickBot="1" x14ac:dyDescent="0.3">
      <c r="J43" s="479" t="s">
        <v>556</v>
      </c>
      <c r="K43" s="476">
        <f>+K41+K42</f>
        <v>32149731.125596136</v>
      </c>
      <c r="L43" s="477">
        <f t="shared" ref="L43:R43" si="10">+L41+L42</f>
        <v>22299341.283878095</v>
      </c>
      <c r="M43" s="477">
        <f t="shared" si="10"/>
        <v>16541061.18319585</v>
      </c>
      <c r="N43" s="477">
        <f t="shared" si="10"/>
        <v>13019632.670674201</v>
      </c>
      <c r="O43" s="477">
        <f t="shared" si="10"/>
        <v>10786873.897700414</v>
      </c>
      <c r="P43" s="477">
        <f t="shared" si="10"/>
        <v>9330040.8819389567</v>
      </c>
      <c r="Q43" s="477">
        <f t="shared" si="10"/>
        <v>8358191.8425225923</v>
      </c>
      <c r="R43" s="477">
        <f t="shared" si="10"/>
        <v>7699265.2086665789</v>
      </c>
      <c r="S43" s="477">
        <f>+S41+S42</f>
        <v>7247789.6048021521</v>
      </c>
      <c r="T43" s="477">
        <f>+T41+T42</f>
        <v>6937059.6166770197</v>
      </c>
      <c r="U43" s="478">
        <f>+U41+U42</f>
        <v>6723716.1747579183</v>
      </c>
    </row>
    <row r="44" spans="2:21" ht="13.5" thickBot="1" x14ac:dyDescent="0.25">
      <c r="C44" s="497" t="s">
        <v>561</v>
      </c>
      <c r="D44" s="498">
        <f>'DF-Cred'!H18*(('DF-2 Estructura'!C28+'DF-2 Estructura'!B29)/'DF-2 Estructura'!D26)+InfoInicial!B42*('DF- CFyU'!H7/'DF-2 Estructura'!D26)</f>
        <v>0.21150872738975757</v>
      </c>
      <c r="J44" s="479" t="s">
        <v>557</v>
      </c>
      <c r="K44" s="480">
        <f t="shared" ref="K44:U44" si="11">$K$41+$K$42</f>
        <v>32149731.125596136</v>
      </c>
      <c r="L44" s="481">
        <f t="shared" si="11"/>
        <v>32149731.125596136</v>
      </c>
      <c r="M44" s="481">
        <f t="shared" si="11"/>
        <v>32149731.125596136</v>
      </c>
      <c r="N44" s="481">
        <f t="shared" si="11"/>
        <v>32149731.125596136</v>
      </c>
      <c r="O44" s="481">
        <f t="shared" si="11"/>
        <v>32149731.125596136</v>
      </c>
      <c r="P44" s="481">
        <f t="shared" si="11"/>
        <v>32149731.125596136</v>
      </c>
      <c r="Q44" s="481">
        <f t="shared" si="11"/>
        <v>32149731.125596136</v>
      </c>
      <c r="R44" s="481">
        <f t="shared" si="11"/>
        <v>32149731.125596136</v>
      </c>
      <c r="S44" s="481">
        <f t="shared" si="11"/>
        <v>32149731.125596136</v>
      </c>
      <c r="T44" s="481">
        <f t="shared" si="11"/>
        <v>32149731.125596136</v>
      </c>
      <c r="U44" s="482">
        <f t="shared" si="11"/>
        <v>32149731.125596136</v>
      </c>
    </row>
    <row r="45" spans="2:21" ht="13.5" thickTop="1" x14ac:dyDescent="0.2"/>
  </sheetData>
  <pageMargins left="0.26" right="0.46" top="1.27" bottom="1" header="0" footer="0"/>
  <pageSetup paperSize="9" scale="70" fitToHeight="4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workbookViewId="0">
      <selection sqref="A1:F1"/>
    </sheetView>
  </sheetViews>
  <sheetFormatPr baseColWidth="10" defaultRowHeight="12.75" x14ac:dyDescent="0.2"/>
  <cols>
    <col min="1" max="1" width="15.85546875" bestFit="1" customWidth="1"/>
    <col min="3" max="3" width="8.140625" customWidth="1"/>
    <col min="4" max="5" width="13.140625" customWidth="1"/>
    <col min="6" max="6" width="15.85546875" customWidth="1"/>
    <col min="7" max="7" width="1.85546875" customWidth="1"/>
    <col min="10" max="10" width="14.28515625" customWidth="1"/>
    <col min="11" max="11" width="13.5703125" customWidth="1"/>
    <col min="12" max="12" width="2" customWidth="1"/>
    <col min="16" max="16" width="13.28515625" bestFit="1" customWidth="1"/>
    <col min="17" max="17" width="2.42578125" customWidth="1"/>
    <col min="19" max="19" width="9.28515625" customWidth="1"/>
    <col min="20" max="20" width="10.42578125" customWidth="1"/>
    <col min="21" max="21" width="9.85546875" customWidth="1"/>
    <col min="23" max="23" width="13.28515625" bestFit="1" customWidth="1"/>
    <col min="24" max="24" width="2.42578125" customWidth="1"/>
    <col min="29" max="29" width="12.28515625" bestFit="1" customWidth="1"/>
  </cols>
  <sheetData>
    <row r="1" spans="1:29" ht="16.5" thickBot="1" x14ac:dyDescent="0.3">
      <c r="A1" s="604" t="s">
        <v>569</v>
      </c>
      <c r="B1" s="605"/>
      <c r="C1" s="605"/>
      <c r="D1" s="605"/>
      <c r="E1" s="605"/>
      <c r="F1" s="613"/>
      <c r="G1" s="376"/>
      <c r="H1" s="604" t="s">
        <v>489</v>
      </c>
      <c r="I1" s="605"/>
      <c r="J1" s="605"/>
      <c r="K1" s="605"/>
      <c r="L1" s="376"/>
      <c r="M1" s="604" t="s">
        <v>227</v>
      </c>
      <c r="N1" s="605"/>
      <c r="O1" s="605"/>
      <c r="P1" s="605"/>
      <c r="Q1" s="376"/>
      <c r="R1" s="604" t="s">
        <v>512</v>
      </c>
      <c r="S1" s="605"/>
      <c r="T1" s="605"/>
      <c r="U1" s="605"/>
      <c r="V1" s="605"/>
      <c r="W1" s="605"/>
      <c r="X1" s="376"/>
      <c r="Y1" s="604" t="s">
        <v>105</v>
      </c>
      <c r="Z1" s="605"/>
      <c r="AA1" s="605"/>
      <c r="AB1" s="605"/>
      <c r="AC1" s="605"/>
    </row>
    <row r="2" spans="1:29" x14ac:dyDescent="0.2">
      <c r="A2" s="368"/>
      <c r="B2" s="368"/>
      <c r="C2" s="368"/>
      <c r="D2" s="368"/>
      <c r="E2" s="368"/>
      <c r="F2" s="368"/>
      <c r="G2" s="376"/>
      <c r="H2" s="368"/>
      <c r="I2" s="368"/>
      <c r="J2" s="368"/>
      <c r="K2" s="368"/>
      <c r="L2" s="376"/>
      <c r="M2" s="368"/>
      <c r="N2" s="368"/>
      <c r="O2" s="368"/>
      <c r="P2" s="368"/>
      <c r="Q2" s="376"/>
      <c r="R2" s="368"/>
      <c r="S2" s="368"/>
      <c r="T2" s="368"/>
      <c r="U2" s="368"/>
      <c r="V2" s="368"/>
      <c r="W2" s="368"/>
      <c r="X2" s="376"/>
      <c r="Y2" s="368"/>
      <c r="Z2" s="368"/>
      <c r="AA2" s="368"/>
      <c r="AB2" s="368"/>
      <c r="AC2" s="368"/>
    </row>
    <row r="3" spans="1:29" ht="21.75" customHeight="1" x14ac:dyDescent="0.2">
      <c r="A3" s="505" t="s">
        <v>570</v>
      </c>
      <c r="B3" s="369" t="s">
        <v>478</v>
      </c>
      <c r="C3" s="372">
        <v>58</v>
      </c>
      <c r="D3" s="368"/>
      <c r="E3" s="368"/>
      <c r="F3" s="368"/>
      <c r="G3" s="376"/>
      <c r="H3" s="369" t="s">
        <v>490</v>
      </c>
      <c r="I3" s="368"/>
      <c r="J3" s="368"/>
      <c r="K3" s="370">
        <f>+'[2]EJ 2'!$G$20</f>
        <v>1888</v>
      </c>
      <c r="L3" s="376"/>
      <c r="M3" s="380" t="s">
        <v>504</v>
      </c>
      <c r="N3" s="368"/>
      <c r="O3" s="368"/>
      <c r="P3" s="368"/>
      <c r="Q3" s="376"/>
      <c r="R3" s="368"/>
      <c r="S3" s="368"/>
      <c r="T3" s="383" t="s">
        <v>513</v>
      </c>
      <c r="U3" s="383" t="s">
        <v>514</v>
      </c>
      <c r="V3" s="384" t="s">
        <v>515</v>
      </c>
      <c r="W3" s="384" t="s">
        <v>479</v>
      </c>
      <c r="X3" s="376"/>
      <c r="Y3" s="368"/>
      <c r="Z3" s="384" t="s">
        <v>516</v>
      </c>
      <c r="AA3" s="384" t="s">
        <v>519</v>
      </c>
      <c r="AB3" s="384" t="s">
        <v>520</v>
      </c>
      <c r="AC3" s="384" t="s">
        <v>103</v>
      </c>
    </row>
    <row r="4" spans="1:29" x14ac:dyDescent="0.2">
      <c r="A4" s="505" t="s">
        <v>571</v>
      </c>
      <c r="B4" s="505" t="s">
        <v>478</v>
      </c>
      <c r="C4" s="372">
        <f>+D4*InfoInicial!B32</f>
        <v>40.92</v>
      </c>
      <c r="D4" s="536">
        <v>2.64</v>
      </c>
      <c r="E4" s="368"/>
      <c r="F4" s="368"/>
      <c r="G4" s="376"/>
      <c r="H4" s="368"/>
      <c r="I4" s="368"/>
      <c r="J4" s="368"/>
      <c r="K4" s="368"/>
      <c r="L4" s="376"/>
      <c r="M4" s="368"/>
      <c r="N4" s="368"/>
      <c r="O4" s="368"/>
      <c r="P4" s="368"/>
      <c r="Q4" s="376"/>
      <c r="R4" s="505" t="s">
        <v>611</v>
      </c>
      <c r="S4" s="368"/>
      <c r="T4" s="385">
        <v>32000</v>
      </c>
      <c r="U4" s="386">
        <v>0.5</v>
      </c>
      <c r="V4" s="387">
        <v>1</v>
      </c>
      <c r="W4" s="385">
        <f>T4*(1+U4)*V4*12</f>
        <v>576000</v>
      </c>
      <c r="X4" s="376"/>
      <c r="Y4" s="389" t="s">
        <v>521</v>
      </c>
      <c r="Z4" s="378">
        <v>0.01</v>
      </c>
      <c r="AA4" s="378">
        <v>1.6E-2</v>
      </c>
      <c r="AB4" s="378">
        <v>1.4999999999999999E-2</v>
      </c>
      <c r="AC4" s="378">
        <v>0.03</v>
      </c>
    </row>
    <row r="5" spans="1:29" ht="13.5" thickBot="1" x14ac:dyDescent="0.25">
      <c r="A5" s="368" t="s">
        <v>572</v>
      </c>
      <c r="B5" s="505" t="s">
        <v>573</v>
      </c>
      <c r="C5" s="506">
        <v>9.4600000000000009</v>
      </c>
      <c r="D5" s="368"/>
      <c r="E5" s="368"/>
      <c r="F5" s="368"/>
      <c r="G5" s="376"/>
      <c r="H5" s="369" t="s">
        <v>491</v>
      </c>
      <c r="I5" s="368"/>
      <c r="J5" s="368"/>
      <c r="K5" s="372">
        <v>60.49</v>
      </c>
      <c r="L5" s="376"/>
      <c r="M5" s="369" t="s">
        <v>502</v>
      </c>
      <c r="N5" s="368"/>
      <c r="O5" s="368"/>
      <c r="P5" s="363">
        <f>+'E-Inv AF y Am'!E55*0.9</f>
        <v>382417.6704989837</v>
      </c>
      <c r="Q5" s="376"/>
      <c r="R5" s="505" t="s">
        <v>609</v>
      </c>
      <c r="S5" s="368"/>
      <c r="T5" s="385">
        <v>18000</v>
      </c>
      <c r="U5" s="386">
        <v>0.6</v>
      </c>
      <c r="V5" s="387">
        <v>1</v>
      </c>
      <c r="W5" s="385">
        <f t="shared" ref="W5" si="0">T5*(1+U5)*V5*12</f>
        <v>345600</v>
      </c>
      <c r="X5" s="376"/>
      <c r="Y5" s="368"/>
      <c r="Z5" s="368"/>
      <c r="AA5" s="368"/>
      <c r="AB5" s="368"/>
      <c r="AC5" s="368"/>
    </row>
    <row r="6" spans="1:29" ht="15.75" thickBot="1" x14ac:dyDescent="0.3">
      <c r="A6" s="607" t="s">
        <v>574</v>
      </c>
      <c r="B6" s="608"/>
      <c r="C6" s="608"/>
      <c r="D6" s="608"/>
      <c r="E6" s="608"/>
      <c r="F6" s="609"/>
      <c r="G6" s="376"/>
      <c r="H6" s="369" t="s">
        <v>492</v>
      </c>
      <c r="I6" s="368"/>
      <c r="J6" s="368"/>
      <c r="K6" s="372">
        <v>70.739999999999995</v>
      </c>
      <c r="L6" s="376"/>
      <c r="M6" s="369" t="s">
        <v>503</v>
      </c>
      <c r="N6" s="368"/>
      <c r="O6" s="368"/>
      <c r="P6" s="372">
        <f>P5/'[2]EJ 11'!$F$10</f>
        <v>17.226021193647913</v>
      </c>
      <c r="Q6" s="376"/>
      <c r="R6" s="505" t="s">
        <v>610</v>
      </c>
      <c r="S6" s="368"/>
      <c r="T6" s="385">
        <v>19000</v>
      </c>
      <c r="U6" s="386">
        <v>0.5</v>
      </c>
      <c r="V6" s="387">
        <v>1</v>
      </c>
      <c r="W6" s="385">
        <f>T6*(1+U6)*V6*12</f>
        <v>342000</v>
      </c>
      <c r="X6" s="376"/>
      <c r="Y6" s="601" t="s">
        <v>504</v>
      </c>
      <c r="Z6" s="602"/>
      <c r="AA6" s="602"/>
      <c r="AB6" s="602"/>
      <c r="AC6" s="603"/>
    </row>
    <row r="7" spans="1:29" x14ac:dyDescent="0.2">
      <c r="A7" s="368"/>
      <c r="B7" s="368"/>
      <c r="C7" s="368"/>
      <c r="D7" s="368"/>
      <c r="E7" s="368"/>
      <c r="F7" s="368"/>
      <c r="G7" s="376"/>
      <c r="H7" s="368"/>
      <c r="I7" s="368"/>
      <c r="J7" s="368"/>
      <c r="K7" s="368"/>
      <c r="L7" s="376"/>
      <c r="M7" s="368"/>
      <c r="N7" s="368"/>
      <c r="O7" s="368"/>
      <c r="P7" s="368"/>
      <c r="Q7" s="376"/>
      <c r="R7" s="505" t="s">
        <v>612</v>
      </c>
      <c r="S7" s="368"/>
      <c r="T7" s="385">
        <v>20000</v>
      </c>
      <c r="U7" s="386">
        <v>0.5</v>
      </c>
      <c r="V7" s="387">
        <v>1</v>
      </c>
      <c r="W7" s="385">
        <f>T7*(1+U7)*V7*12</f>
        <v>360000</v>
      </c>
      <c r="X7" s="376"/>
      <c r="Y7" s="368"/>
      <c r="Z7" s="368"/>
      <c r="AA7" s="368"/>
      <c r="AB7" s="368"/>
      <c r="AC7" s="368"/>
    </row>
    <row r="8" spans="1:29" x14ac:dyDescent="0.2">
      <c r="A8" s="368"/>
      <c r="B8" s="368"/>
      <c r="C8" s="368"/>
      <c r="D8" s="505" t="s">
        <v>575</v>
      </c>
      <c r="E8" s="505" t="s">
        <v>576</v>
      </c>
      <c r="F8" s="505" t="s">
        <v>577</v>
      </c>
      <c r="G8" s="377"/>
      <c r="H8" s="369" t="s">
        <v>493</v>
      </c>
      <c r="I8" s="368"/>
      <c r="J8" s="368"/>
      <c r="K8" s="378">
        <v>0.7</v>
      </c>
      <c r="L8" s="376"/>
      <c r="M8" s="380" t="s">
        <v>505</v>
      </c>
      <c r="N8" s="368"/>
      <c r="O8" s="368"/>
      <c r="P8" s="368"/>
      <c r="Q8" s="376"/>
      <c r="R8" s="505" t="s">
        <v>614</v>
      </c>
      <c r="S8" s="368"/>
      <c r="T8" s="385">
        <v>13000</v>
      </c>
      <c r="U8" s="386">
        <v>0.5</v>
      </c>
      <c r="V8" s="387">
        <v>3</v>
      </c>
      <c r="W8" s="385">
        <f>T8*(1+U8)*V8*12</f>
        <v>702000</v>
      </c>
      <c r="X8" s="376"/>
      <c r="Y8" s="369" t="s">
        <v>516</v>
      </c>
      <c r="Z8" s="368"/>
      <c r="AA8" s="368"/>
      <c r="AB8" s="368"/>
      <c r="AC8" s="372">
        <f>('E-Inv AF y Am'!B51-'E-Inv AF y Am'!B50)*0.9*'Entrada de Datos'!Z4</f>
        <v>57229.643250000001</v>
      </c>
    </row>
    <row r="9" spans="1:29" x14ac:dyDescent="0.2">
      <c r="A9" s="368"/>
      <c r="B9" s="368"/>
      <c r="C9" s="368"/>
      <c r="D9" s="507" t="s">
        <v>578</v>
      </c>
      <c r="E9" s="507" t="s">
        <v>579</v>
      </c>
      <c r="F9" s="507" t="s">
        <v>578</v>
      </c>
      <c r="G9" s="376"/>
      <c r="H9" s="369" t="s">
        <v>494</v>
      </c>
      <c r="I9" s="368"/>
      <c r="J9" s="368"/>
      <c r="K9" s="378">
        <v>0.4</v>
      </c>
      <c r="L9" s="376"/>
      <c r="M9" s="368"/>
      <c r="N9" s="368"/>
      <c r="O9" s="368"/>
      <c r="P9" s="368"/>
      <c r="Q9" s="376"/>
      <c r="X9" s="376"/>
      <c r="Y9" s="368"/>
      <c r="Z9" s="368"/>
      <c r="AA9" s="368"/>
      <c r="AB9" s="368"/>
      <c r="AC9" s="372"/>
    </row>
    <row r="10" spans="1:29" x14ac:dyDescent="0.2">
      <c r="A10" s="505" t="s">
        <v>580</v>
      </c>
      <c r="B10" s="369"/>
      <c r="C10" s="370"/>
      <c r="D10" s="508">
        <f>+'[2]EJ 1 -  Caucho'!$C$28</f>
        <v>6138</v>
      </c>
      <c r="E10" s="514">
        <f>+'[2]EJ 1 - Separador'!$C$28</f>
        <v>120480</v>
      </c>
      <c r="F10" s="370">
        <f>+'[2]EJ 1 - Caño'!$C$30</f>
        <v>17722.800000000003</v>
      </c>
      <c r="G10" s="376"/>
      <c r="H10" s="368"/>
      <c r="I10" s="368"/>
      <c r="J10" s="368"/>
      <c r="K10" s="368"/>
      <c r="L10" s="376"/>
      <c r="M10" s="369" t="s">
        <v>502</v>
      </c>
      <c r="N10" s="368"/>
      <c r="O10" s="368"/>
      <c r="P10" s="382">
        <f>('E-Inv AF y Am'!D55-'E-Inv AF y Am'!D50)*0.9</f>
        <v>367063.6704989837</v>
      </c>
      <c r="Q10" s="376"/>
      <c r="W10" s="363">
        <f>SUM(W4:W8)</f>
        <v>2325600</v>
      </c>
      <c r="X10" s="376"/>
      <c r="Y10" s="369" t="s">
        <v>519</v>
      </c>
      <c r="Z10" s="368"/>
      <c r="AA10" s="368"/>
      <c r="AB10" s="368"/>
      <c r="AC10" s="372">
        <f>('E-Inv AF y Am'!B45+'E-Inv AF y Am'!B46)*AA4</f>
        <v>23845.600000000002</v>
      </c>
    </row>
    <row r="11" spans="1:29" x14ac:dyDescent="0.2">
      <c r="A11" s="505" t="s">
        <v>581</v>
      </c>
      <c r="B11" s="369"/>
      <c r="C11" s="368"/>
      <c r="D11" s="509">
        <f>+'[2]EJ 1 -  Caucho'!$F$4</f>
        <v>6000</v>
      </c>
      <c r="E11" s="515">
        <f>+'[2]EJ 1 - Separador'!$F$6</f>
        <v>120000</v>
      </c>
      <c r="F11" s="370">
        <f>+'[2]EJ 1 - Caño'!$F$4</f>
        <v>16200.000000000002</v>
      </c>
      <c r="G11" s="376"/>
      <c r="H11" s="379" t="s">
        <v>495</v>
      </c>
      <c r="I11" s="368"/>
      <c r="J11" s="368"/>
      <c r="K11" s="368"/>
      <c r="L11" s="376"/>
      <c r="M11" s="369" t="s">
        <v>506</v>
      </c>
      <c r="N11" s="368"/>
      <c r="O11" s="368"/>
      <c r="P11" s="372">
        <f>'E-Inv AF y Am'!D50</f>
        <v>17060</v>
      </c>
      <c r="Q11" s="376"/>
      <c r="R11" s="368"/>
      <c r="S11" s="368"/>
      <c r="T11" s="368"/>
      <c r="U11" s="368"/>
      <c r="V11" s="368"/>
      <c r="W11" s="368"/>
      <c r="X11" s="376"/>
      <c r="Y11" s="368"/>
      <c r="Z11" s="389" t="s">
        <v>522</v>
      </c>
      <c r="AA11" s="368"/>
      <c r="AB11" s="368"/>
      <c r="AC11" s="372">
        <f>('E-Inv AF y Am'!D50*0.89)*(0.11+0.05)</f>
        <v>2429.3440000000001</v>
      </c>
    </row>
    <row r="12" spans="1:29" x14ac:dyDescent="0.2">
      <c r="A12" s="368"/>
      <c r="B12" s="368"/>
      <c r="C12" s="368"/>
      <c r="D12" s="510"/>
      <c r="E12" s="516"/>
      <c r="F12" s="368"/>
      <c r="G12" s="376"/>
      <c r="H12" s="368"/>
      <c r="I12" s="368"/>
      <c r="J12" s="368"/>
      <c r="K12" s="368"/>
      <c r="L12" s="376"/>
      <c r="M12" s="369" t="s">
        <v>507</v>
      </c>
      <c r="N12" s="368"/>
      <c r="O12" s="368"/>
      <c r="P12" s="363">
        <f>P10+P11</f>
        <v>384123.6704989837</v>
      </c>
      <c r="Q12" s="376"/>
      <c r="R12" s="505" t="s">
        <v>608</v>
      </c>
      <c r="S12" s="368"/>
      <c r="T12" s="368"/>
      <c r="U12" s="368"/>
      <c r="V12" s="368"/>
      <c r="W12" s="368"/>
      <c r="X12" s="376"/>
      <c r="Y12" s="368"/>
      <c r="Z12" s="389" t="s">
        <v>523</v>
      </c>
      <c r="AA12" s="368"/>
      <c r="AB12" s="368"/>
      <c r="AC12" s="372">
        <f>SUM(AC8:AC11)*0.1</f>
        <v>8350.4587250000004</v>
      </c>
    </row>
    <row r="13" spans="1:29" x14ac:dyDescent="0.2">
      <c r="A13" s="369" t="s">
        <v>477</v>
      </c>
      <c r="B13" s="369"/>
      <c r="C13" s="368"/>
      <c r="D13" s="511">
        <f>D10/D11</f>
        <v>1.0229999999999999</v>
      </c>
      <c r="E13" s="517">
        <f>E10/E11</f>
        <v>1.004</v>
      </c>
      <c r="F13" s="371">
        <f>F10/F11</f>
        <v>1.0940000000000001</v>
      </c>
      <c r="G13" s="376"/>
      <c r="H13" s="505" t="s">
        <v>617</v>
      </c>
      <c r="I13" s="369"/>
      <c r="J13" s="369" t="s">
        <v>496</v>
      </c>
      <c r="K13" s="372">
        <f>K5*(1+SUM(K8:K9))</f>
        <v>127.02900000000001</v>
      </c>
      <c r="L13" s="376"/>
      <c r="M13" s="368"/>
      <c r="N13" s="368"/>
      <c r="O13" s="368"/>
      <c r="P13" s="368"/>
      <c r="Q13" s="376"/>
      <c r="R13" s="368"/>
      <c r="S13" s="368"/>
      <c r="T13" s="368"/>
      <c r="U13" s="368"/>
      <c r="V13" s="368"/>
      <c r="W13" s="368"/>
      <c r="X13" s="376"/>
      <c r="Y13" s="368"/>
      <c r="Z13" s="389" t="s">
        <v>524</v>
      </c>
      <c r="AA13" s="368"/>
      <c r="AB13" s="368"/>
      <c r="AC13" s="372">
        <f>SUM(AC8:AC12)</f>
        <v>91855.045975000001</v>
      </c>
    </row>
    <row r="14" spans="1:29" x14ac:dyDescent="0.2">
      <c r="A14" s="369" t="s">
        <v>479</v>
      </c>
      <c r="B14" s="369" t="s">
        <v>480</v>
      </c>
      <c r="C14" s="368"/>
      <c r="D14" s="512">
        <f>D10*C3</f>
        <v>356004</v>
      </c>
      <c r="E14" s="518">
        <f>E10*C5</f>
        <v>1139740.8</v>
      </c>
      <c r="F14" s="363">
        <f>F10*C4</f>
        <v>725216.97600000014</v>
      </c>
      <c r="G14" s="376"/>
      <c r="H14" s="505" t="s">
        <v>616</v>
      </c>
      <c r="I14" s="368"/>
      <c r="J14" s="369" t="s">
        <v>496</v>
      </c>
      <c r="K14" s="372">
        <f>K6*(1+SUM(K8:K9))</f>
        <v>148.554</v>
      </c>
      <c r="L14" s="376"/>
      <c r="M14" s="369" t="s">
        <v>508</v>
      </c>
      <c r="N14" s="368"/>
      <c r="O14" s="368"/>
      <c r="P14" s="372">
        <f>+P12/'[2]EJ 11'!$F$10</f>
        <v>17.302868040494761</v>
      </c>
      <c r="Q14" s="376"/>
      <c r="R14" s="505" t="s">
        <v>615</v>
      </c>
      <c r="S14" s="368"/>
      <c r="T14" s="372">
        <v>9500</v>
      </c>
      <c r="U14" s="368"/>
      <c r="V14" s="368"/>
      <c r="W14" s="368"/>
      <c r="X14" s="376"/>
      <c r="Y14" s="368"/>
      <c r="Z14" s="368"/>
      <c r="AA14" s="368"/>
      <c r="AB14" s="368"/>
      <c r="AC14" s="368"/>
    </row>
    <row r="15" spans="1:29" ht="13.5" thickBot="1" x14ac:dyDescent="0.25">
      <c r="A15" s="369" t="s">
        <v>481</v>
      </c>
      <c r="B15" s="369" t="s">
        <v>478</v>
      </c>
      <c r="C15" s="368"/>
      <c r="D15" s="513">
        <f>D14/D11</f>
        <v>59.334000000000003</v>
      </c>
      <c r="E15" s="519">
        <f>E14/E11</f>
        <v>9.4978400000000001</v>
      </c>
      <c r="F15" s="373">
        <f>F14/F11</f>
        <v>44.766480000000001</v>
      </c>
      <c r="G15" s="376"/>
      <c r="H15" s="368"/>
      <c r="I15" s="368"/>
      <c r="J15" s="368"/>
      <c r="K15" s="368"/>
      <c r="L15" s="376"/>
      <c r="M15" s="369" t="s">
        <v>509</v>
      </c>
      <c r="N15" s="368"/>
      <c r="O15" s="368"/>
      <c r="P15" s="372">
        <f>P12/('[2]EJ 11'!$E$10+('[2]EJ 9'!$H$56+'[2]EJ 9'!$H$82)/2)</f>
        <v>21.330128299631529</v>
      </c>
      <c r="Q15" s="376"/>
      <c r="R15" s="381"/>
      <c r="S15" s="388"/>
      <c r="T15" s="368"/>
      <c r="U15" s="368"/>
      <c r="V15" s="368"/>
      <c r="W15" s="368"/>
      <c r="X15" s="376"/>
      <c r="Y15" s="369" t="s">
        <v>520</v>
      </c>
      <c r="Z15" s="368"/>
      <c r="AA15" s="368"/>
      <c r="AB15" s="368"/>
      <c r="AC15" s="372">
        <f>(D14+F14)*AB4</f>
        <v>16218.314640000004</v>
      </c>
    </row>
    <row r="16" spans="1:29" ht="13.5" thickBot="1" x14ac:dyDescent="0.25">
      <c r="A16" s="368"/>
      <c r="B16" s="368"/>
      <c r="C16" s="368"/>
      <c r="D16" s="520"/>
      <c r="E16" s="521"/>
      <c r="F16" s="368"/>
      <c r="G16" s="376"/>
      <c r="H16" s="607" t="s">
        <v>476</v>
      </c>
      <c r="I16" s="608"/>
      <c r="J16" s="608"/>
      <c r="K16" s="609"/>
      <c r="L16" s="376"/>
      <c r="M16" s="368"/>
      <c r="N16" s="368"/>
      <c r="O16" s="368"/>
      <c r="P16" s="368"/>
      <c r="Q16" s="376"/>
      <c r="R16" s="368"/>
      <c r="S16" s="368"/>
      <c r="T16" s="368"/>
      <c r="U16" s="368"/>
      <c r="V16" s="368"/>
      <c r="W16" s="368"/>
      <c r="X16" s="376"/>
      <c r="Y16" s="368"/>
      <c r="Z16" s="368"/>
      <c r="AA16" s="368"/>
      <c r="AB16" s="368"/>
      <c r="AC16" s="372"/>
    </row>
    <row r="17" spans="1:29" ht="13.5" thickBot="1" x14ac:dyDescent="0.25">
      <c r="A17" s="610" t="s">
        <v>24</v>
      </c>
      <c r="B17" s="611"/>
      <c r="C17" s="611"/>
      <c r="D17" s="611"/>
      <c r="E17" s="611"/>
      <c r="F17" s="612"/>
      <c r="G17" s="376"/>
      <c r="H17" s="368"/>
      <c r="I17" s="368"/>
      <c r="J17" s="368"/>
      <c r="K17" s="368"/>
      <c r="L17" s="376"/>
      <c r="M17" s="606" t="s">
        <v>510</v>
      </c>
      <c r="N17" s="606"/>
      <c r="O17" s="606"/>
      <c r="P17" s="606"/>
      <c r="Q17" s="376"/>
      <c r="R17" s="369" t="s">
        <v>479</v>
      </c>
      <c r="S17" s="368"/>
      <c r="T17" s="552">
        <f>+T14*12</f>
        <v>114000</v>
      </c>
      <c r="U17" s="368"/>
      <c r="V17" s="368"/>
      <c r="W17" s="368"/>
      <c r="X17" s="376"/>
      <c r="Y17" s="369" t="s">
        <v>103</v>
      </c>
      <c r="Z17" s="368"/>
      <c r="AA17" s="368"/>
      <c r="AB17" s="368"/>
      <c r="AC17" s="372">
        <f>(W21+K21)*AC4</f>
        <v>103186.86624</v>
      </c>
    </row>
    <row r="18" spans="1:29" ht="13.5" thickBot="1" x14ac:dyDescent="0.25">
      <c r="A18" s="522"/>
      <c r="B18" s="522"/>
      <c r="C18" s="522"/>
      <c r="D18" s="523"/>
      <c r="E18" s="523"/>
      <c r="F18" s="522"/>
      <c r="G18" s="376"/>
      <c r="H18" s="505" t="s">
        <v>584</v>
      </c>
      <c r="I18" s="368"/>
      <c r="J18" s="538">
        <v>3</v>
      </c>
      <c r="K18" s="372">
        <f>J18*K3*K13</f>
        <v>719492.25600000005</v>
      </c>
      <c r="L18" s="376"/>
      <c r="M18" s="368"/>
      <c r="N18" s="368"/>
      <c r="O18" s="368"/>
      <c r="P18" s="368"/>
      <c r="Q18" s="376"/>
      <c r="R18" s="368"/>
      <c r="S18" s="368"/>
      <c r="T18" s="368"/>
      <c r="U18" s="368"/>
      <c r="V18" s="368"/>
      <c r="W18" s="368"/>
      <c r="X18" s="376"/>
      <c r="Y18" s="368"/>
      <c r="Z18" s="368"/>
      <c r="AA18" s="368"/>
      <c r="AB18" s="368"/>
      <c r="AC18" s="368"/>
    </row>
    <row r="19" spans="1:29" ht="15.75" thickBot="1" x14ac:dyDescent="0.3">
      <c r="A19" s="524" t="s">
        <v>482</v>
      </c>
      <c r="B19" s="537" t="s">
        <v>582</v>
      </c>
      <c r="C19" s="525"/>
      <c r="D19" s="526">
        <f>+'[2]EJ 9'!$G$107</f>
        <v>5143.7787767133386</v>
      </c>
      <c r="E19" s="527">
        <f>+'E-Costos'!B94*'Entrada de Datos'!E13</f>
        <v>80320</v>
      </c>
      <c r="F19" s="528">
        <f>+'[2]EJ 9'!$G$115</f>
        <v>14458.314959469419</v>
      </c>
      <c r="G19" s="376"/>
      <c r="H19" s="505" t="s">
        <v>585</v>
      </c>
      <c r="I19" s="368"/>
      <c r="J19" s="538">
        <v>1</v>
      </c>
      <c r="K19" s="372">
        <f>J19*K3*K14</f>
        <v>280469.95199999999</v>
      </c>
      <c r="L19" s="376"/>
      <c r="M19" s="369" t="s">
        <v>24</v>
      </c>
      <c r="N19" s="368"/>
      <c r="O19" s="368"/>
      <c r="P19" s="363">
        <f>P15*(('[3]EJ 9'!$H$56+'[3]EJ 9'!$H$84)/2)</f>
        <v>58391.454168822711</v>
      </c>
      <c r="Q19" s="376"/>
      <c r="R19" s="601" t="s">
        <v>574</v>
      </c>
      <c r="S19" s="602"/>
      <c r="T19" s="602"/>
      <c r="U19" s="602"/>
      <c r="V19" s="602"/>
      <c r="W19" s="603"/>
      <c r="X19" s="376"/>
      <c r="Y19" s="369" t="s">
        <v>479</v>
      </c>
      <c r="Z19" s="368"/>
      <c r="AA19" s="368"/>
      <c r="AB19" s="368"/>
      <c r="AC19" s="363">
        <f>AC13+AC15+AC17</f>
        <v>211260.22685500002</v>
      </c>
    </row>
    <row r="20" spans="1:29" x14ac:dyDescent="0.2">
      <c r="A20" s="524" t="s">
        <v>484</v>
      </c>
      <c r="B20" s="537" t="s">
        <v>583</v>
      </c>
      <c r="C20" s="525"/>
      <c r="D20" s="526">
        <f>+'[2]EJ 6 - Caucho'!$G$27</f>
        <v>4841.7391304347821</v>
      </c>
      <c r="E20" s="527">
        <f>+'E-Costos'!B94</f>
        <v>80000</v>
      </c>
      <c r="F20" s="528">
        <f>+'[2]EJ 6 - Caño'!$G$27</f>
        <v>13072.695652173914</v>
      </c>
      <c r="G20" s="376"/>
      <c r="H20" s="368"/>
      <c r="I20" s="368"/>
      <c r="J20" s="368"/>
      <c r="K20" s="368"/>
      <c r="L20" s="376"/>
      <c r="M20" s="369" t="s">
        <v>511</v>
      </c>
      <c r="N20" s="368"/>
      <c r="O20" s="368"/>
      <c r="P20" s="363">
        <f>P14*(('[3]EJ 9'!$H$56+'[3]EJ 9'!$H$84)/2)</f>
        <v>47366.786171332613</v>
      </c>
      <c r="Q20" s="376"/>
      <c r="R20" s="368"/>
      <c r="S20" s="368"/>
      <c r="T20" s="368"/>
      <c r="U20" s="368"/>
      <c r="V20" s="368"/>
      <c r="W20" s="368"/>
      <c r="X20" s="376"/>
      <c r="Y20" s="369" t="s">
        <v>497</v>
      </c>
      <c r="Z20" s="368"/>
      <c r="AA20" s="368"/>
      <c r="AB20" s="368"/>
      <c r="AC20" s="372">
        <f>AC19/'[2]EJ 11'!$F$10</f>
        <v>9.5162264349099104</v>
      </c>
    </row>
    <row r="21" spans="1:29" ht="22.5" x14ac:dyDescent="0.2">
      <c r="A21" s="529" t="s">
        <v>485</v>
      </c>
      <c r="B21" s="537" t="s">
        <v>582</v>
      </c>
      <c r="C21" s="525"/>
      <c r="D21" s="526">
        <f>+'[2]EJ 9'!$G$105</f>
        <v>69.813559322033896</v>
      </c>
      <c r="E21" s="527">
        <f>+E20/118</f>
        <v>677.96610169491521</v>
      </c>
      <c r="F21" s="528">
        <f>+'[2]EJ 9'!$G$113</f>
        <v>150.19322033898308</v>
      </c>
      <c r="G21" s="376"/>
      <c r="H21" s="380" t="s">
        <v>479</v>
      </c>
      <c r="I21" s="368"/>
      <c r="J21" s="368"/>
      <c r="K21" s="363">
        <f>SUM(K18:K19)</f>
        <v>999962.2080000001</v>
      </c>
      <c r="L21" s="376"/>
      <c r="M21" s="369" t="s">
        <v>504</v>
      </c>
      <c r="N21" s="368"/>
      <c r="O21" s="368"/>
      <c r="P21" s="363">
        <f>P6*(('[3]EJ 9'!$H$56+'[3]EJ 9'!$H$84)/2)</f>
        <v>47156.417106850531</v>
      </c>
      <c r="Q21" s="376"/>
      <c r="R21" s="369" t="s">
        <v>479</v>
      </c>
      <c r="S21" s="368"/>
      <c r="T21" s="368"/>
      <c r="U21" s="368"/>
      <c r="V21" s="368"/>
      <c r="W21" s="363">
        <f>W10+T17</f>
        <v>2439600</v>
      </c>
      <c r="X21" s="376"/>
      <c r="Y21" s="369" t="s">
        <v>525</v>
      </c>
      <c r="Z21" s="368"/>
      <c r="AA21" s="368"/>
      <c r="AB21" s="368"/>
      <c r="AC21" s="363">
        <f>('[2]EJ 9'!$H$56+'[2]EJ 9'!$H$82)*AC20/2</f>
        <v>895.17045277542377</v>
      </c>
    </row>
    <row r="22" spans="1:29" ht="23.25" thickBot="1" x14ac:dyDescent="0.25">
      <c r="A22" s="529" t="s">
        <v>486</v>
      </c>
      <c r="B22" s="524" t="s">
        <v>483</v>
      </c>
      <c r="C22" s="525"/>
      <c r="D22" s="526">
        <f>+D19-D20-D21</f>
        <v>232.22608695652269</v>
      </c>
      <c r="E22" s="527">
        <v>0</v>
      </c>
      <c r="F22" s="526">
        <f>+F19-F20-F21</f>
        <v>1235.4260869565217</v>
      </c>
      <c r="G22" s="376"/>
      <c r="H22" s="369" t="s">
        <v>497</v>
      </c>
      <c r="I22" s="368"/>
      <c r="J22" s="368"/>
      <c r="K22" s="372">
        <f>K21/'[2]EJ 11'!$F$10</f>
        <v>45.043342702702709</v>
      </c>
      <c r="L22" s="376"/>
      <c r="Q22" s="376"/>
      <c r="R22" s="369" t="s">
        <v>497</v>
      </c>
      <c r="S22" s="368"/>
      <c r="T22" s="368"/>
      <c r="U22" s="368"/>
      <c r="V22" s="368"/>
      <c r="W22" s="372">
        <f>W21/'[2]EJ 11'!$F$10</f>
        <v>109.89189189189189</v>
      </c>
      <c r="X22" s="376"/>
      <c r="Y22" s="368"/>
      <c r="Z22" s="368"/>
      <c r="AA22" s="368"/>
      <c r="AB22" s="368"/>
      <c r="AC22" s="368"/>
    </row>
    <row r="23" spans="1:29" ht="15.75" thickBot="1" x14ac:dyDescent="0.3">
      <c r="A23" s="366"/>
      <c r="B23" s="366"/>
      <c r="C23" s="366"/>
      <c r="D23" s="510"/>
      <c r="E23" s="516"/>
      <c r="F23" s="366"/>
      <c r="G23" s="376"/>
      <c r="H23" s="368"/>
      <c r="I23" s="368"/>
      <c r="J23" s="368"/>
      <c r="K23" s="368"/>
      <c r="L23" s="376"/>
      <c r="Q23" s="376"/>
      <c r="R23" s="369" t="s">
        <v>517</v>
      </c>
      <c r="S23" s="368"/>
      <c r="T23" s="368"/>
      <c r="U23" s="368"/>
      <c r="V23" s="368"/>
      <c r="W23" s="363">
        <f>('[2]EJ 9'!$H$56+'[2]EJ 9'!$H$82)/2*W22</f>
        <v>10337.28813559322</v>
      </c>
      <c r="X23" s="376"/>
      <c r="Y23" s="601" t="s">
        <v>511</v>
      </c>
      <c r="Z23" s="602"/>
      <c r="AA23" s="602"/>
      <c r="AB23" s="602"/>
      <c r="AC23" s="603"/>
    </row>
    <row r="24" spans="1:29" ht="15.75" thickBot="1" x14ac:dyDescent="0.3">
      <c r="A24" s="365" t="s">
        <v>479</v>
      </c>
      <c r="B24" s="366"/>
      <c r="C24" s="366"/>
      <c r="D24" s="512">
        <f>D19*C3</f>
        <v>298339.16904937365</v>
      </c>
      <c r="E24" s="512">
        <f>E19*C5</f>
        <v>759827.20000000007</v>
      </c>
      <c r="F24" s="364">
        <f>F19*C4</f>
        <v>591634.24814148864</v>
      </c>
      <c r="G24" s="376"/>
      <c r="H24" s="601" t="s">
        <v>24</v>
      </c>
      <c r="I24" s="602"/>
      <c r="J24" s="602"/>
      <c r="K24" s="603"/>
      <c r="L24" s="376"/>
      <c r="Q24" s="376"/>
      <c r="R24" s="368"/>
      <c r="S24" s="368"/>
      <c r="T24" s="368"/>
      <c r="U24" s="368"/>
      <c r="V24" s="368"/>
      <c r="W24" s="368"/>
      <c r="X24" s="376"/>
      <c r="Y24" s="368"/>
      <c r="Z24" s="368"/>
      <c r="AA24" s="368"/>
      <c r="AB24" s="368"/>
      <c r="AC24" s="368"/>
    </row>
    <row r="25" spans="1:29" ht="24" thickBot="1" x14ac:dyDescent="0.3">
      <c r="A25" s="367" t="s">
        <v>487</v>
      </c>
      <c r="B25" s="366"/>
      <c r="C25" s="366"/>
      <c r="D25" s="512">
        <f>D21*C3</f>
        <v>4049.1864406779659</v>
      </c>
      <c r="E25" s="512">
        <f>E21*C5</f>
        <v>6413.5593220338988</v>
      </c>
      <c r="F25" s="364">
        <f>F21*C4</f>
        <v>6145.906576271188</v>
      </c>
      <c r="G25" s="376"/>
      <c r="H25" s="369" t="s">
        <v>498</v>
      </c>
      <c r="I25" s="368"/>
      <c r="J25" s="368"/>
      <c r="K25" s="378">
        <v>0.9</v>
      </c>
      <c r="L25" s="376"/>
      <c r="Q25" s="376"/>
      <c r="R25" s="601" t="s">
        <v>24</v>
      </c>
      <c r="S25" s="602"/>
      <c r="T25" s="602"/>
      <c r="U25" s="602"/>
      <c r="V25" s="602"/>
      <c r="W25" s="603"/>
      <c r="X25" s="376"/>
      <c r="Y25" s="369" t="s">
        <v>479</v>
      </c>
      <c r="Z25" s="368"/>
      <c r="AA25" s="368"/>
      <c r="AB25" s="368"/>
      <c r="AC25" s="363">
        <f>AC19-(('E-Inv AF y Am'!D50*0.89)+AC11+AC12)</f>
        <v>185297.02413000001</v>
      </c>
    </row>
    <row r="26" spans="1:29" ht="22.5" x14ac:dyDescent="0.2">
      <c r="A26" s="367" t="s">
        <v>488</v>
      </c>
      <c r="B26" s="366"/>
      <c r="C26" s="366"/>
      <c r="D26" s="512">
        <f>D22*C3</f>
        <v>13469.113043478315</v>
      </c>
      <c r="E26" s="512">
        <f>E22*D3</f>
        <v>0</v>
      </c>
      <c r="F26" s="364">
        <f>F22*C4</f>
        <v>50553.635478260869</v>
      </c>
      <c r="G26" s="376"/>
      <c r="H26" s="505" t="s">
        <v>489</v>
      </c>
      <c r="I26" s="368"/>
      <c r="J26" s="368"/>
      <c r="K26" s="363">
        <f>K21*K25</f>
        <v>899965.98720000009</v>
      </c>
      <c r="L26" s="376"/>
      <c r="Q26" s="376"/>
      <c r="R26" s="368"/>
      <c r="S26" s="368"/>
      <c r="T26" s="368"/>
      <c r="U26" s="368"/>
      <c r="V26" s="368"/>
      <c r="W26" s="368"/>
      <c r="X26" s="376"/>
      <c r="Y26" s="369" t="s">
        <v>497</v>
      </c>
      <c r="Z26" s="368"/>
      <c r="AA26" s="368"/>
      <c r="AB26" s="368"/>
      <c r="AC26" s="372">
        <f>AC25/'[2]EJ 11'!$F$10</f>
        <v>8.3467127986486496</v>
      </c>
    </row>
    <row r="27" spans="1:29" x14ac:dyDescent="0.2">
      <c r="G27" s="376"/>
      <c r="H27" s="369" t="s">
        <v>499</v>
      </c>
      <c r="I27" s="368"/>
      <c r="J27" s="368"/>
      <c r="K27" s="372">
        <f>+'[2]EJ 11'!$E$10*K22</f>
        <v>806926.02523826098</v>
      </c>
      <c r="L27" s="376"/>
      <c r="M27" s="369"/>
      <c r="N27" s="368"/>
      <c r="O27" s="368"/>
      <c r="P27" s="544"/>
      <c r="Q27" s="376"/>
      <c r="R27" s="369" t="s">
        <v>479</v>
      </c>
      <c r="S27" s="368"/>
      <c r="T27" s="368"/>
      <c r="U27" s="368"/>
      <c r="V27" s="368"/>
      <c r="W27" s="363">
        <f>W21*K25</f>
        <v>2195640</v>
      </c>
      <c r="X27" s="376"/>
      <c r="Y27" s="369" t="s">
        <v>525</v>
      </c>
      <c r="Z27" s="368"/>
      <c r="AA27" s="368"/>
      <c r="AB27" s="368"/>
      <c r="AC27" s="363">
        <f>('[2]EJ 9'!$H$56+'[2]EJ 9'!$H$82)*AC26/2</f>
        <v>785.15688190677974</v>
      </c>
    </row>
    <row r="28" spans="1:29" ht="13.5" thickBot="1" x14ac:dyDescent="0.25">
      <c r="G28" s="376"/>
      <c r="H28" s="369" t="s">
        <v>500</v>
      </c>
      <c r="I28" s="368"/>
      <c r="J28" s="368"/>
      <c r="K28" s="363">
        <f>+'[2]EJ 11'!$E$12*K22</f>
        <v>9909.840773189193</v>
      </c>
      <c r="L28" s="376"/>
      <c r="M28" s="368"/>
      <c r="N28" s="368"/>
      <c r="O28" s="368"/>
      <c r="P28" s="368"/>
      <c r="Q28" s="376"/>
      <c r="R28" s="369" t="s">
        <v>497</v>
      </c>
      <c r="S28" s="368"/>
      <c r="T28" s="368"/>
      <c r="U28" s="368"/>
      <c r="V28" s="368"/>
      <c r="W28" s="372">
        <f>W27/'[2]EJ 11'!$E$10</f>
        <v>122.56261649580615</v>
      </c>
      <c r="X28" s="376"/>
      <c r="Y28" s="368"/>
      <c r="Z28" s="368"/>
      <c r="AA28" s="368"/>
      <c r="AB28" s="368"/>
      <c r="AC28" s="368"/>
    </row>
    <row r="29" spans="1:29" ht="15.75" thickBot="1" x14ac:dyDescent="0.3">
      <c r="G29" s="376"/>
      <c r="H29" s="381" t="s">
        <v>501</v>
      </c>
      <c r="I29" s="381"/>
      <c r="J29" s="381"/>
      <c r="K29" s="363">
        <f>K26-SUM(K27:K28)</f>
        <v>83130.121188549907</v>
      </c>
      <c r="L29" s="376"/>
      <c r="M29" s="368"/>
      <c r="N29" s="368"/>
      <c r="O29" s="368"/>
      <c r="P29" s="368"/>
      <c r="Q29" s="376"/>
      <c r="R29" s="369" t="s">
        <v>518</v>
      </c>
      <c r="S29" s="368"/>
      <c r="T29" s="368"/>
      <c r="U29" s="368"/>
      <c r="V29" s="368"/>
      <c r="W29" s="363">
        <f>('[2]EJ 9'!$H$56+'[2]EJ 9'!$H$82)/2*W28</f>
        <v>11529.195280537699</v>
      </c>
      <c r="X29" s="376"/>
      <c r="Y29" s="601" t="s">
        <v>24</v>
      </c>
      <c r="Z29" s="602"/>
      <c r="AA29" s="602"/>
      <c r="AB29" s="602"/>
      <c r="AC29" s="603"/>
    </row>
    <row r="30" spans="1:29" x14ac:dyDescent="0.2">
      <c r="X30" s="376"/>
      <c r="Y30" s="368"/>
      <c r="Z30" s="368"/>
      <c r="AA30" s="368"/>
      <c r="AB30" s="368"/>
      <c r="AC30" s="368"/>
    </row>
    <row r="31" spans="1:29" x14ac:dyDescent="0.2">
      <c r="X31" s="376"/>
      <c r="Y31" s="369" t="s">
        <v>479</v>
      </c>
      <c r="Z31" s="368"/>
      <c r="AA31" s="368"/>
      <c r="AB31" s="368"/>
      <c r="AC31" s="363">
        <f>AC25*0.9</f>
        <v>166767.32171700001</v>
      </c>
    </row>
    <row r="32" spans="1:29" x14ac:dyDescent="0.2">
      <c r="X32" s="376"/>
      <c r="Y32" s="369" t="s">
        <v>499</v>
      </c>
      <c r="Z32" s="368"/>
      <c r="AA32" s="368"/>
      <c r="AB32" s="368"/>
      <c r="AC32" s="372">
        <f>'[2]EJ 11'!$E$10*AC26</f>
        <v>149526.64208055654</v>
      </c>
    </row>
    <row r="33" spans="24:29" x14ac:dyDescent="0.2">
      <c r="X33" s="376"/>
      <c r="Y33" s="369" t="s">
        <v>526</v>
      </c>
      <c r="Z33" s="368"/>
      <c r="AA33" s="368"/>
      <c r="AB33" s="368"/>
      <c r="AC33" s="363">
        <f>AC27</f>
        <v>785.15688190677974</v>
      </c>
    </row>
    <row r="34" spans="24:29" x14ac:dyDescent="0.2">
      <c r="X34" s="376"/>
      <c r="Y34" s="369" t="s">
        <v>527</v>
      </c>
      <c r="Z34" s="368"/>
      <c r="AA34" s="368"/>
      <c r="AB34" s="368"/>
      <c r="AC34" s="363">
        <f>AC31-AC32-AC33</f>
        <v>16455.522754536691</v>
      </c>
    </row>
  </sheetData>
  <mergeCells count="15">
    <mergeCell ref="A6:F6"/>
    <mergeCell ref="A17:F17"/>
    <mergeCell ref="A1:F1"/>
    <mergeCell ref="H16:K16"/>
    <mergeCell ref="R25:W25"/>
    <mergeCell ref="Y29:AC29"/>
    <mergeCell ref="Y23:AC23"/>
    <mergeCell ref="Y1:AC1"/>
    <mergeCell ref="H24:K24"/>
    <mergeCell ref="H1:K1"/>
    <mergeCell ref="M17:P17"/>
    <mergeCell ref="M1:P1"/>
    <mergeCell ref="R1:W1"/>
    <mergeCell ref="R19:W19"/>
    <mergeCell ref="Y6:AC6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G42"/>
  <sheetViews>
    <sheetView topLeftCell="A24" zoomScaleNormal="100" workbookViewId="0">
      <selection activeCell="B42" sqref="B42"/>
    </sheetView>
  </sheetViews>
  <sheetFormatPr baseColWidth="10" defaultRowHeight="12.75" x14ac:dyDescent="0.2"/>
  <cols>
    <col min="1" max="1" width="42.28515625" bestFit="1" customWidth="1"/>
    <col min="4" max="4" width="17.42578125" customWidth="1"/>
  </cols>
  <sheetData>
    <row r="1" spans="1:5" x14ac:dyDescent="0.2">
      <c r="A1" s="500" t="s">
        <v>562</v>
      </c>
      <c r="E1" s="504"/>
    </row>
    <row r="3" spans="1:5" x14ac:dyDescent="0.2">
      <c r="A3" s="6" t="s">
        <v>35</v>
      </c>
      <c r="B3" s="7">
        <v>0.21</v>
      </c>
    </row>
    <row r="4" spans="1:5" x14ac:dyDescent="0.2">
      <c r="A4" s="6" t="s">
        <v>36</v>
      </c>
      <c r="B4" s="7">
        <v>0.35</v>
      </c>
    </row>
    <row r="5" spans="1:5" x14ac:dyDescent="0.2">
      <c r="A5" s="6" t="s">
        <v>78</v>
      </c>
      <c r="B5" s="7">
        <v>7.0000000000000007E-2</v>
      </c>
      <c r="C5" t="s">
        <v>79</v>
      </c>
    </row>
    <row r="7" spans="1:5" x14ac:dyDescent="0.2">
      <c r="A7" s="6" t="s">
        <v>45</v>
      </c>
      <c r="B7" t="s">
        <v>44</v>
      </c>
    </row>
    <row r="8" spans="1:5" x14ac:dyDescent="0.2">
      <c r="A8" s="5" t="s">
        <v>37</v>
      </c>
      <c r="B8" s="4">
        <v>30</v>
      </c>
      <c r="C8" t="s">
        <v>38</v>
      </c>
    </row>
    <row r="9" spans="1:5" x14ac:dyDescent="0.2">
      <c r="A9" s="5" t="s">
        <v>39</v>
      </c>
      <c r="B9" s="4">
        <v>10</v>
      </c>
      <c r="C9" t="s">
        <v>38</v>
      </c>
    </row>
    <row r="10" spans="1:5" x14ac:dyDescent="0.2">
      <c r="A10" s="5" t="s">
        <v>40</v>
      </c>
      <c r="B10" s="4">
        <v>10</v>
      </c>
      <c r="C10" t="s">
        <v>38</v>
      </c>
    </row>
    <row r="11" spans="1:5" x14ac:dyDescent="0.2">
      <c r="A11" s="3" t="s">
        <v>41</v>
      </c>
      <c r="B11" s="4">
        <v>5</v>
      </c>
      <c r="C11" t="s">
        <v>38</v>
      </c>
    </row>
    <row r="12" spans="1:5" x14ac:dyDescent="0.2">
      <c r="A12" s="3" t="s">
        <v>42</v>
      </c>
      <c r="B12" s="4">
        <v>5</v>
      </c>
      <c r="C12" t="s">
        <v>38</v>
      </c>
    </row>
    <row r="13" spans="1:5" x14ac:dyDescent="0.2">
      <c r="A13" s="3" t="s">
        <v>43</v>
      </c>
      <c r="B13" s="4">
        <v>3</v>
      </c>
      <c r="C13" t="s">
        <v>38</v>
      </c>
    </row>
    <row r="14" spans="1:5" x14ac:dyDescent="0.2">
      <c r="A14" s="3" t="s">
        <v>46</v>
      </c>
      <c r="B14" s="4">
        <v>5</v>
      </c>
      <c r="C14" t="s">
        <v>38</v>
      </c>
    </row>
    <row r="15" spans="1:5" x14ac:dyDescent="0.2">
      <c r="A15" s="502" t="s">
        <v>58</v>
      </c>
      <c r="B15" s="503">
        <v>4.4999999999999998E-2</v>
      </c>
    </row>
    <row r="17" spans="1:7" x14ac:dyDescent="0.2">
      <c r="A17" s="6" t="s">
        <v>72</v>
      </c>
      <c r="B17" s="617" t="s">
        <v>563</v>
      </c>
      <c r="C17" s="618"/>
      <c r="D17" s="618"/>
      <c r="E17" s="618"/>
      <c r="F17" s="618"/>
      <c r="G17" s="619"/>
    </row>
    <row r="19" spans="1:7" x14ac:dyDescent="0.2">
      <c r="A19" s="6" t="s">
        <v>63</v>
      </c>
      <c r="B19" s="24">
        <f>+AVERAGE([4]Hoja1!$B$9:$F$9)</f>
        <v>112000</v>
      </c>
      <c r="C19" t="s">
        <v>65</v>
      </c>
    </row>
    <row r="20" spans="1:7" x14ac:dyDescent="0.2">
      <c r="A20" s="6" t="s">
        <v>64</v>
      </c>
      <c r="B20" s="24">
        <f>+[4]Hoja1!$B$10</f>
        <v>140</v>
      </c>
      <c r="C20" t="s">
        <v>66</v>
      </c>
    </row>
    <row r="22" spans="1:7" x14ac:dyDescent="0.2">
      <c r="A22" s="6" t="s">
        <v>67</v>
      </c>
    </row>
    <row r="23" spans="1:7" x14ac:dyDescent="0.2">
      <c r="A23" s="6" t="s">
        <v>68</v>
      </c>
      <c r="B23" s="24">
        <v>5</v>
      </c>
      <c r="C23" t="s">
        <v>71</v>
      </c>
    </row>
    <row r="24" spans="1:7" x14ac:dyDescent="0.2">
      <c r="A24" s="6" t="s">
        <v>69</v>
      </c>
      <c r="B24" s="24">
        <v>3</v>
      </c>
      <c r="C24" t="s">
        <v>71</v>
      </c>
    </row>
    <row r="25" spans="1:7" x14ac:dyDescent="0.2">
      <c r="A25" s="6" t="s">
        <v>70</v>
      </c>
      <c r="B25" s="24">
        <v>2</v>
      </c>
      <c r="C25" t="s">
        <v>71</v>
      </c>
    </row>
    <row r="27" spans="1:7" x14ac:dyDescent="0.2">
      <c r="A27" s="6" t="s">
        <v>73</v>
      </c>
      <c r="B27" s="24">
        <v>500</v>
      </c>
      <c r="C27" t="s">
        <v>74</v>
      </c>
    </row>
    <row r="28" spans="1:7" x14ac:dyDescent="0.2">
      <c r="A28" s="6" t="s">
        <v>75</v>
      </c>
      <c r="B28" s="24">
        <v>8</v>
      </c>
      <c r="C28" t="s">
        <v>77</v>
      </c>
    </row>
    <row r="29" spans="1:7" x14ac:dyDescent="0.2">
      <c r="A29" s="6" t="s">
        <v>76</v>
      </c>
      <c r="B29" s="24">
        <v>3</v>
      </c>
      <c r="C29" t="s">
        <v>77</v>
      </c>
    </row>
    <row r="32" spans="1:7" x14ac:dyDescent="0.2">
      <c r="A32" s="6" t="s">
        <v>32</v>
      </c>
      <c r="B32" s="24">
        <v>15.5</v>
      </c>
      <c r="C32" t="s">
        <v>33</v>
      </c>
      <c r="D32" s="24">
        <v>1</v>
      </c>
      <c r="E32" t="s">
        <v>34</v>
      </c>
    </row>
    <row r="33" spans="1:4" x14ac:dyDescent="0.2">
      <c r="A33" s="1"/>
    </row>
    <row r="34" spans="1:4" x14ac:dyDescent="0.2">
      <c r="A34" s="1"/>
    </row>
    <row r="35" spans="1:4" x14ac:dyDescent="0.2">
      <c r="A35" s="6" t="s">
        <v>238</v>
      </c>
      <c r="B35" s="391">
        <v>0.23</v>
      </c>
      <c r="C35" t="s">
        <v>621</v>
      </c>
    </row>
    <row r="36" spans="1:4" x14ac:dyDescent="0.2">
      <c r="A36" s="6" t="s">
        <v>242</v>
      </c>
      <c r="B36" s="614" t="s">
        <v>221</v>
      </c>
      <c r="C36" s="615"/>
      <c r="D36" s="616"/>
    </row>
    <row r="37" spans="1:4" x14ac:dyDescent="0.2">
      <c r="A37" s="6" t="s">
        <v>239</v>
      </c>
      <c r="B37" s="392">
        <v>0.75</v>
      </c>
    </row>
    <row r="38" spans="1:4" x14ac:dyDescent="0.2">
      <c r="A38" s="6"/>
    </row>
    <row r="39" spans="1:4" x14ac:dyDescent="0.2">
      <c r="A39" s="6" t="s">
        <v>240</v>
      </c>
      <c r="B39" s="24">
        <v>30</v>
      </c>
    </row>
    <row r="40" spans="1:4" x14ac:dyDescent="0.2">
      <c r="A40" s="6" t="s">
        <v>241</v>
      </c>
      <c r="B40" s="393">
        <v>0.5</v>
      </c>
    </row>
    <row r="41" spans="1:4" x14ac:dyDescent="0.2">
      <c r="A41" s="6" t="s">
        <v>243</v>
      </c>
      <c r="B41" s="393">
        <v>0.35</v>
      </c>
      <c r="C41" t="s">
        <v>244</v>
      </c>
    </row>
    <row r="42" spans="1:4" x14ac:dyDescent="0.2">
      <c r="A42" s="659" t="s">
        <v>620</v>
      </c>
      <c r="B42" s="393">
        <v>0.25</v>
      </c>
    </row>
  </sheetData>
  <mergeCells count="2">
    <mergeCell ref="B36:D36"/>
    <mergeCell ref="B17:G17"/>
  </mergeCells>
  <pageMargins left="0.75" right="0.75" top="0.7" bottom="1" header="0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56"/>
  <sheetViews>
    <sheetView topLeftCell="A26" zoomScale="85" zoomScaleNormal="85" workbookViewId="0">
      <selection activeCell="G55" sqref="G55"/>
    </sheetView>
  </sheetViews>
  <sheetFormatPr baseColWidth="10" defaultRowHeight="12.75" x14ac:dyDescent="0.2"/>
  <cols>
    <col min="1" max="1" width="46" style="38" customWidth="1"/>
    <col min="2" max="5" width="14.85546875" style="38" bestFit="1" customWidth="1"/>
    <col min="6" max="7" width="14.85546875" style="38" customWidth="1"/>
    <col min="8" max="8" width="15.28515625" style="38" customWidth="1"/>
    <col min="9" max="9" width="16.28515625" style="38" customWidth="1"/>
    <col min="10" max="16384" width="11.42578125" style="38"/>
  </cols>
  <sheetData>
    <row r="1" spans="1:10" x14ac:dyDescent="0.2">
      <c r="A1" s="500" t="s">
        <v>564</v>
      </c>
      <c r="B1"/>
      <c r="C1"/>
      <c r="D1"/>
      <c r="E1" s="501">
        <f>+InfoInicial!E1</f>
        <v>0</v>
      </c>
    </row>
    <row r="2" spans="1:10" ht="13.5" thickBot="1" x14ac:dyDescent="0.25"/>
    <row r="3" spans="1:10" ht="16.5" thickTop="1" x14ac:dyDescent="0.25">
      <c r="A3" s="39" t="s">
        <v>29</v>
      </c>
      <c r="B3" s="620" t="s">
        <v>30</v>
      </c>
      <c r="C3" s="620"/>
      <c r="D3" s="620" t="s">
        <v>31</v>
      </c>
      <c r="E3" s="621"/>
    </row>
    <row r="4" spans="1:10" ht="16.5" thickBot="1" x14ac:dyDescent="0.3">
      <c r="A4" s="41"/>
      <c r="B4" s="42" t="s">
        <v>23</v>
      </c>
      <c r="C4" s="42" t="s">
        <v>24</v>
      </c>
      <c r="D4" s="42" t="s">
        <v>23</v>
      </c>
      <c r="E4" s="43" t="s">
        <v>24</v>
      </c>
      <c r="H4" s="539" t="s">
        <v>586</v>
      </c>
    </row>
    <row r="5" spans="1:10" ht="13.5" thickTop="1" x14ac:dyDescent="0.2">
      <c r="A5" s="44"/>
      <c r="B5" s="45"/>
      <c r="C5" s="45"/>
      <c r="D5" s="45"/>
      <c r="E5" s="45"/>
      <c r="H5" s="539"/>
    </row>
    <row r="6" spans="1:10" x14ac:dyDescent="0.2">
      <c r="A6" s="11" t="s">
        <v>22</v>
      </c>
      <c r="B6" s="46"/>
      <c r="C6" s="46"/>
      <c r="D6" s="46"/>
      <c r="E6" s="46"/>
      <c r="H6" s="540" t="s">
        <v>587</v>
      </c>
      <c r="I6" s="541" t="s">
        <v>588</v>
      </c>
      <c r="J6" s="541" t="s">
        <v>303</v>
      </c>
    </row>
    <row r="7" spans="1:10" x14ac:dyDescent="0.2">
      <c r="A7" s="10" t="s">
        <v>2</v>
      </c>
      <c r="B7" s="47">
        <f>200000*InfoInicial!B32</f>
        <v>3100000</v>
      </c>
      <c r="C7" s="47"/>
      <c r="D7" s="47"/>
      <c r="E7" s="47"/>
      <c r="H7" s="38" t="s">
        <v>591</v>
      </c>
      <c r="I7" s="543">
        <v>60000</v>
      </c>
      <c r="J7" s="544">
        <f>+I7*0.21</f>
        <v>12600</v>
      </c>
    </row>
    <row r="8" spans="1:10" x14ac:dyDescent="0.2">
      <c r="A8" s="10" t="s">
        <v>3</v>
      </c>
      <c r="B8" s="47">
        <v>600000</v>
      </c>
      <c r="C8" s="47"/>
      <c r="D8" s="47"/>
      <c r="E8" s="47"/>
      <c r="H8" s="38" t="s">
        <v>594</v>
      </c>
      <c r="I8" s="543">
        <v>500000</v>
      </c>
      <c r="J8" s="544">
        <f t="shared" ref="J8:J11" si="0">+I8*0.21</f>
        <v>105000</v>
      </c>
    </row>
    <row r="9" spans="1:10" x14ac:dyDescent="0.2">
      <c r="A9" s="10" t="s">
        <v>4</v>
      </c>
      <c r="B9" s="47">
        <v>350000</v>
      </c>
      <c r="C9" s="47">
        <v>0</v>
      </c>
      <c r="D9" s="228"/>
      <c r="E9" s="228"/>
      <c r="H9" s="38" t="s">
        <v>596</v>
      </c>
      <c r="I9" s="543">
        <v>23000</v>
      </c>
      <c r="J9" s="544">
        <f t="shared" si="0"/>
        <v>4830</v>
      </c>
    </row>
    <row r="10" spans="1:10" x14ac:dyDescent="0.2">
      <c r="A10" s="10" t="s">
        <v>5</v>
      </c>
      <c r="B10" s="546"/>
      <c r="C10" s="547"/>
      <c r="D10" s="547"/>
      <c r="E10" s="548"/>
      <c r="H10" s="38" t="s">
        <v>598</v>
      </c>
      <c r="I10" s="543">
        <v>150000</v>
      </c>
      <c r="J10" s="544">
        <f t="shared" si="0"/>
        <v>31500</v>
      </c>
    </row>
    <row r="11" spans="1:10" x14ac:dyDescent="0.2">
      <c r="A11" s="10" t="s">
        <v>6</v>
      </c>
      <c r="B11" s="47">
        <v>0</v>
      </c>
      <c r="C11" s="47">
        <v>0</v>
      </c>
      <c r="D11" s="235"/>
      <c r="E11" s="228"/>
      <c r="G11" s="315"/>
      <c r="H11" s="38" t="s">
        <v>600</v>
      </c>
      <c r="I11" s="543">
        <v>120000</v>
      </c>
      <c r="J11" s="544">
        <f t="shared" si="0"/>
        <v>25200</v>
      </c>
    </row>
    <row r="12" spans="1:10" x14ac:dyDescent="0.2">
      <c r="A12" s="10" t="s">
        <v>7</v>
      </c>
      <c r="B12" s="163">
        <f>+SUM(I7:I11)</f>
        <v>853000</v>
      </c>
      <c r="C12" s="47">
        <v>0</v>
      </c>
      <c r="D12" s="228"/>
      <c r="E12" s="228"/>
      <c r="G12" s="315"/>
    </row>
    <row r="13" spans="1:10" x14ac:dyDescent="0.2">
      <c r="A13" s="48" t="s">
        <v>8</v>
      </c>
      <c r="B13" s="47">
        <v>0</v>
      </c>
      <c r="C13" s="47">
        <v>0</v>
      </c>
      <c r="D13" s="228"/>
      <c r="E13" s="228"/>
      <c r="H13" s="540" t="s">
        <v>589</v>
      </c>
      <c r="I13" s="541" t="s">
        <v>588</v>
      </c>
      <c r="J13" s="541" t="s">
        <v>303</v>
      </c>
    </row>
    <row r="14" spans="1:10" x14ac:dyDescent="0.2">
      <c r="A14" s="10" t="s">
        <v>9</v>
      </c>
      <c r="B14" s="47">
        <f>+B12*0.05</f>
        <v>42650</v>
      </c>
      <c r="C14" s="47">
        <v>0</v>
      </c>
      <c r="D14" s="228"/>
      <c r="E14" s="228"/>
      <c r="F14" s="545"/>
      <c r="H14" s="38" t="s">
        <v>592</v>
      </c>
      <c r="I14" s="543">
        <v>16000</v>
      </c>
      <c r="J14" s="544">
        <f t="shared" ref="J14:J19" si="1">+I14*0.21</f>
        <v>3360</v>
      </c>
    </row>
    <row r="15" spans="1:10" x14ac:dyDescent="0.2">
      <c r="A15" s="10" t="s">
        <v>21</v>
      </c>
      <c r="B15" s="163">
        <f>180000+500000</f>
        <v>680000</v>
      </c>
      <c r="C15" s="47"/>
      <c r="D15" s="47"/>
      <c r="E15" s="47"/>
      <c r="H15" s="38" t="s">
        <v>595</v>
      </c>
      <c r="I15" s="543">
        <v>25000</v>
      </c>
      <c r="J15" s="544">
        <f t="shared" si="1"/>
        <v>5250</v>
      </c>
    </row>
    <row r="16" spans="1:10" x14ac:dyDescent="0.2">
      <c r="A16" s="10" t="s">
        <v>10</v>
      </c>
      <c r="B16" s="47">
        <f>+SUM(I14:I19)</f>
        <v>241000</v>
      </c>
      <c r="C16" s="47"/>
      <c r="D16" s="47"/>
      <c r="E16" s="47"/>
      <c r="H16" s="38" t="s">
        <v>597</v>
      </c>
      <c r="I16" s="543">
        <v>120000</v>
      </c>
      <c r="J16" s="544">
        <f t="shared" si="1"/>
        <v>25200</v>
      </c>
    </row>
    <row r="17" spans="1:10" x14ac:dyDescent="0.2">
      <c r="A17" s="10" t="s">
        <v>11</v>
      </c>
      <c r="B17" s="47">
        <v>300000</v>
      </c>
      <c r="C17" s="47"/>
      <c r="D17" s="47"/>
      <c r="E17" s="47"/>
      <c r="H17" s="38" t="s">
        <v>599</v>
      </c>
      <c r="I17" s="543">
        <v>5000</v>
      </c>
      <c r="J17" s="544">
        <f t="shared" si="1"/>
        <v>1050</v>
      </c>
    </row>
    <row r="18" spans="1:10" x14ac:dyDescent="0.2">
      <c r="A18" s="10" t="s">
        <v>12</v>
      </c>
      <c r="B18" s="47">
        <f>InfoInicial!B15*(SUM(B5:C17))</f>
        <v>277499.25</v>
      </c>
      <c r="C18" s="47"/>
      <c r="D18" s="47"/>
      <c r="E18" s="47"/>
      <c r="H18" s="38" t="s">
        <v>601</v>
      </c>
      <c r="I18" s="543">
        <v>15000</v>
      </c>
      <c r="J18" s="544">
        <f t="shared" si="1"/>
        <v>3150</v>
      </c>
    </row>
    <row r="19" spans="1:10" x14ac:dyDescent="0.2">
      <c r="A19" s="11" t="s">
        <v>13</v>
      </c>
      <c r="B19" s="226">
        <f>SUM(B5:B18)</f>
        <v>6444149.25</v>
      </c>
      <c r="C19" s="226">
        <f>SUM(C5:C18)</f>
        <v>0</v>
      </c>
      <c r="D19" s="226"/>
      <c r="E19" s="226"/>
      <c r="H19" s="38" t="s">
        <v>602</v>
      </c>
      <c r="I19" s="543">
        <v>60000</v>
      </c>
      <c r="J19" s="544">
        <f t="shared" si="1"/>
        <v>12600</v>
      </c>
    </row>
    <row r="20" spans="1:10" x14ac:dyDescent="0.2">
      <c r="A20" s="10"/>
      <c r="B20" s="2"/>
      <c r="C20" s="2"/>
      <c r="D20" s="2"/>
      <c r="E20" s="2"/>
    </row>
    <row r="21" spans="1:10" x14ac:dyDescent="0.2">
      <c r="A21" s="11" t="s">
        <v>14</v>
      </c>
      <c r="B21" s="2"/>
      <c r="C21" s="2"/>
      <c r="D21" s="2"/>
      <c r="E21" s="2"/>
    </row>
    <row r="22" spans="1:10" x14ac:dyDescent="0.2">
      <c r="A22" s="10" t="s">
        <v>15</v>
      </c>
      <c r="B22" s="47">
        <f>+SUM(B9:E14)*0.005</f>
        <v>6228.25</v>
      </c>
      <c r="C22" s="47">
        <v>0</v>
      </c>
      <c r="D22" s="228"/>
      <c r="E22" s="228"/>
      <c r="H22" s="542" t="s">
        <v>590</v>
      </c>
      <c r="I22" s="541" t="s">
        <v>588</v>
      </c>
      <c r="J22" s="541" t="s">
        <v>303</v>
      </c>
    </row>
    <row r="23" spans="1:10" x14ac:dyDescent="0.2">
      <c r="A23" s="10" t="s">
        <v>16</v>
      </c>
      <c r="B23" s="47">
        <f>0.02*(SUM($B$19:$E$19))</f>
        <v>128882.985</v>
      </c>
      <c r="C23" s="47">
        <v>0</v>
      </c>
      <c r="D23" s="228"/>
      <c r="E23" s="228"/>
      <c r="H23" s="38" t="s">
        <v>593</v>
      </c>
      <c r="I23" s="543"/>
      <c r="J23" s="544">
        <f>I23*0.21</f>
        <v>0</v>
      </c>
    </row>
    <row r="24" spans="1:10" x14ac:dyDescent="0.2">
      <c r="A24" s="10" t="s">
        <v>17</v>
      </c>
      <c r="B24" s="546"/>
      <c r="C24" s="547"/>
      <c r="D24" s="547"/>
      <c r="E24" s="548"/>
    </row>
    <row r="25" spans="1:10" x14ac:dyDescent="0.2">
      <c r="A25" s="549" t="s">
        <v>603</v>
      </c>
      <c r="B25" s="47">
        <f>+I23*8</f>
        <v>0</v>
      </c>
      <c r="C25" s="47">
        <f>12*I23</f>
        <v>0</v>
      </c>
      <c r="D25" s="228"/>
      <c r="E25" s="228"/>
    </row>
    <row r="26" spans="1:10" x14ac:dyDescent="0.2">
      <c r="A26" s="549" t="s">
        <v>604</v>
      </c>
      <c r="B26" s="47">
        <v>0</v>
      </c>
      <c r="C26" s="47">
        <f>+'E-Costos'!G36</f>
        <v>163608.39246482577</v>
      </c>
      <c r="D26" s="228"/>
      <c r="E26" s="228"/>
    </row>
    <row r="27" spans="1:10" x14ac:dyDescent="0.2">
      <c r="A27" s="550" t="s">
        <v>605</v>
      </c>
      <c r="B27" s="47">
        <f>+B23*0.1</f>
        <v>12888.298500000001</v>
      </c>
      <c r="C27" s="47">
        <v>0</v>
      </c>
      <c r="D27" s="228"/>
      <c r="E27" s="228"/>
    </row>
    <row r="28" spans="1:10" x14ac:dyDescent="0.2">
      <c r="A28" s="550" t="s">
        <v>606</v>
      </c>
      <c r="B28" s="47">
        <v>0</v>
      </c>
      <c r="C28" s="47">
        <v>0</v>
      </c>
      <c r="D28" s="228"/>
      <c r="E28" s="228"/>
    </row>
    <row r="29" spans="1:10" x14ac:dyDescent="0.2">
      <c r="A29" s="551" t="s">
        <v>607</v>
      </c>
      <c r="B29" s="227">
        <f>InfoInicial!B15*(SUM(B22:E28))</f>
        <v>14022.356668417156</v>
      </c>
      <c r="C29" s="47">
        <v>0</v>
      </c>
      <c r="D29" s="228"/>
      <c r="E29" s="228"/>
    </row>
    <row r="30" spans="1:10" x14ac:dyDescent="0.2">
      <c r="A30" s="11" t="s">
        <v>18</v>
      </c>
      <c r="B30" s="226">
        <f>SUM(B22:B29)</f>
        <v>162021.89016841716</v>
      </c>
      <c r="C30" s="226">
        <f>SUM(C22:C29)</f>
        <v>163608.39246482577</v>
      </c>
      <c r="D30" s="226"/>
      <c r="E30" s="226"/>
    </row>
    <row r="31" spans="1:10" x14ac:dyDescent="0.2">
      <c r="A31" s="10"/>
      <c r="B31" s="2"/>
      <c r="C31" s="2"/>
      <c r="D31" s="2"/>
      <c r="E31" s="2"/>
    </row>
    <row r="32" spans="1:10" x14ac:dyDescent="0.2">
      <c r="A32" s="11" t="s">
        <v>19</v>
      </c>
      <c r="B32" s="226">
        <f>+B30+B19</f>
        <v>6606171.1401684172</v>
      </c>
      <c r="C32" s="226">
        <f>+C30+C19</f>
        <v>163608.39246482577</v>
      </c>
      <c r="D32" s="226"/>
      <c r="E32" s="226"/>
    </row>
    <row r="33" spans="1:8" x14ac:dyDescent="0.2">
      <c r="A33" s="10"/>
      <c r="B33" s="2"/>
      <c r="C33" s="2"/>
      <c r="D33" s="2"/>
      <c r="E33" s="2"/>
    </row>
    <row r="34" spans="1:8" x14ac:dyDescent="0.2">
      <c r="A34" s="11" t="s">
        <v>379</v>
      </c>
      <c r="B34" s="226">
        <f>+B32*0.21</f>
        <v>1387295.9394353675</v>
      </c>
      <c r="C34" s="226">
        <f>+C32*0.21</f>
        <v>34357.762417613412</v>
      </c>
      <c r="D34" s="226"/>
      <c r="E34" s="226"/>
    </row>
    <row r="35" spans="1:8" x14ac:dyDescent="0.2">
      <c r="A35" s="10"/>
      <c r="B35" s="2"/>
      <c r="C35" s="2"/>
      <c r="D35" s="2"/>
      <c r="E35" s="2"/>
      <c r="G35" s="230"/>
    </row>
    <row r="36" spans="1:8" ht="13.5" thickBot="1" x14ac:dyDescent="0.25">
      <c r="A36" s="50" t="s">
        <v>20</v>
      </c>
      <c r="B36" s="229">
        <f>+SUM(B32:E32)+SUM(B34:E34)</f>
        <v>8191433.2344862241</v>
      </c>
      <c r="C36" s="51"/>
      <c r="D36" s="51"/>
      <c r="E36" s="51"/>
    </row>
    <row r="37" spans="1:8" ht="13.5" thickTop="1" x14ac:dyDescent="0.2"/>
    <row r="38" spans="1:8" ht="13.5" thickBot="1" x14ac:dyDescent="0.25"/>
    <row r="39" spans="1:8" ht="13.5" thickTop="1" x14ac:dyDescent="0.2">
      <c r="A39" s="52" t="s">
        <v>47</v>
      </c>
      <c r="B39" s="40" t="s">
        <v>48</v>
      </c>
      <c r="C39" s="40" t="s">
        <v>49</v>
      </c>
      <c r="D39" s="620" t="s">
        <v>50</v>
      </c>
      <c r="E39" s="620"/>
      <c r="F39" s="620"/>
      <c r="G39" s="53" t="s">
        <v>51</v>
      </c>
    </row>
    <row r="40" spans="1:8" ht="13.5" thickBot="1" x14ac:dyDescent="0.25">
      <c r="A40" s="54"/>
      <c r="B40" s="42" t="s">
        <v>52</v>
      </c>
      <c r="C40" s="42"/>
      <c r="D40" s="42" t="s">
        <v>53</v>
      </c>
      <c r="E40" s="42" t="s">
        <v>54</v>
      </c>
      <c r="F40" s="42"/>
      <c r="G40" s="55"/>
    </row>
    <row r="41" spans="1:8" ht="13.5" thickTop="1" x14ac:dyDescent="0.2">
      <c r="A41" s="56" t="s">
        <v>1</v>
      </c>
      <c r="B41" s="57"/>
      <c r="C41" s="57"/>
      <c r="D41" s="57"/>
      <c r="E41" s="57"/>
      <c r="F41" s="58"/>
      <c r="G41" s="59"/>
    </row>
    <row r="42" spans="1:8" x14ac:dyDescent="0.2">
      <c r="A42" s="10" t="s">
        <v>2</v>
      </c>
      <c r="B42" s="47">
        <f>+B7</f>
        <v>3100000</v>
      </c>
      <c r="C42" s="47"/>
      <c r="D42" s="47"/>
      <c r="E42" s="47"/>
      <c r="F42" s="47"/>
      <c r="G42" s="60">
        <f>+B42</f>
        <v>3100000</v>
      </c>
    </row>
    <row r="43" spans="1:8" x14ac:dyDescent="0.2">
      <c r="A43" s="10" t="s">
        <v>3</v>
      </c>
      <c r="B43" s="47">
        <f>+B8</f>
        <v>600000</v>
      </c>
      <c r="C43" s="533">
        <f>5/(InfoInicial!B8*5)</f>
        <v>3.3333333333333333E-2</v>
      </c>
      <c r="D43" s="47">
        <f>+$B$43*$C$43</f>
        <v>20000</v>
      </c>
      <c r="E43" s="47">
        <f t="shared" ref="E43:E48" si="2">+B43*C43</f>
        <v>20000</v>
      </c>
      <c r="F43" s="47"/>
      <c r="G43" s="60">
        <f>IF(B43-(D43*5)&gt;0,B43-(D43*5),0)</f>
        <v>500000</v>
      </c>
    </row>
    <row r="44" spans="1:8" x14ac:dyDescent="0.2">
      <c r="A44" s="10" t="s">
        <v>4</v>
      </c>
      <c r="B44" s="47">
        <f>+B9</f>
        <v>350000</v>
      </c>
      <c r="C44" s="533">
        <f>5/(InfoInicial!B9*5)</f>
        <v>0.1</v>
      </c>
      <c r="D44" s="47">
        <f t="shared" ref="D44:D50" si="3">+C44*B44</f>
        <v>35000</v>
      </c>
      <c r="E44" s="47">
        <f t="shared" si="2"/>
        <v>35000</v>
      </c>
      <c r="F44" s="47"/>
      <c r="G44" s="60">
        <f>IF(B44-(D44*3+E44*2)&gt;0,B44-(D44*3+E44*2),0)</f>
        <v>175000</v>
      </c>
    </row>
    <row r="45" spans="1:8" x14ac:dyDescent="0.2">
      <c r="A45" s="48" t="s">
        <v>55</v>
      </c>
      <c r="B45" s="163">
        <f>+F14+SUM(B10:C14)-B50</f>
        <v>810350</v>
      </c>
      <c r="C45" s="533">
        <f>5/(InfoInicial!B10*5)</f>
        <v>0.1</v>
      </c>
      <c r="D45" s="47">
        <f t="shared" si="3"/>
        <v>81035</v>
      </c>
      <c r="E45" s="47">
        <f t="shared" si="2"/>
        <v>81035</v>
      </c>
      <c r="F45" s="47"/>
      <c r="G45" s="60">
        <f t="shared" ref="G45:G50" si="4">IF(B45-(D45*3+E45*2)&gt;0,B45-(D45*3+E45*2),0)</f>
        <v>405175</v>
      </c>
    </row>
    <row r="46" spans="1:8" x14ac:dyDescent="0.2">
      <c r="A46" s="48" t="s">
        <v>56</v>
      </c>
      <c r="B46" s="47">
        <f>+B15</f>
        <v>680000</v>
      </c>
      <c r="C46" s="533">
        <f>5/(InfoInicial!B11*5)</f>
        <v>0.2</v>
      </c>
      <c r="D46" s="47">
        <f t="shared" si="3"/>
        <v>136000</v>
      </c>
      <c r="E46" s="47">
        <f t="shared" si="2"/>
        <v>136000</v>
      </c>
      <c r="F46" s="47"/>
      <c r="G46" s="60">
        <f t="shared" si="4"/>
        <v>0</v>
      </c>
      <c r="H46" s="315"/>
    </row>
    <row r="47" spans="1:8" x14ac:dyDescent="0.2">
      <c r="A47" s="49" t="s">
        <v>57</v>
      </c>
      <c r="B47" s="47">
        <f>+B16</f>
        <v>241000</v>
      </c>
      <c r="C47" s="533">
        <f>5/(InfoInicial!B12*5)</f>
        <v>0.2</v>
      </c>
      <c r="D47" s="47">
        <f t="shared" si="3"/>
        <v>48200</v>
      </c>
      <c r="E47" s="47">
        <f t="shared" si="2"/>
        <v>48200</v>
      </c>
      <c r="F47" s="47"/>
      <c r="G47" s="60">
        <f t="shared" si="4"/>
        <v>0</v>
      </c>
      <c r="H47" s="315"/>
    </row>
    <row r="48" spans="1:8" x14ac:dyDescent="0.2">
      <c r="A48" s="49" t="s">
        <v>58</v>
      </c>
      <c r="B48" s="47">
        <f>+B18</f>
        <v>277499.25</v>
      </c>
      <c r="C48" s="533">
        <f>4.5/100</f>
        <v>4.4999999999999998E-2</v>
      </c>
      <c r="D48" s="47">
        <f t="shared" si="3"/>
        <v>12487.466249999999</v>
      </c>
      <c r="E48" s="47">
        <f t="shared" si="2"/>
        <v>12487.466249999999</v>
      </c>
      <c r="F48" s="47"/>
      <c r="G48" s="60">
        <f t="shared" si="4"/>
        <v>215061.91875000001</v>
      </c>
    </row>
    <row r="49" spans="1:8" x14ac:dyDescent="0.2">
      <c r="A49" s="49" t="s">
        <v>619</v>
      </c>
      <c r="B49" s="47">
        <v>300000</v>
      </c>
      <c r="C49" s="533">
        <f>5/(InfoInicial!B8*5)</f>
        <v>3.3333333333333333E-2</v>
      </c>
      <c r="D49" s="47">
        <f t="shared" ref="D49" si="5">+C49*B49</f>
        <v>10000</v>
      </c>
      <c r="E49" s="47">
        <f t="shared" ref="E49:E50" si="6">+B49*C49</f>
        <v>10000</v>
      </c>
      <c r="F49" s="47"/>
      <c r="G49" s="60">
        <f t="shared" ref="G49:G50" si="7">IF(B49-(D49*3+E49*2)&gt;0,B49-(D49*3+E49*2),0)</f>
        <v>250000</v>
      </c>
    </row>
    <row r="50" spans="1:8" x14ac:dyDescent="0.2">
      <c r="A50" s="49" t="s">
        <v>59</v>
      </c>
      <c r="B50" s="163">
        <f>B12*0.1+F14*0.1</f>
        <v>85300</v>
      </c>
      <c r="C50" s="533">
        <f>5/(InfoInicial!B14*5)</f>
        <v>0.2</v>
      </c>
      <c r="D50" s="47">
        <f t="shared" si="3"/>
        <v>17060</v>
      </c>
      <c r="E50" s="47">
        <f t="shared" si="6"/>
        <v>17060</v>
      </c>
      <c r="F50" s="47"/>
      <c r="G50" s="60">
        <f t="shared" si="7"/>
        <v>0</v>
      </c>
    </row>
    <row r="51" spans="1:8" x14ac:dyDescent="0.2">
      <c r="A51" s="61" t="s">
        <v>60</v>
      </c>
      <c r="B51" s="226">
        <f>SUM(B42:B50)</f>
        <v>6444149.25</v>
      </c>
      <c r="C51" s="533"/>
      <c r="D51" s="226">
        <f>SUM(D42:D50)</f>
        <v>359782.46625</v>
      </c>
      <c r="E51" s="226">
        <f>SUM(E42:E50)</f>
        <v>359782.46625</v>
      </c>
      <c r="F51" s="226"/>
      <c r="G51" s="231">
        <f>SUM(G42:G50)</f>
        <v>4645236.9187500002</v>
      </c>
    </row>
    <row r="52" spans="1:8" x14ac:dyDescent="0.2">
      <c r="A52" s="11"/>
      <c r="B52" s="62"/>
      <c r="C52" s="534"/>
      <c r="D52" s="63"/>
      <c r="E52" s="63"/>
      <c r="F52" s="63"/>
      <c r="G52" s="64"/>
    </row>
    <row r="53" spans="1:8" x14ac:dyDescent="0.2">
      <c r="A53" s="61" t="s">
        <v>61</v>
      </c>
      <c r="B53" s="226">
        <f>+SUM(B30:E30)</f>
        <v>325630.2826332429</v>
      </c>
      <c r="C53" s="533">
        <f>5/(InfoInicial!B14*5)</f>
        <v>0.2</v>
      </c>
      <c r="D53" s="226">
        <f>+B53*C53</f>
        <v>65126.056526648579</v>
      </c>
      <c r="E53" s="226">
        <f>+C53*B53</f>
        <v>65126.056526648579</v>
      </c>
      <c r="F53" s="226"/>
      <c r="G53" s="60"/>
    </row>
    <row r="54" spans="1:8" x14ac:dyDescent="0.2">
      <c r="A54" s="11"/>
      <c r="B54" s="46"/>
      <c r="C54" s="535"/>
      <c r="D54" s="65"/>
      <c r="E54" s="66"/>
      <c r="F54" s="66"/>
      <c r="G54" s="67"/>
      <c r="H54" s="68"/>
    </row>
    <row r="55" spans="1:8" ht="13.5" thickBot="1" x14ac:dyDescent="0.25">
      <c r="A55" s="69" t="s">
        <v>62</v>
      </c>
      <c r="B55" s="229">
        <f>+SUM(B32:E32)</f>
        <v>6769779.5326332431</v>
      </c>
      <c r="C55" s="51"/>
      <c r="D55" s="229">
        <f>+D53+D51</f>
        <v>424908.52277664858</v>
      </c>
      <c r="E55" s="229">
        <f>+E53+E51</f>
        <v>424908.52277664858</v>
      </c>
      <c r="F55" s="229"/>
      <c r="G55" s="232">
        <f>+G51</f>
        <v>4645236.9187500002</v>
      </c>
      <c r="H55" s="71"/>
    </row>
    <row r="56" spans="1:8" ht="13.5" thickTop="1" x14ac:dyDescent="0.2"/>
  </sheetData>
  <mergeCells count="3">
    <mergeCell ref="B3:C3"/>
    <mergeCell ref="D3:E3"/>
    <mergeCell ref="D39:F39"/>
  </mergeCells>
  <pageMargins left="0.43" right="0.75" top="0.56000000000000005" bottom="1.1499999999999999" header="0" footer="0"/>
  <pageSetup paperSize="9" scale="78" fitToHeight="3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98"/>
  <sheetViews>
    <sheetView topLeftCell="A148" zoomScaleNormal="100" workbookViewId="0">
      <selection activeCell="B169" sqref="B169"/>
    </sheetView>
  </sheetViews>
  <sheetFormatPr baseColWidth="10" defaultRowHeight="12.75" x14ac:dyDescent="0.2"/>
  <cols>
    <col min="1" max="1" width="43.28515625" style="38" customWidth="1"/>
    <col min="2" max="2" width="17.7109375" style="38" customWidth="1"/>
    <col min="3" max="6" width="17.140625" style="38" customWidth="1"/>
    <col min="7" max="7" width="18.28515625" style="38" customWidth="1"/>
    <col min="8" max="11" width="17.140625" style="38" customWidth="1"/>
    <col min="12" max="12" width="17.42578125" style="38" bestFit="1" customWidth="1"/>
    <col min="13" max="13" width="16.140625" style="38" bestFit="1" customWidth="1"/>
    <col min="14" max="16384" width="11.42578125" style="38"/>
  </cols>
  <sheetData>
    <row r="1" spans="1:12" ht="16.5" thickTop="1" x14ac:dyDescent="0.25">
      <c r="A1" s="625" t="s">
        <v>100</v>
      </c>
      <c r="B1" s="626"/>
      <c r="C1" s="626"/>
      <c r="D1" s="626"/>
      <c r="E1" s="626"/>
      <c r="F1" s="627"/>
      <c r="G1" s="553"/>
      <c r="H1" s="553"/>
      <c r="I1" s="553"/>
      <c r="J1" s="553"/>
      <c r="K1" s="553"/>
    </row>
    <row r="2" spans="1:12" x14ac:dyDescent="0.2">
      <c r="A2" s="75"/>
      <c r="B2" s="622" t="s">
        <v>81</v>
      </c>
      <c r="C2" s="623"/>
      <c r="D2" s="623"/>
      <c r="E2" s="623"/>
      <c r="F2" s="624"/>
      <c r="G2" s="554"/>
      <c r="H2" s="554"/>
      <c r="I2" s="554"/>
      <c r="J2" s="554"/>
      <c r="K2" s="554"/>
    </row>
    <row r="3" spans="1:12" ht="13.5" thickBot="1" x14ac:dyDescent="0.25">
      <c r="A3" s="118" t="s">
        <v>80</v>
      </c>
      <c r="B3" s="233" t="s">
        <v>24</v>
      </c>
      <c r="C3" s="233" t="s">
        <v>25</v>
      </c>
      <c r="D3" s="233" t="s">
        <v>26</v>
      </c>
      <c r="E3" s="233" t="s">
        <v>27</v>
      </c>
      <c r="F3" s="234" t="s">
        <v>28</v>
      </c>
      <c r="G3" s="555"/>
      <c r="H3" s="555"/>
      <c r="I3" s="555"/>
      <c r="J3" s="555"/>
      <c r="K3" s="555"/>
    </row>
    <row r="4" spans="1:12" ht="13.5" thickTop="1" x14ac:dyDescent="0.2">
      <c r="A4" s="82" t="s">
        <v>90</v>
      </c>
      <c r="B4" s="93">
        <f>'Entrada de Datos'!D24+'Entrada de Datos'!F24+'Entrada de Datos'!E24</f>
        <v>1649800.6171908625</v>
      </c>
      <c r="C4" s="93">
        <f>'Entrada de Datos'!$D$14+'Entrada de Datos'!$F$14+'Entrada de Datos'!$E$14</f>
        <v>2220961.7760000005</v>
      </c>
      <c r="D4" s="93">
        <f>'Entrada de Datos'!$D$14+'Entrada de Datos'!$F$14+'Entrada de Datos'!$E$14</f>
        <v>2220961.7760000005</v>
      </c>
      <c r="E4" s="93">
        <f>'Entrada de Datos'!$D$14+'Entrada de Datos'!$F$14+'Entrada de Datos'!$E$14</f>
        <v>2220961.7760000005</v>
      </c>
      <c r="F4" s="245">
        <f>'Entrada de Datos'!$D$14+'Entrada de Datos'!$F$14+'Entrada de Datos'!$E$14</f>
        <v>2220961.7760000005</v>
      </c>
      <c r="G4" s="556"/>
      <c r="H4" s="556"/>
      <c r="I4" s="556"/>
      <c r="J4" s="556"/>
      <c r="K4" s="556"/>
      <c r="L4" s="315"/>
    </row>
    <row r="5" spans="1:12" x14ac:dyDescent="0.2">
      <c r="A5" s="10" t="s">
        <v>91</v>
      </c>
      <c r="B5" s="76">
        <f>'Entrada de Datos'!K26</f>
        <v>899965.98720000009</v>
      </c>
      <c r="C5" s="76">
        <f>'Entrada de Datos'!$K$21</f>
        <v>999962.2080000001</v>
      </c>
      <c r="D5" s="76">
        <f>'Entrada de Datos'!$K$21</f>
        <v>999962.2080000001</v>
      </c>
      <c r="E5" s="76">
        <f>'Entrada de Datos'!$K$21</f>
        <v>999962.2080000001</v>
      </c>
      <c r="F5" s="77">
        <f>'Entrada de Datos'!$K$21</f>
        <v>999962.2080000001</v>
      </c>
      <c r="G5" s="556"/>
      <c r="H5" s="556"/>
      <c r="I5" s="556"/>
      <c r="J5" s="556"/>
      <c r="K5" s="556"/>
    </row>
    <row r="6" spans="1:12" x14ac:dyDescent="0.2">
      <c r="A6" s="10" t="s">
        <v>82</v>
      </c>
      <c r="B6" s="628"/>
      <c r="C6" s="629"/>
      <c r="D6" s="629"/>
      <c r="E6" s="629"/>
      <c r="F6" s="630"/>
      <c r="G6" s="557"/>
      <c r="H6" s="557"/>
      <c r="I6" s="557"/>
      <c r="J6" s="557"/>
      <c r="K6" s="557"/>
    </row>
    <row r="7" spans="1:12" x14ac:dyDescent="0.2">
      <c r="A7" s="10" t="s">
        <v>92</v>
      </c>
      <c r="B7" s="76">
        <f>'Entrada de Datos'!$P$12</f>
        <v>384123.6704989837</v>
      </c>
      <c r="C7" s="76">
        <f>'Entrada de Datos'!$P$12</f>
        <v>384123.6704989837</v>
      </c>
      <c r="D7" s="76">
        <f>'Entrada de Datos'!$P$12</f>
        <v>384123.6704989837</v>
      </c>
      <c r="E7" s="76">
        <f>'Entrada de Datos'!$P$5</f>
        <v>382417.6704989837</v>
      </c>
      <c r="F7" s="77">
        <f>'Entrada de Datos'!$P$5</f>
        <v>382417.6704989837</v>
      </c>
      <c r="G7" s="556"/>
      <c r="H7" s="556"/>
      <c r="I7" s="556"/>
      <c r="J7" s="556"/>
      <c r="K7" s="556"/>
      <c r="L7" s="315"/>
    </row>
    <row r="8" spans="1:12" x14ac:dyDescent="0.2">
      <c r="A8" s="10" t="s">
        <v>93</v>
      </c>
      <c r="B8" s="76">
        <f>'Entrada de Datos'!W27*0.5</f>
        <v>1097820</v>
      </c>
      <c r="C8" s="76">
        <f>'Entrada de Datos'!$W$21*0.5</f>
        <v>1219800</v>
      </c>
      <c r="D8" s="76">
        <f>'Entrada de Datos'!$W$21*0.5</f>
        <v>1219800</v>
      </c>
      <c r="E8" s="76">
        <f>'Entrada de Datos'!$W$21*0.5</f>
        <v>1219800</v>
      </c>
      <c r="F8" s="76">
        <f>'Entrada de Datos'!$W$21*0.5</f>
        <v>1219800</v>
      </c>
      <c r="G8" s="556"/>
      <c r="H8" s="556"/>
      <c r="I8" s="556"/>
      <c r="J8" s="556"/>
      <c r="K8" s="556"/>
      <c r="L8" s="315"/>
    </row>
    <row r="9" spans="1:12" x14ac:dyDescent="0.2">
      <c r="A9" s="10" t="s">
        <v>94</v>
      </c>
      <c r="B9" s="314">
        <f>'Entrada de Datos'!AC31</f>
        <v>166767.32171700001</v>
      </c>
      <c r="C9" s="314">
        <f>'Entrada de Datos'!$AC$25</f>
        <v>185297.02413000001</v>
      </c>
      <c r="D9" s="314">
        <f>'Entrada de Datos'!$AC$25</f>
        <v>185297.02413000001</v>
      </c>
      <c r="E9" s="314">
        <f>'Entrada de Datos'!$AC$19</f>
        <v>211260.22685500002</v>
      </c>
      <c r="F9" s="562">
        <f>'Entrada de Datos'!$AC$19</f>
        <v>211260.22685500002</v>
      </c>
      <c r="G9" s="558"/>
      <c r="H9" s="558"/>
      <c r="I9" s="558"/>
      <c r="J9" s="558"/>
      <c r="K9" s="558"/>
      <c r="L9" s="315"/>
    </row>
    <row r="10" spans="1:12" x14ac:dyDescent="0.2">
      <c r="A10" s="10" t="s">
        <v>95</v>
      </c>
      <c r="B10" s="76">
        <f>+C10*0.95</f>
        <v>91200</v>
      </c>
      <c r="C10" s="76">
        <f>12*8000</f>
        <v>96000</v>
      </c>
      <c r="D10" s="76">
        <f t="shared" ref="D10:F10" si="0">12*8000</f>
        <v>96000</v>
      </c>
      <c r="E10" s="76">
        <f t="shared" si="0"/>
        <v>96000</v>
      </c>
      <c r="F10" s="76">
        <f t="shared" si="0"/>
        <v>96000</v>
      </c>
      <c r="G10" s="556"/>
      <c r="H10" s="556"/>
      <c r="I10" s="556"/>
      <c r="J10" s="556"/>
      <c r="K10" s="556"/>
      <c r="L10" s="315"/>
    </row>
    <row r="11" spans="1:12" x14ac:dyDescent="0.2">
      <c r="A11" s="10" t="s">
        <v>96</v>
      </c>
      <c r="B11" s="76">
        <f>C11*0.95</f>
        <v>16316.25</v>
      </c>
      <c r="C11" s="76">
        <f>1500*11.45</f>
        <v>17175</v>
      </c>
      <c r="D11" s="76">
        <f t="shared" ref="D11:F11" si="1">1500*11.45</f>
        <v>17175</v>
      </c>
      <c r="E11" s="76">
        <f t="shared" si="1"/>
        <v>17175</v>
      </c>
      <c r="F11" s="77">
        <f t="shared" si="1"/>
        <v>17175</v>
      </c>
      <c r="G11" s="556"/>
      <c r="H11" s="556"/>
      <c r="I11" s="556"/>
      <c r="J11" s="556"/>
      <c r="K11" s="556"/>
      <c r="L11" s="315"/>
    </row>
    <row r="12" spans="1:12" x14ac:dyDescent="0.2">
      <c r="A12" s="10" t="s">
        <v>97</v>
      </c>
      <c r="B12" s="76">
        <f>+('E-Inv AF y Am'!$B$43+'E-Inv AF y Am'!$B$44)*0.018+(121200*0.03)</f>
        <v>20736</v>
      </c>
      <c r="C12" s="76">
        <f>+('E-Inv AF y Am'!$B$43+'E-Inv AF y Am'!$B$44)*0.018+(121200*0.03)</f>
        <v>20736</v>
      </c>
      <c r="D12" s="76">
        <f>+('E-Inv AF y Am'!$B$43+'E-Inv AF y Am'!$B$44)*0.018+(121200*0.03)</f>
        <v>20736</v>
      </c>
      <c r="E12" s="76">
        <f>+('E-Inv AF y Am'!$B$43+'E-Inv AF y Am'!$B$44)*0.018+(121200*0.03)</f>
        <v>20736</v>
      </c>
      <c r="F12" s="77">
        <f>+('E-Inv AF y Am'!$B$43+'E-Inv AF y Am'!$B$44)*0.018+(121200*0.03)</f>
        <v>20736</v>
      </c>
      <c r="G12" s="556"/>
      <c r="H12" s="556"/>
      <c r="I12" s="556"/>
      <c r="J12" s="556"/>
      <c r="K12" s="556"/>
      <c r="L12" s="315"/>
    </row>
    <row r="13" spans="1:12" x14ac:dyDescent="0.2">
      <c r="A13" s="10" t="s">
        <v>98</v>
      </c>
      <c r="B13" s="76">
        <f>('E-Inv AF y Am'!$B$51*0.033)+0.75*((C4*0.02)+(C24*0.02)+(C9*0.01)+(C29*0.01))</f>
        <v>247616.09803267405</v>
      </c>
      <c r="C13" s="76">
        <f>('E-Inv AF y Am'!$B$51*0.033)+(C4*0.02)+(C24*0.02)+(C9*0.01)+(C29*0.01)</f>
        <v>259269.15562689878</v>
      </c>
      <c r="D13" s="76">
        <f>('E-Inv AF y Am'!$B$51*0.033)+(D4*0.02)+(D24*0.02)+(D9*0.01)+(D29*0.01)</f>
        <v>259269.15562689878</v>
      </c>
      <c r="E13" s="76">
        <f>('E-Inv AF y Am'!$B$51*0.033)+(E4*0.02)+(E24*0.02)+(E9*0.01)+(E29*0.01)</f>
        <v>259529.88778985743</v>
      </c>
      <c r="F13" s="77">
        <f>('E-Inv AF y Am'!$B$51*0.033)+(F4*0.02)+(F24*0.02)+(F9*0.01)+(F29*0.01)</f>
        <v>259529.88778985743</v>
      </c>
      <c r="G13" s="556"/>
      <c r="H13" s="556"/>
      <c r="I13" s="556"/>
      <c r="J13" s="556"/>
      <c r="K13" s="556"/>
      <c r="L13" s="315"/>
    </row>
    <row r="14" spans="1:12" x14ac:dyDescent="0.2">
      <c r="A14" s="244" t="s">
        <v>380</v>
      </c>
      <c r="B14" s="76">
        <f>+'E-Inv AF y Am'!C25*0.9</f>
        <v>0</v>
      </c>
      <c r="C14" s="76">
        <f>+B14</f>
        <v>0</v>
      </c>
      <c r="D14" s="76">
        <f t="shared" ref="D14:F14" si="2">+C14</f>
        <v>0</v>
      </c>
      <c r="E14" s="76">
        <f t="shared" si="2"/>
        <v>0</v>
      </c>
      <c r="F14" s="77">
        <f t="shared" si="2"/>
        <v>0</v>
      </c>
      <c r="G14" s="556"/>
      <c r="H14" s="556"/>
      <c r="I14" s="556"/>
      <c r="J14" s="556"/>
      <c r="K14" s="556"/>
      <c r="L14" s="315"/>
    </row>
    <row r="15" spans="1:12" x14ac:dyDescent="0.2">
      <c r="A15" s="10" t="s">
        <v>99</v>
      </c>
      <c r="B15" s="76">
        <f>+SUM(B4:B14)*InfoInicial!$B$15</f>
        <v>205845.56750877839</v>
      </c>
      <c r="C15" s="76">
        <f>+SUM(C4:C14)*InfoInicial!$B$15</f>
        <v>243149.61754151472</v>
      </c>
      <c r="D15" s="76">
        <f>+SUM(D4:D14)*InfoInicial!$B$15</f>
        <v>243149.61754151472</v>
      </c>
      <c r="E15" s="76">
        <f>+SUM(E4:E14)*InfoInicial!$B$15</f>
        <v>244252.92461147284</v>
      </c>
      <c r="F15" s="77">
        <f>+SUM(F4:F14)*InfoInicial!$B$15</f>
        <v>244252.92461147284</v>
      </c>
      <c r="G15" s="556"/>
      <c r="H15" s="556"/>
      <c r="I15" s="556"/>
      <c r="J15" s="556"/>
      <c r="K15" s="556"/>
      <c r="L15" s="315"/>
    </row>
    <row r="16" spans="1:12" x14ac:dyDescent="0.2">
      <c r="A16" s="11" t="s">
        <v>83</v>
      </c>
      <c r="B16" s="103">
        <f>SUM(B4:B15)</f>
        <v>4780191.5121482983</v>
      </c>
      <c r="C16" s="103">
        <f t="shared" ref="C16:F16" si="3">SUM(C4:C15)</f>
        <v>5646474.4517973969</v>
      </c>
      <c r="D16" s="103">
        <f t="shared" si="3"/>
        <v>5646474.4517973969</v>
      </c>
      <c r="E16" s="103">
        <f t="shared" si="3"/>
        <v>5672095.6937553138</v>
      </c>
      <c r="F16" s="104">
        <f t="shared" si="3"/>
        <v>5672095.6937553138</v>
      </c>
      <c r="G16" s="559"/>
      <c r="H16" s="559"/>
      <c r="I16" s="559"/>
      <c r="J16" s="559"/>
      <c r="K16" s="559"/>
      <c r="L16" s="315"/>
    </row>
    <row r="17" spans="1:13" x14ac:dyDescent="0.2">
      <c r="A17" s="78"/>
      <c r="B17" s="17"/>
      <c r="C17" s="17"/>
      <c r="D17" s="17"/>
      <c r="E17" s="17"/>
      <c r="F17" s="563"/>
      <c r="G17" s="560"/>
      <c r="H17" s="560"/>
      <c r="I17" s="560"/>
      <c r="J17" s="560"/>
      <c r="K17" s="560"/>
    </row>
    <row r="18" spans="1:13" x14ac:dyDescent="0.2">
      <c r="A18" s="79" t="s">
        <v>118</v>
      </c>
      <c r="B18" s="261">
        <f>+(B4+B5+B9+B10*0.6+B11+B15*0.5)/B16</f>
        <v>0.60468141339450554</v>
      </c>
      <c r="C18" s="261">
        <f t="shared" ref="C18:F18" si="4">+(C4+C5+C9+C10*0.6+C11+C15*0.5)/C16</f>
        <v>0.63802127285885091</v>
      </c>
      <c r="D18" s="261">
        <f t="shared" si="4"/>
        <v>0.63802127285885091</v>
      </c>
      <c r="E18" s="261">
        <f t="shared" si="4"/>
        <v>0.63981390108706626</v>
      </c>
      <c r="F18" s="262">
        <f t="shared" si="4"/>
        <v>0.63981390108706626</v>
      </c>
      <c r="G18" s="561"/>
      <c r="H18" s="561"/>
      <c r="I18" s="561"/>
      <c r="J18" s="561"/>
      <c r="K18" s="561"/>
      <c r="L18" s="315"/>
    </row>
    <row r="19" spans="1:13" ht="13.5" thickBot="1" x14ac:dyDescent="0.25">
      <c r="A19" s="80" t="s">
        <v>119</v>
      </c>
      <c r="B19" s="263">
        <f>+(B7+B8+B10*0.4+B12+B13+B14+B15*0.5)/B16</f>
        <v>0.39531858660549457</v>
      </c>
      <c r="C19" s="263">
        <f t="shared" ref="C19:F19" si="5">+(C7+C8+C10*0.4+C12+C13+C14+C15*0.5)/C16</f>
        <v>0.3619787271411492</v>
      </c>
      <c r="D19" s="263">
        <f t="shared" si="5"/>
        <v>0.3619787271411492</v>
      </c>
      <c r="E19" s="263">
        <f t="shared" si="5"/>
        <v>0.36018609891293385</v>
      </c>
      <c r="F19" s="264">
        <f t="shared" si="5"/>
        <v>0.36018609891293385</v>
      </c>
      <c r="G19" s="561"/>
      <c r="H19" s="561"/>
      <c r="I19" s="561"/>
      <c r="J19" s="561"/>
      <c r="K19" s="561"/>
      <c r="L19" s="315"/>
    </row>
    <row r="20" spans="1:13" ht="14.25" thickTop="1" thickBot="1" x14ac:dyDescent="0.25"/>
    <row r="21" spans="1:13" ht="13.5" thickTop="1" x14ac:dyDescent="0.2">
      <c r="A21" s="82"/>
      <c r="B21" s="631" t="s">
        <v>84</v>
      </c>
      <c r="C21" s="632"/>
      <c r="D21" s="632"/>
      <c r="E21" s="632"/>
      <c r="F21" s="633"/>
      <c r="G21" s="564"/>
      <c r="H21" s="565"/>
      <c r="I21" s="565"/>
      <c r="J21" s="565"/>
      <c r="K21" s="565"/>
      <c r="L21" s="565"/>
    </row>
    <row r="22" spans="1:13" x14ac:dyDescent="0.2">
      <c r="A22" s="75"/>
      <c r="B22" s="634" t="s">
        <v>85</v>
      </c>
      <c r="C22" s="635"/>
      <c r="D22" s="635"/>
      <c r="E22" s="635"/>
      <c r="F22" s="636"/>
      <c r="G22" s="572" t="s">
        <v>101</v>
      </c>
      <c r="H22" s="565"/>
      <c r="I22" s="565"/>
      <c r="J22" s="565"/>
      <c r="K22" s="565"/>
      <c r="L22" s="397"/>
    </row>
    <row r="23" spans="1:13" ht="13.5" thickBot="1" x14ac:dyDescent="0.25">
      <c r="A23" s="118" t="s">
        <v>80</v>
      </c>
      <c r="B23" s="250" t="s">
        <v>24</v>
      </c>
      <c r="C23" s="250" t="s">
        <v>25</v>
      </c>
      <c r="D23" s="250" t="s">
        <v>26</v>
      </c>
      <c r="E23" s="250" t="s">
        <v>27</v>
      </c>
      <c r="F23" s="573" t="s">
        <v>28</v>
      </c>
      <c r="G23" s="568" t="s">
        <v>24</v>
      </c>
      <c r="H23" s="566"/>
      <c r="I23" s="566"/>
      <c r="J23" s="566"/>
      <c r="K23" s="566"/>
      <c r="L23" s="397"/>
    </row>
    <row r="24" spans="1:13" ht="13.5" thickTop="1" x14ac:dyDescent="0.2">
      <c r="A24" s="82" t="s">
        <v>90</v>
      </c>
      <c r="B24" s="93">
        <f>'Entrada de Datos'!$D$25+'Entrada de Datos'!$F$25+'Entrada de Datos'!$E$25</f>
        <v>16608.652338983055</v>
      </c>
      <c r="C24" s="93">
        <f>'Entrada de Datos'!$D$25+'Entrada de Datos'!$F$25+'Entrada de Datos'!$E$25</f>
        <v>16608.652338983055</v>
      </c>
      <c r="D24" s="93">
        <f>'Entrada de Datos'!$D$25+'Entrada de Datos'!$F$25+'Entrada de Datos'!$E$25</f>
        <v>16608.652338983055</v>
      </c>
      <c r="E24" s="93">
        <f>'Entrada de Datos'!$D$25+'Entrada de Datos'!$F$25+'Entrada de Datos'!$E$25</f>
        <v>16608.652338983055</v>
      </c>
      <c r="F24" s="245">
        <f>'Entrada de Datos'!$D$25+'Entrada de Datos'!$F$25+'Entrada de Datos'!$E$25</f>
        <v>16608.652338983055</v>
      </c>
      <c r="G24" s="569">
        <f>'Entrada de Datos'!D26+'Entrada de Datos'!F26</f>
        <v>64022.74852173918</v>
      </c>
      <c r="H24" s="556"/>
      <c r="I24" s="556"/>
      <c r="J24" s="556"/>
      <c r="K24" s="556"/>
      <c r="L24" s="397"/>
      <c r="M24" s="315"/>
    </row>
    <row r="25" spans="1:13" x14ac:dyDescent="0.2">
      <c r="A25" s="10" t="s">
        <v>91</v>
      </c>
      <c r="B25" s="76">
        <f>'Entrada de Datos'!$K$28</f>
        <v>9909.840773189193</v>
      </c>
      <c r="C25" s="76">
        <f>'Entrada de Datos'!$K$28</f>
        <v>9909.840773189193</v>
      </c>
      <c r="D25" s="76">
        <f>'Entrada de Datos'!$K$28</f>
        <v>9909.840773189193</v>
      </c>
      <c r="E25" s="76">
        <f>'Entrada de Datos'!$K$28</f>
        <v>9909.840773189193</v>
      </c>
      <c r="F25" s="77">
        <f>'Entrada de Datos'!$K$28</f>
        <v>9909.840773189193</v>
      </c>
      <c r="G25" s="530">
        <f>'Entrada de Datos'!K29</f>
        <v>83130.121188549907</v>
      </c>
      <c r="H25" s="556"/>
      <c r="I25" s="556"/>
      <c r="J25" s="556"/>
      <c r="K25" s="556"/>
      <c r="L25" s="397"/>
      <c r="M25" s="315"/>
    </row>
    <row r="26" spans="1:13" x14ac:dyDescent="0.2">
      <c r="A26" s="10" t="s">
        <v>82</v>
      </c>
      <c r="B26" s="47"/>
      <c r="C26" s="47"/>
      <c r="D26" s="47"/>
      <c r="E26" s="47"/>
      <c r="F26" s="60"/>
      <c r="G26" s="570"/>
      <c r="H26" s="567"/>
      <c r="I26" s="567"/>
      <c r="J26" s="567"/>
      <c r="K26" s="567"/>
      <c r="L26" s="397"/>
      <c r="M26" s="315"/>
    </row>
    <row r="27" spans="1:13" x14ac:dyDescent="0.2">
      <c r="A27" s="10" t="s">
        <v>92</v>
      </c>
      <c r="B27" s="76">
        <f>'Entrada de Datos'!P19</f>
        <v>58391.454168822711</v>
      </c>
      <c r="C27" s="76">
        <f>'Entrada de Datos'!$P$20</f>
        <v>47366.786171332613</v>
      </c>
      <c r="D27" s="76">
        <f>'Entrada de Datos'!$P$20</f>
        <v>47366.786171332613</v>
      </c>
      <c r="E27" s="76">
        <f>'Entrada de Datos'!$P$21</f>
        <v>47156.417106850531</v>
      </c>
      <c r="F27" s="77">
        <f>'Entrada de Datos'!$P$21</f>
        <v>47156.417106850531</v>
      </c>
      <c r="G27" s="530"/>
      <c r="H27" s="556"/>
      <c r="I27" s="556"/>
      <c r="J27" s="556"/>
      <c r="K27" s="556"/>
      <c r="L27" s="397"/>
      <c r="M27" s="315"/>
    </row>
    <row r="28" spans="1:13" x14ac:dyDescent="0.2">
      <c r="A28" s="10" t="s">
        <v>93</v>
      </c>
      <c r="B28" s="76">
        <f>'Entrada de Datos'!W29</f>
        <v>11529.195280537699</v>
      </c>
      <c r="C28" s="76">
        <f>'Entrada de Datos'!$W$23</f>
        <v>10337.28813559322</v>
      </c>
      <c r="D28" s="76">
        <f>'Entrada de Datos'!$W$23</f>
        <v>10337.28813559322</v>
      </c>
      <c r="E28" s="76">
        <f>'Entrada de Datos'!$W$23</f>
        <v>10337.28813559322</v>
      </c>
      <c r="F28" s="77">
        <f>'Entrada de Datos'!$W$23</f>
        <v>10337.28813559322</v>
      </c>
      <c r="G28" s="530"/>
      <c r="H28" s="556"/>
      <c r="I28" s="556"/>
      <c r="J28" s="556"/>
      <c r="K28" s="556"/>
      <c r="L28" s="397"/>
      <c r="M28" s="315"/>
    </row>
    <row r="29" spans="1:13" x14ac:dyDescent="0.2">
      <c r="A29" s="10" t="s">
        <v>94</v>
      </c>
      <c r="B29" s="76">
        <f>'Entrada de Datos'!AC33</f>
        <v>785.15688190677974</v>
      </c>
      <c r="C29" s="76">
        <f>'Entrada de Datos'!$AC$27</f>
        <v>785.15688190677974</v>
      </c>
      <c r="D29" s="76">
        <f>'Entrada de Datos'!$AC$27</f>
        <v>785.15688190677974</v>
      </c>
      <c r="E29" s="76">
        <f>'Entrada de Datos'!$AC$21</f>
        <v>895.17045277542377</v>
      </c>
      <c r="F29" s="77">
        <f>'Entrada de Datos'!$AC$21</f>
        <v>895.17045277542377</v>
      </c>
      <c r="G29" s="530">
        <f>'Entrada de Datos'!AC34</f>
        <v>16455.522754536691</v>
      </c>
      <c r="H29" s="556"/>
      <c r="I29" s="556"/>
      <c r="J29" s="556"/>
      <c r="K29" s="556"/>
      <c r="L29" s="397"/>
      <c r="M29" s="315"/>
    </row>
    <row r="30" spans="1:13" x14ac:dyDescent="0.2">
      <c r="A30" s="10" t="s">
        <v>95</v>
      </c>
      <c r="B30" s="76">
        <f>+($B$24/($B$24+$B$4))*B10</f>
        <v>908.96583511120821</v>
      </c>
      <c r="C30" s="76">
        <f t="shared" ref="C30:F30" si="6">+(C24/(C24+C4))*C10</f>
        <v>712.57226335707674</v>
      </c>
      <c r="D30" s="76">
        <f t="shared" si="6"/>
        <v>712.57226335707674</v>
      </c>
      <c r="E30" s="76">
        <f t="shared" si="6"/>
        <v>712.57226335707674</v>
      </c>
      <c r="F30" s="77">
        <f t="shared" si="6"/>
        <v>712.57226335707674</v>
      </c>
      <c r="G30" s="530"/>
      <c r="H30" s="556"/>
      <c r="I30" s="556"/>
      <c r="J30" s="556"/>
      <c r="K30" s="556"/>
      <c r="L30" s="397"/>
      <c r="M30" s="315"/>
    </row>
    <row r="31" spans="1:13" x14ac:dyDescent="0.2">
      <c r="A31" s="10" t="s">
        <v>96</v>
      </c>
      <c r="B31" s="76">
        <f>+($B$24/($B$24+$B$4))*B11</f>
        <v>162.61966893786459</v>
      </c>
      <c r="C31" s="76">
        <f t="shared" ref="C31:F31" si="7">+($B$24/($B$24+$B$4))*C11</f>
        <v>171.17859888196273</v>
      </c>
      <c r="D31" s="76">
        <f t="shared" si="7"/>
        <v>171.17859888196273</v>
      </c>
      <c r="E31" s="76">
        <f t="shared" si="7"/>
        <v>171.17859888196273</v>
      </c>
      <c r="F31" s="77">
        <f t="shared" si="7"/>
        <v>171.17859888196273</v>
      </c>
      <c r="G31" s="530">
        <v>0</v>
      </c>
      <c r="H31" s="556"/>
      <c r="I31" s="556"/>
      <c r="J31" s="556"/>
      <c r="K31" s="556"/>
      <c r="L31" s="397"/>
      <c r="M31" s="315"/>
    </row>
    <row r="32" spans="1:13" x14ac:dyDescent="0.2">
      <c r="A32" s="10" t="s">
        <v>97</v>
      </c>
      <c r="B32" s="76">
        <f t="shared" ref="B32:F34" si="8">+($B$24/($B$24+$B$4))*B12</f>
        <v>206.6701267200221</v>
      </c>
      <c r="C32" s="76">
        <f t="shared" si="8"/>
        <v>206.6701267200221</v>
      </c>
      <c r="D32" s="76">
        <f t="shared" si="8"/>
        <v>206.6701267200221</v>
      </c>
      <c r="E32" s="76">
        <f t="shared" si="8"/>
        <v>206.6701267200221</v>
      </c>
      <c r="F32" s="77">
        <f t="shared" si="8"/>
        <v>206.6701267200221</v>
      </c>
      <c r="G32" s="530"/>
      <c r="H32" s="556"/>
      <c r="I32" s="556"/>
      <c r="J32" s="556"/>
      <c r="K32" s="556"/>
      <c r="L32" s="397"/>
      <c r="M32" s="315"/>
    </row>
    <row r="33" spans="1:13" x14ac:dyDescent="0.2">
      <c r="A33" s="10" t="s">
        <v>98</v>
      </c>
      <c r="B33" s="76">
        <f t="shared" si="8"/>
        <v>2467.9229532373724</v>
      </c>
      <c r="C33" s="76">
        <f t="shared" si="8"/>
        <v>2584.0658395063801</v>
      </c>
      <c r="D33" s="76">
        <f t="shared" si="8"/>
        <v>2584.0658395063801</v>
      </c>
      <c r="E33" s="76">
        <f t="shared" si="8"/>
        <v>2586.6644867458981</v>
      </c>
      <c r="F33" s="77">
        <f t="shared" si="8"/>
        <v>2586.6644867458981</v>
      </c>
      <c r="G33" s="530"/>
      <c r="H33" s="556"/>
      <c r="I33" s="556"/>
      <c r="J33" s="556"/>
      <c r="K33" s="556"/>
      <c r="L33" s="397"/>
      <c r="M33" s="315"/>
    </row>
    <row r="34" spans="1:13" x14ac:dyDescent="0.2">
      <c r="A34" s="244" t="s">
        <v>380</v>
      </c>
      <c r="B34" s="76">
        <f t="shared" si="8"/>
        <v>0</v>
      </c>
      <c r="C34" s="76">
        <f t="shared" si="8"/>
        <v>0</v>
      </c>
      <c r="D34" s="76">
        <f t="shared" si="8"/>
        <v>0</v>
      </c>
      <c r="E34" s="76">
        <f t="shared" si="8"/>
        <v>0</v>
      </c>
      <c r="F34" s="77">
        <f t="shared" si="8"/>
        <v>0</v>
      </c>
      <c r="G34" s="530"/>
      <c r="H34" s="556"/>
      <c r="I34" s="556"/>
      <c r="J34" s="556"/>
      <c r="K34" s="556"/>
      <c r="L34" s="397"/>
      <c r="M34" s="315"/>
    </row>
    <row r="35" spans="1:13" x14ac:dyDescent="0.2">
      <c r="A35" s="10" t="s">
        <v>99</v>
      </c>
      <c r="B35" s="76">
        <v>0</v>
      </c>
      <c r="C35" s="76">
        <v>0</v>
      </c>
      <c r="D35" s="76">
        <v>0</v>
      </c>
      <c r="E35" s="76">
        <v>0</v>
      </c>
      <c r="F35" s="60">
        <v>0</v>
      </c>
      <c r="G35" s="530"/>
      <c r="H35" s="567"/>
      <c r="I35" s="567"/>
      <c r="J35" s="567"/>
      <c r="K35" s="567"/>
      <c r="L35" s="397"/>
      <c r="M35" s="315"/>
    </row>
    <row r="36" spans="1:13" ht="13.5" thickBot="1" x14ac:dyDescent="0.25">
      <c r="A36" s="80" t="s">
        <v>86</v>
      </c>
      <c r="B36" s="81">
        <f>SUM(B24:B35)</f>
        <v>100970.4780274459</v>
      </c>
      <c r="C36" s="81">
        <f t="shared" ref="C36:F36" si="9">SUM(C24:C35)</f>
        <v>88682.211129470292</v>
      </c>
      <c r="D36" s="81">
        <f t="shared" si="9"/>
        <v>88682.211129470292</v>
      </c>
      <c r="E36" s="81">
        <f t="shared" si="9"/>
        <v>88584.454283096376</v>
      </c>
      <c r="F36" s="574">
        <f t="shared" si="9"/>
        <v>88584.454283096376</v>
      </c>
      <c r="G36" s="571">
        <f>SUM(G24:G35)</f>
        <v>163608.39246482577</v>
      </c>
      <c r="H36" s="556"/>
      <c r="I36" s="556"/>
      <c r="J36" s="556"/>
      <c r="K36" s="556"/>
      <c r="L36" s="397"/>
    </row>
    <row r="37" spans="1:13" ht="14.25" thickTop="1" thickBot="1" x14ac:dyDescent="0.25">
      <c r="A37" s="85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</row>
    <row r="38" spans="1:13" ht="13.5" thickTop="1" x14ac:dyDescent="0.2">
      <c r="A38" s="87"/>
      <c r="B38" s="637" t="s">
        <v>87</v>
      </c>
      <c r="C38" s="638"/>
      <c r="D38" s="638"/>
      <c r="E38" s="638"/>
      <c r="F38" s="639"/>
      <c r="G38" s="575"/>
      <c r="H38" s="575"/>
      <c r="I38" s="575"/>
      <c r="J38" s="575"/>
      <c r="K38" s="575"/>
    </row>
    <row r="39" spans="1:13" ht="13.5" thickBot="1" x14ac:dyDescent="0.25">
      <c r="A39" s="80"/>
      <c r="B39" s="84" t="s">
        <v>24</v>
      </c>
      <c r="C39" s="84" t="s">
        <v>25</v>
      </c>
      <c r="D39" s="84" t="s">
        <v>26</v>
      </c>
      <c r="E39" s="84" t="s">
        <v>27</v>
      </c>
      <c r="F39" s="88" t="s">
        <v>28</v>
      </c>
      <c r="G39" s="566"/>
      <c r="H39" s="566"/>
      <c r="I39" s="566"/>
      <c r="J39" s="566"/>
      <c r="K39" s="566"/>
      <c r="L39" s="86"/>
    </row>
    <row r="40" spans="1:13" ht="13.5" thickTop="1" x14ac:dyDescent="0.2">
      <c r="A40" s="87" t="s">
        <v>83</v>
      </c>
      <c r="B40" s="251">
        <f>+B16</f>
        <v>4780191.5121482983</v>
      </c>
      <c r="C40" s="251">
        <f t="shared" ref="C40:F40" si="10">+C16</f>
        <v>5646474.4517973969</v>
      </c>
      <c r="D40" s="251">
        <f t="shared" si="10"/>
        <v>5646474.4517973969</v>
      </c>
      <c r="E40" s="251">
        <f t="shared" si="10"/>
        <v>5672095.6937553138</v>
      </c>
      <c r="F40" s="252">
        <f t="shared" si="10"/>
        <v>5672095.6937553138</v>
      </c>
      <c r="G40" s="559"/>
      <c r="H40" s="559"/>
      <c r="I40" s="559"/>
      <c r="J40" s="559"/>
      <c r="K40" s="559"/>
      <c r="L40" s="86"/>
    </row>
    <row r="41" spans="1:13" x14ac:dyDescent="0.2">
      <c r="A41" s="244" t="s">
        <v>382</v>
      </c>
      <c r="B41" s="76">
        <f>+G36</f>
        <v>163608.39246482577</v>
      </c>
      <c r="C41" s="76"/>
      <c r="D41" s="76"/>
      <c r="E41" s="76"/>
      <c r="F41" s="77"/>
      <c r="G41" s="567"/>
      <c r="H41" s="567"/>
      <c r="I41" s="567"/>
      <c r="J41" s="567"/>
      <c r="K41" s="567"/>
      <c r="L41" s="86"/>
    </row>
    <row r="42" spans="1:13" x14ac:dyDescent="0.2">
      <c r="A42" s="244" t="s">
        <v>383</v>
      </c>
      <c r="B42" s="76">
        <f>+$B$36</f>
        <v>100970.4780274459</v>
      </c>
      <c r="C42" s="76">
        <f>+$C$36</f>
        <v>88682.211129470292</v>
      </c>
      <c r="D42" s="76">
        <f>+$D$36</f>
        <v>88682.211129470292</v>
      </c>
      <c r="E42" s="76">
        <f>+$E$36</f>
        <v>88584.454283096376</v>
      </c>
      <c r="F42" s="77">
        <f>+$F$36</f>
        <v>88584.454283096376</v>
      </c>
      <c r="G42" s="556"/>
      <c r="H42" s="556"/>
      <c r="I42" s="556"/>
      <c r="J42" s="556"/>
      <c r="K42" s="556"/>
      <c r="L42" s="86"/>
    </row>
    <row r="43" spans="1:13" x14ac:dyDescent="0.2">
      <c r="A43" s="244" t="s">
        <v>384</v>
      </c>
      <c r="B43" s="76">
        <v>0</v>
      </c>
      <c r="C43" s="76">
        <f>+$B$42</f>
        <v>100970.4780274459</v>
      </c>
      <c r="D43" s="76">
        <f>+$C$42</f>
        <v>88682.211129470292</v>
      </c>
      <c r="E43" s="76">
        <f>+$D$42</f>
        <v>88682.211129470292</v>
      </c>
      <c r="F43" s="77">
        <f>+$E$42</f>
        <v>88584.454283096376</v>
      </c>
      <c r="G43" s="556"/>
      <c r="H43" s="556"/>
      <c r="I43" s="556"/>
      <c r="J43" s="556"/>
      <c r="K43" s="556"/>
      <c r="L43" s="86"/>
    </row>
    <row r="44" spans="1:13" x14ac:dyDescent="0.2">
      <c r="A44" s="10" t="s">
        <v>133</v>
      </c>
      <c r="B44" s="76">
        <f>+B42-B43</f>
        <v>100970.4780274459</v>
      </c>
      <c r="C44" s="76">
        <f t="shared" ref="C44:F44" si="11">+C42-C43</f>
        <v>-12288.266897975613</v>
      </c>
      <c r="D44" s="76">
        <f t="shared" si="11"/>
        <v>0</v>
      </c>
      <c r="E44" s="76">
        <f t="shared" si="11"/>
        <v>-97.756846373915323</v>
      </c>
      <c r="F44" s="77">
        <f t="shared" si="11"/>
        <v>0</v>
      </c>
      <c r="G44" s="556"/>
      <c r="H44" s="556"/>
      <c r="I44" s="556"/>
      <c r="J44" s="556"/>
      <c r="K44" s="556"/>
      <c r="L44" s="86"/>
    </row>
    <row r="45" spans="1:13" x14ac:dyDescent="0.2">
      <c r="A45" s="89" t="s">
        <v>89</v>
      </c>
      <c r="B45" s="76">
        <f t="shared" ref="B45:F45" si="12">+B40-B41-B42+B43</f>
        <v>4515612.6416560262</v>
      </c>
      <c r="C45" s="76">
        <f t="shared" si="12"/>
        <v>5658762.7186953723</v>
      </c>
      <c r="D45" s="76">
        <f t="shared" si="12"/>
        <v>5646474.4517973969</v>
      </c>
      <c r="E45" s="76">
        <f t="shared" si="12"/>
        <v>5672193.4506016877</v>
      </c>
      <c r="F45" s="77">
        <f t="shared" si="12"/>
        <v>5672095.6937553138</v>
      </c>
      <c r="G45" s="556"/>
      <c r="H45" s="556"/>
      <c r="I45" s="556"/>
      <c r="J45" s="556"/>
      <c r="K45" s="556"/>
      <c r="L45" s="86"/>
    </row>
    <row r="46" spans="1:13" x14ac:dyDescent="0.2">
      <c r="A46" s="90" t="s">
        <v>141</v>
      </c>
      <c r="B46" s="246">
        <f>+B45/B94</f>
        <v>56.445158020700326</v>
      </c>
      <c r="C46" s="246">
        <f t="shared" ref="C46:F46" si="13">+C45/C94</f>
        <v>47.156355989128102</v>
      </c>
      <c r="D46" s="246">
        <f t="shared" si="13"/>
        <v>47.05395376497831</v>
      </c>
      <c r="E46" s="246">
        <f t="shared" si="13"/>
        <v>47.268278755014066</v>
      </c>
      <c r="F46" s="253">
        <f t="shared" si="13"/>
        <v>47.267464114627614</v>
      </c>
      <c r="G46" s="559"/>
      <c r="H46" s="559"/>
      <c r="I46" s="559"/>
      <c r="J46" s="559"/>
      <c r="K46" s="559"/>
      <c r="L46" s="315"/>
    </row>
    <row r="47" spans="1:13" x14ac:dyDescent="0.2">
      <c r="A47" s="90"/>
      <c r="B47" s="19"/>
      <c r="C47" s="19"/>
      <c r="D47" s="19"/>
      <c r="E47" s="19"/>
      <c r="F47" s="20"/>
      <c r="G47" s="556"/>
      <c r="H47" s="556"/>
      <c r="I47" s="556"/>
      <c r="J47" s="556"/>
      <c r="K47" s="556"/>
      <c r="L47" s="86"/>
    </row>
    <row r="48" spans="1:13" x14ac:dyDescent="0.2">
      <c r="A48" s="90" t="s">
        <v>116</v>
      </c>
      <c r="B48" s="265">
        <f>+(B42+B43)/(B41+B42+B43)</f>
        <v>0.38162714142509441</v>
      </c>
      <c r="C48" s="265">
        <f t="shared" ref="C48:F48" si="14">+(C42+C43)/(C41+C42+C43)</f>
        <v>1</v>
      </c>
      <c r="D48" s="265">
        <f t="shared" si="14"/>
        <v>1</v>
      </c>
      <c r="E48" s="265">
        <f t="shared" si="14"/>
        <v>1</v>
      </c>
      <c r="F48" s="266">
        <f t="shared" si="14"/>
        <v>1</v>
      </c>
      <c r="G48" s="576"/>
      <c r="H48" s="576"/>
      <c r="I48" s="576"/>
      <c r="J48" s="576"/>
      <c r="K48" s="576"/>
      <c r="L48" s="86"/>
    </row>
    <row r="49" spans="1:12" ht="13.5" thickBot="1" x14ac:dyDescent="0.25">
      <c r="A49" s="80" t="s">
        <v>117</v>
      </c>
      <c r="B49" s="267">
        <f>+B41/(SUM(B41:B43))</f>
        <v>0.61837285857490554</v>
      </c>
      <c r="C49" s="267">
        <f t="shared" ref="C49:F49" si="15">+C41/(SUM(C41:C43))</f>
        <v>0</v>
      </c>
      <c r="D49" s="267">
        <f t="shared" si="15"/>
        <v>0</v>
      </c>
      <c r="E49" s="267">
        <f t="shared" si="15"/>
        <v>0</v>
      </c>
      <c r="F49" s="268">
        <f t="shared" si="15"/>
        <v>0</v>
      </c>
      <c r="G49" s="576"/>
      <c r="H49" s="576"/>
      <c r="I49" s="576"/>
      <c r="J49" s="576"/>
      <c r="K49" s="576"/>
      <c r="L49" s="86"/>
    </row>
    <row r="50" spans="1:12" ht="13.5" thickTop="1" x14ac:dyDescent="0.2"/>
    <row r="51" spans="1:12" ht="13.5" thickBot="1" x14ac:dyDescent="0.25"/>
    <row r="52" spans="1:12" ht="13.5" thickTop="1" x14ac:dyDescent="0.2">
      <c r="A52" s="91"/>
      <c r="B52" s="577" t="s">
        <v>112</v>
      </c>
      <c r="C52" s="578"/>
      <c r="D52" s="578"/>
      <c r="E52" s="578"/>
      <c r="F52" s="579"/>
      <c r="G52" s="554"/>
      <c r="H52" s="554"/>
      <c r="I52" s="554"/>
      <c r="J52" s="554"/>
      <c r="K52" s="554"/>
    </row>
    <row r="53" spans="1:12" ht="13.5" thickBot="1" x14ac:dyDescent="0.25">
      <c r="A53" s="92" t="s">
        <v>80</v>
      </c>
      <c r="B53" s="42" t="s">
        <v>24</v>
      </c>
      <c r="C53" s="42" t="s">
        <v>25</v>
      </c>
      <c r="D53" s="42" t="s">
        <v>26</v>
      </c>
      <c r="E53" s="42" t="s">
        <v>27</v>
      </c>
      <c r="F53" s="43" t="s">
        <v>28</v>
      </c>
      <c r="G53" s="555"/>
      <c r="H53" s="555"/>
      <c r="I53" s="555"/>
      <c r="J53" s="555"/>
      <c r="K53" s="555"/>
    </row>
    <row r="54" spans="1:12" ht="13.5" thickTop="1" x14ac:dyDescent="0.2">
      <c r="A54" s="82" t="s">
        <v>103</v>
      </c>
      <c r="B54" s="93">
        <f>C54*0.9</f>
        <v>548910</v>
      </c>
      <c r="C54" s="93">
        <f>+C8*0.5</f>
        <v>609900</v>
      </c>
      <c r="D54" s="93">
        <f t="shared" ref="D54:F54" si="16">+D8*0.5</f>
        <v>609900</v>
      </c>
      <c r="E54" s="93">
        <f t="shared" si="16"/>
        <v>609900</v>
      </c>
      <c r="F54" s="93">
        <f t="shared" si="16"/>
        <v>609900</v>
      </c>
      <c r="G54" s="556"/>
      <c r="H54" s="556"/>
      <c r="I54" s="556"/>
      <c r="J54" s="556"/>
      <c r="K54" s="556"/>
    </row>
    <row r="55" spans="1:12" x14ac:dyDescent="0.2">
      <c r="A55" s="10" t="s">
        <v>104</v>
      </c>
      <c r="B55" s="76">
        <f>'E-Inv AF y Am'!$D$55*0.05</f>
        <v>21245.42613883243</v>
      </c>
      <c r="C55" s="76">
        <f>'E-Inv AF y Am'!$D$55*0.05</f>
        <v>21245.42613883243</v>
      </c>
      <c r="D55" s="76">
        <f>'E-Inv AF y Am'!$D$55*0.05</f>
        <v>21245.42613883243</v>
      </c>
      <c r="E55" s="76">
        <f>'E-Inv AF y Am'!$E$55*0.05</f>
        <v>21245.42613883243</v>
      </c>
      <c r="F55" s="77">
        <f>'E-Inv AF y Am'!$E$55*0.05</f>
        <v>21245.42613883243</v>
      </c>
      <c r="G55" s="556"/>
      <c r="H55" s="556"/>
      <c r="I55" s="556"/>
      <c r="J55" s="556"/>
      <c r="K55" s="556"/>
    </row>
    <row r="56" spans="1:12" x14ac:dyDescent="0.2">
      <c r="A56" s="10" t="s">
        <v>105</v>
      </c>
      <c r="B56" s="76">
        <f>C56*0.9</f>
        <v>14098.5</v>
      </c>
      <c r="C56" s="76">
        <f>'E-Inv AF y Am'!$B$16*0.065</f>
        <v>15665</v>
      </c>
      <c r="D56" s="76">
        <f>'E-Inv AF y Am'!$B$16*0.065</f>
        <v>15665</v>
      </c>
      <c r="E56" s="76">
        <f>'E-Inv AF y Am'!$B$16*0.065</f>
        <v>15665</v>
      </c>
      <c r="F56" s="77">
        <f>'E-Inv AF y Am'!$B$16*0.065</f>
        <v>15665</v>
      </c>
      <c r="G56" s="556"/>
      <c r="H56" s="556"/>
      <c r="I56" s="556"/>
      <c r="J56" s="556"/>
      <c r="K56" s="556"/>
    </row>
    <row r="57" spans="1:12" x14ac:dyDescent="0.2">
      <c r="A57" s="10" t="s">
        <v>106</v>
      </c>
      <c r="B57" s="76">
        <f>C57*0.95</f>
        <v>9120</v>
      </c>
      <c r="C57" s="76">
        <f>+C10*0.1</f>
        <v>9600</v>
      </c>
      <c r="D57" s="76">
        <f t="shared" ref="D57:F57" si="17">+D10*0.1</f>
        <v>9600</v>
      </c>
      <c r="E57" s="76">
        <f t="shared" si="17"/>
        <v>9600</v>
      </c>
      <c r="F57" s="76">
        <f t="shared" si="17"/>
        <v>9600</v>
      </c>
      <c r="G57" s="556"/>
      <c r="H57" s="556"/>
      <c r="I57" s="556"/>
      <c r="J57" s="556"/>
      <c r="K57" s="556"/>
    </row>
    <row r="58" spans="1:12" x14ac:dyDescent="0.2">
      <c r="A58" s="10" t="s">
        <v>107</v>
      </c>
      <c r="B58" s="76">
        <f>C58*0.95</f>
        <v>16316.25</v>
      </c>
      <c r="C58" s="76">
        <f>1500*11.45</f>
        <v>17175</v>
      </c>
      <c r="D58" s="76">
        <f t="shared" ref="D58:F58" si="18">1500*11.45</f>
        <v>17175</v>
      </c>
      <c r="E58" s="76">
        <f t="shared" si="18"/>
        <v>17175</v>
      </c>
      <c r="F58" s="77">
        <f t="shared" si="18"/>
        <v>17175</v>
      </c>
      <c r="G58" s="556"/>
      <c r="H58" s="556"/>
      <c r="I58" s="556"/>
      <c r="J58" s="556"/>
      <c r="K58" s="556"/>
    </row>
    <row r="59" spans="1:12" x14ac:dyDescent="0.2">
      <c r="A59" s="244" t="s">
        <v>381</v>
      </c>
      <c r="B59" s="76">
        <f>+'E-Inv AF y Am'!C25*0.05</f>
        <v>0</v>
      </c>
      <c r="C59" s="76">
        <f>+B59</f>
        <v>0</v>
      </c>
      <c r="D59" s="76">
        <f t="shared" ref="D59:F59" si="19">+C59</f>
        <v>0</v>
      </c>
      <c r="E59" s="76">
        <f t="shared" si="19"/>
        <v>0</v>
      </c>
      <c r="F59" s="76">
        <f t="shared" si="19"/>
        <v>0</v>
      </c>
      <c r="G59" s="556"/>
      <c r="H59" s="556"/>
      <c r="I59" s="556"/>
      <c r="J59" s="556"/>
      <c r="K59" s="556"/>
    </row>
    <row r="60" spans="1:12" x14ac:dyDescent="0.2">
      <c r="A60" s="10" t="s">
        <v>108</v>
      </c>
      <c r="B60" s="76">
        <f>C60*0.95</f>
        <v>144851.25</v>
      </c>
      <c r="C60" s="76">
        <f t="shared" ref="C60:F60" si="20">C54*0.25</f>
        <v>152475</v>
      </c>
      <c r="D60" s="76">
        <f t="shared" si="20"/>
        <v>152475</v>
      </c>
      <c r="E60" s="76">
        <f t="shared" si="20"/>
        <v>152475</v>
      </c>
      <c r="F60" s="77">
        <f t="shared" si="20"/>
        <v>152475</v>
      </c>
      <c r="G60" s="556"/>
      <c r="H60" s="556"/>
      <c r="I60" s="556"/>
      <c r="J60" s="556"/>
      <c r="K60" s="556"/>
    </row>
    <row r="61" spans="1:12" x14ac:dyDescent="0.2">
      <c r="A61" s="10" t="s">
        <v>109</v>
      </c>
      <c r="B61" s="76">
        <f>(0.038*('E-Inv AF y Am'!$B$8+'E-Inv AF y Am'!$B$9)+'E-Inv AF y Am'!$B$19*0.0124)</f>
        <v>116007.4507</v>
      </c>
      <c r="C61" s="76">
        <f>(0.038*('E-Inv AF y Am'!$B$8+'E-Inv AF y Am'!$B$9)+'E-Inv AF y Am'!$B$19*0.0124)</f>
        <v>116007.4507</v>
      </c>
      <c r="D61" s="76">
        <f>(0.038*('E-Inv AF y Am'!$B$8+'E-Inv AF y Am'!$B$9)+'E-Inv AF y Am'!$B$19*0.0124)</f>
        <v>116007.4507</v>
      </c>
      <c r="E61" s="76">
        <f>(0.038*('E-Inv AF y Am'!$B$8+'E-Inv AF y Am'!$B$9)+'E-Inv AF y Am'!$B$19*0.0124)</f>
        <v>116007.4507</v>
      </c>
      <c r="F61" s="76">
        <f>(0.038*('E-Inv AF y Am'!$B$8+'E-Inv AF y Am'!$B$9)+'E-Inv AF y Am'!$B$19*0.0124)</f>
        <v>116007.4507</v>
      </c>
      <c r="G61" s="556"/>
      <c r="H61" s="556"/>
      <c r="I61" s="556"/>
      <c r="J61" s="556"/>
      <c r="K61" s="556"/>
    </row>
    <row r="62" spans="1:12" x14ac:dyDescent="0.2">
      <c r="A62" s="10" t="s">
        <v>110</v>
      </c>
      <c r="B62" s="76">
        <f>+B13*0.05</f>
        <v>12380.804901633703</v>
      </c>
      <c r="C62" s="76">
        <f t="shared" ref="C62:F62" si="21">+C13*0.05</f>
        <v>12963.45778134494</v>
      </c>
      <c r="D62" s="76">
        <f t="shared" si="21"/>
        <v>12963.45778134494</v>
      </c>
      <c r="E62" s="76">
        <f t="shared" si="21"/>
        <v>12976.494389492873</v>
      </c>
      <c r="F62" s="77">
        <f t="shared" si="21"/>
        <v>12976.494389492873</v>
      </c>
      <c r="G62" s="556"/>
      <c r="H62" s="556"/>
      <c r="I62" s="556"/>
      <c r="J62" s="556"/>
      <c r="K62" s="556"/>
    </row>
    <row r="63" spans="1:12" x14ac:dyDescent="0.2">
      <c r="A63" s="10" t="s">
        <v>102</v>
      </c>
      <c r="B63" s="103">
        <f>SUM(B54:B62)</f>
        <v>882929.68174046627</v>
      </c>
      <c r="C63" s="103">
        <f t="shared" ref="C63:F63" si="22">SUM(C54:C62)</f>
        <v>955031.3346201774</v>
      </c>
      <c r="D63" s="103">
        <f t="shared" si="22"/>
        <v>955031.3346201774</v>
      </c>
      <c r="E63" s="103">
        <f t="shared" si="22"/>
        <v>955044.37122832541</v>
      </c>
      <c r="F63" s="104">
        <f t="shared" si="22"/>
        <v>955044.37122832541</v>
      </c>
      <c r="G63" s="559"/>
      <c r="H63" s="559"/>
      <c r="I63" s="559"/>
      <c r="J63" s="559"/>
      <c r="K63" s="559"/>
    </row>
    <row r="64" spans="1:12" x14ac:dyDescent="0.2">
      <c r="A64" s="10" t="s">
        <v>613</v>
      </c>
      <c r="B64" s="76">
        <f>+B63*0.045</f>
        <v>39731.835678320982</v>
      </c>
      <c r="C64" s="76">
        <f t="shared" ref="C64:F64" si="23">+C63*0.045</f>
        <v>42976.410057907982</v>
      </c>
      <c r="D64" s="76">
        <f t="shared" si="23"/>
        <v>42976.410057907982</v>
      </c>
      <c r="E64" s="76">
        <f t="shared" si="23"/>
        <v>42976.996705274643</v>
      </c>
      <c r="F64" s="76">
        <f t="shared" si="23"/>
        <v>42976.996705274643</v>
      </c>
      <c r="G64" s="556"/>
      <c r="H64" s="556"/>
      <c r="I64" s="556"/>
      <c r="J64" s="556"/>
      <c r="K64" s="556"/>
    </row>
    <row r="65" spans="1:12" x14ac:dyDescent="0.2">
      <c r="A65" s="10"/>
      <c r="B65" s="62"/>
      <c r="C65" s="62"/>
      <c r="D65" s="62"/>
      <c r="E65" s="62"/>
      <c r="F65" s="581"/>
      <c r="G65" s="560"/>
      <c r="H65" s="560"/>
      <c r="I65" s="560"/>
      <c r="J65" s="560"/>
      <c r="K65" s="560"/>
    </row>
    <row r="66" spans="1:12" x14ac:dyDescent="0.2">
      <c r="A66" s="89" t="s">
        <v>111</v>
      </c>
      <c r="B66" s="103">
        <f>+B64+B63</f>
        <v>922661.51741878723</v>
      </c>
      <c r="C66" s="103">
        <f t="shared" ref="C66:F66" si="24">+C64+C63</f>
        <v>998007.74467808544</v>
      </c>
      <c r="D66" s="103">
        <f t="shared" si="24"/>
        <v>998007.74467808544</v>
      </c>
      <c r="E66" s="103">
        <f t="shared" si="24"/>
        <v>998021.36793360009</v>
      </c>
      <c r="F66" s="104">
        <f t="shared" si="24"/>
        <v>998021.36793360009</v>
      </c>
      <c r="G66" s="559"/>
      <c r="H66" s="559"/>
      <c r="I66" s="559"/>
      <c r="J66" s="559"/>
      <c r="K66" s="559"/>
    </row>
    <row r="67" spans="1:12" x14ac:dyDescent="0.2">
      <c r="A67" s="89"/>
      <c r="B67" s="8"/>
      <c r="C67" s="8"/>
      <c r="D67" s="8"/>
      <c r="E67" s="8"/>
      <c r="F67" s="9"/>
      <c r="G67" s="580"/>
      <c r="H67" s="580"/>
      <c r="I67" s="580"/>
      <c r="J67" s="580"/>
      <c r="K67" s="580"/>
      <c r="L67" s="86"/>
    </row>
    <row r="68" spans="1:12" x14ac:dyDescent="0.2">
      <c r="A68" s="89" t="s">
        <v>116</v>
      </c>
      <c r="B68" s="269">
        <v>0</v>
      </c>
      <c r="C68" s="269">
        <v>0</v>
      </c>
      <c r="D68" s="269">
        <v>0</v>
      </c>
      <c r="E68" s="269">
        <v>0</v>
      </c>
      <c r="F68" s="270">
        <v>0</v>
      </c>
      <c r="G68" s="576"/>
      <c r="H68" s="576"/>
      <c r="I68" s="576"/>
      <c r="J68" s="576"/>
      <c r="K68" s="576"/>
      <c r="L68" s="86"/>
    </row>
    <row r="69" spans="1:12" ht="13.5" thickBot="1" x14ac:dyDescent="0.25">
      <c r="A69" s="80" t="s">
        <v>117</v>
      </c>
      <c r="B69" s="267">
        <f>+SUM(B54:B62,B64)/B66</f>
        <v>1</v>
      </c>
      <c r="C69" s="267">
        <f t="shared" ref="C69:F69" si="25">+SUM(C54:C62,C64)/C66</f>
        <v>1</v>
      </c>
      <c r="D69" s="267">
        <f t="shared" si="25"/>
        <v>1</v>
      </c>
      <c r="E69" s="267">
        <f t="shared" si="25"/>
        <v>1</v>
      </c>
      <c r="F69" s="268">
        <f t="shared" si="25"/>
        <v>1</v>
      </c>
      <c r="G69" s="576"/>
      <c r="H69" s="576"/>
      <c r="I69" s="576"/>
      <c r="J69" s="576"/>
      <c r="K69" s="576"/>
      <c r="L69" s="86"/>
    </row>
    <row r="70" spans="1:12" ht="13.5" thickTop="1" x14ac:dyDescent="0.2"/>
    <row r="71" spans="1:12" ht="13.5" thickBot="1" x14ac:dyDescent="0.25"/>
    <row r="72" spans="1:12" ht="13.5" thickTop="1" x14ac:dyDescent="0.2">
      <c r="A72" s="91"/>
      <c r="B72" s="640" t="s">
        <v>113</v>
      </c>
      <c r="C72" s="641"/>
      <c r="D72" s="641"/>
      <c r="E72" s="641"/>
      <c r="F72" s="642"/>
      <c r="G72" s="554"/>
      <c r="H72" s="554"/>
      <c r="I72" s="554"/>
      <c r="J72" s="554"/>
      <c r="K72" s="554"/>
    </row>
    <row r="73" spans="1:12" ht="13.5" thickBot="1" x14ac:dyDescent="0.25">
      <c r="A73" s="92" t="s">
        <v>80</v>
      </c>
      <c r="B73" s="42" t="s">
        <v>24</v>
      </c>
      <c r="C73" s="42" t="s">
        <v>25</v>
      </c>
      <c r="D73" s="42" t="s">
        <v>26</v>
      </c>
      <c r="E73" s="42" t="s">
        <v>27</v>
      </c>
      <c r="F73" s="43" t="s">
        <v>28</v>
      </c>
      <c r="G73" s="555"/>
      <c r="H73" s="555"/>
      <c r="I73" s="555"/>
      <c r="J73" s="555"/>
      <c r="K73" s="555"/>
    </row>
    <row r="74" spans="1:12" ht="13.5" thickTop="1" x14ac:dyDescent="0.2">
      <c r="A74" s="82" t="s">
        <v>103</v>
      </c>
      <c r="B74" s="93">
        <f>C74*0.9</f>
        <v>548910</v>
      </c>
      <c r="C74" s="93">
        <f>+C8*0.5</f>
        <v>609900</v>
      </c>
      <c r="D74" s="93">
        <f t="shared" ref="D74:F74" si="26">+D8*0.5</f>
        <v>609900</v>
      </c>
      <c r="E74" s="93">
        <f t="shared" si="26"/>
        <v>609900</v>
      </c>
      <c r="F74" s="93">
        <f t="shared" si="26"/>
        <v>609900</v>
      </c>
      <c r="G74" s="556"/>
      <c r="H74" s="556"/>
      <c r="I74" s="556"/>
      <c r="J74" s="556"/>
      <c r="K74" s="556"/>
    </row>
    <row r="75" spans="1:12" x14ac:dyDescent="0.2">
      <c r="A75" s="10" t="s">
        <v>104</v>
      </c>
      <c r="B75" s="76">
        <f>'E-Inv AF y Am'!$D$55*0.05</f>
        <v>21245.42613883243</v>
      </c>
      <c r="C75" s="76">
        <f>'E-Inv AF y Am'!$D$55*0.05</f>
        <v>21245.42613883243</v>
      </c>
      <c r="D75" s="76">
        <f>'E-Inv AF y Am'!$D$55*0.05</f>
        <v>21245.42613883243</v>
      </c>
      <c r="E75" s="76">
        <f>'E-Inv AF y Am'!$E$55*0.05</f>
        <v>21245.42613883243</v>
      </c>
      <c r="F75" s="77">
        <f>'E-Inv AF y Am'!$E$55*0.05</f>
        <v>21245.42613883243</v>
      </c>
      <c r="G75" s="556"/>
      <c r="H75" s="556"/>
      <c r="I75" s="556"/>
      <c r="J75" s="556"/>
      <c r="K75" s="556"/>
    </row>
    <row r="76" spans="1:12" x14ac:dyDescent="0.2">
      <c r="A76" s="10" t="s">
        <v>105</v>
      </c>
      <c r="B76" s="76">
        <f>C76*0.9</f>
        <v>14098.5</v>
      </c>
      <c r="C76" s="76">
        <f>'E-Inv AF y Am'!$B$16*0.065</f>
        <v>15665</v>
      </c>
      <c r="D76" s="76">
        <f>'E-Inv AF y Am'!$B$16*0.065</f>
        <v>15665</v>
      </c>
      <c r="E76" s="76">
        <f>'E-Inv AF y Am'!$B$16*0.065</f>
        <v>15665</v>
      </c>
      <c r="F76" s="77">
        <f>'E-Inv AF y Am'!$B$16*0.065</f>
        <v>15665</v>
      </c>
      <c r="G76" s="556"/>
      <c r="H76" s="556"/>
      <c r="I76" s="556"/>
      <c r="J76" s="556"/>
      <c r="K76" s="556"/>
    </row>
    <row r="77" spans="1:12" x14ac:dyDescent="0.2">
      <c r="A77" s="10" t="s">
        <v>115</v>
      </c>
      <c r="B77" s="76">
        <f>C77*0.95</f>
        <v>9120</v>
      </c>
      <c r="C77" s="76">
        <f>+C57</f>
        <v>9600</v>
      </c>
      <c r="D77" s="76">
        <f t="shared" ref="D77:F77" si="27">+D57</f>
        <v>9600</v>
      </c>
      <c r="E77" s="76">
        <f t="shared" si="27"/>
        <v>9600</v>
      </c>
      <c r="F77" s="76">
        <f t="shared" si="27"/>
        <v>9600</v>
      </c>
      <c r="G77" s="556"/>
      <c r="H77" s="556"/>
      <c r="I77" s="556"/>
      <c r="J77" s="556"/>
      <c r="K77" s="556"/>
    </row>
    <row r="78" spans="1:12" x14ac:dyDescent="0.2">
      <c r="A78" s="10" t="s">
        <v>107</v>
      </c>
      <c r="B78" s="76">
        <f>C78*0.95</f>
        <v>130530</v>
      </c>
      <c r="C78" s="76">
        <f>12000*11.45</f>
        <v>137400</v>
      </c>
      <c r="D78" s="76">
        <f t="shared" ref="D78:F78" si="28">12000*11.45</f>
        <v>137400</v>
      </c>
      <c r="E78" s="76">
        <f t="shared" si="28"/>
        <v>137400</v>
      </c>
      <c r="F78" s="76">
        <f t="shared" si="28"/>
        <v>137400</v>
      </c>
      <c r="G78" s="556"/>
      <c r="H78" s="556"/>
      <c r="I78" s="556"/>
      <c r="J78" s="556"/>
      <c r="K78" s="556"/>
    </row>
    <row r="79" spans="1:12" x14ac:dyDescent="0.2">
      <c r="A79" s="244" t="s">
        <v>381</v>
      </c>
      <c r="B79" s="76">
        <f>+'E-Inv AF y Am'!C25*0.05</f>
        <v>0</v>
      </c>
      <c r="C79" s="76">
        <f>+B79</f>
        <v>0</v>
      </c>
      <c r="D79" s="76">
        <f t="shared" ref="D79:F79" si="29">+C79</f>
        <v>0</v>
      </c>
      <c r="E79" s="76">
        <f t="shared" si="29"/>
        <v>0</v>
      </c>
      <c r="F79" s="76">
        <f t="shared" si="29"/>
        <v>0</v>
      </c>
      <c r="G79" s="556"/>
      <c r="H79" s="556"/>
      <c r="I79" s="556"/>
      <c r="J79" s="556"/>
      <c r="K79" s="556"/>
    </row>
    <row r="80" spans="1:12" x14ac:dyDescent="0.2">
      <c r="A80" s="10" t="s">
        <v>108</v>
      </c>
      <c r="B80" s="76">
        <f>+C80*0.95</f>
        <v>144851.25</v>
      </c>
      <c r="C80" s="76">
        <f>+C74*0.25</f>
        <v>152475</v>
      </c>
      <c r="D80" s="76">
        <f t="shared" ref="D80:F80" si="30">+D74*0.25</f>
        <v>152475</v>
      </c>
      <c r="E80" s="76">
        <f t="shared" si="30"/>
        <v>152475</v>
      </c>
      <c r="F80" s="77">
        <f t="shared" si="30"/>
        <v>152475</v>
      </c>
      <c r="G80" s="556"/>
      <c r="H80" s="556"/>
      <c r="I80" s="556"/>
      <c r="J80" s="556"/>
      <c r="K80" s="556"/>
    </row>
    <row r="81" spans="1:11" x14ac:dyDescent="0.2">
      <c r="A81" s="10" t="s">
        <v>109</v>
      </c>
      <c r="B81" s="76">
        <f>+B61+'E-Inv AF y Am'!$B$19*0.03</f>
        <v>309331.92819999997</v>
      </c>
      <c r="C81" s="76">
        <f>+C61+'E-Inv AF y Am'!$B$19*0.03</f>
        <v>309331.92819999997</v>
      </c>
      <c r="D81" s="76">
        <f>+D61+'E-Inv AF y Am'!$B$19*0.03</f>
        <v>309331.92819999997</v>
      </c>
      <c r="E81" s="76">
        <f>+E61+'E-Inv AF y Am'!$B$19*0.03</f>
        <v>309331.92819999997</v>
      </c>
      <c r="F81" s="76">
        <f>+F61+'E-Inv AF y Am'!$B$19*0.03</f>
        <v>309331.92819999997</v>
      </c>
      <c r="G81" s="556"/>
      <c r="H81" s="556"/>
      <c r="I81" s="556"/>
      <c r="J81" s="556"/>
      <c r="K81" s="556"/>
    </row>
    <row r="82" spans="1:11" x14ac:dyDescent="0.2">
      <c r="A82" s="10" t="s">
        <v>110</v>
      </c>
      <c r="B82" s="76">
        <f>+B62+40000*0.02</f>
        <v>13180.804901633703</v>
      </c>
      <c r="C82" s="76">
        <f t="shared" ref="C82:F82" si="31">+C62+40000*0.02</f>
        <v>13763.45778134494</v>
      </c>
      <c r="D82" s="76">
        <f t="shared" si="31"/>
        <v>13763.45778134494</v>
      </c>
      <c r="E82" s="76">
        <f t="shared" si="31"/>
        <v>13776.494389492873</v>
      </c>
      <c r="F82" s="76">
        <f t="shared" si="31"/>
        <v>13776.494389492873</v>
      </c>
      <c r="G82" s="556"/>
      <c r="H82" s="556"/>
      <c r="I82" s="556"/>
      <c r="J82" s="556"/>
      <c r="K82" s="556"/>
    </row>
    <row r="83" spans="1:11" x14ac:dyDescent="0.2">
      <c r="A83" s="10" t="s">
        <v>102</v>
      </c>
      <c r="B83" s="103">
        <f>SUM(B74:B82)</f>
        <v>1191267.9092404661</v>
      </c>
      <c r="C83" s="103">
        <f t="shared" ref="C83:F83" si="32">SUM(C74:C82)</f>
        <v>1269380.8121201773</v>
      </c>
      <c r="D83" s="103">
        <f t="shared" si="32"/>
        <v>1269380.8121201773</v>
      </c>
      <c r="E83" s="103">
        <f t="shared" si="32"/>
        <v>1269393.8487283252</v>
      </c>
      <c r="F83" s="104">
        <f t="shared" si="32"/>
        <v>1269393.8487283252</v>
      </c>
      <c r="G83" s="559"/>
      <c r="H83" s="559"/>
      <c r="I83" s="559"/>
      <c r="J83" s="559"/>
      <c r="K83" s="559"/>
    </row>
    <row r="84" spans="1:11" x14ac:dyDescent="0.2">
      <c r="A84" s="10" t="s">
        <v>613</v>
      </c>
      <c r="B84" s="76">
        <f>+B83*0.045</f>
        <v>53607.055915820973</v>
      </c>
      <c r="C84" s="76">
        <f t="shared" ref="C84:F84" si="33">+C83*0.045</f>
        <v>57122.136545407979</v>
      </c>
      <c r="D84" s="76">
        <f t="shared" si="33"/>
        <v>57122.136545407979</v>
      </c>
      <c r="E84" s="76">
        <f t="shared" si="33"/>
        <v>57122.723192774632</v>
      </c>
      <c r="F84" s="76">
        <f t="shared" si="33"/>
        <v>57122.723192774632</v>
      </c>
      <c r="G84" s="556"/>
      <c r="H84" s="556"/>
      <c r="I84" s="556"/>
      <c r="J84" s="556"/>
      <c r="K84" s="556"/>
    </row>
    <row r="85" spans="1:11" x14ac:dyDescent="0.2">
      <c r="A85" s="10"/>
      <c r="B85" s="62"/>
      <c r="C85" s="62"/>
      <c r="D85" s="62"/>
      <c r="E85" s="62"/>
      <c r="F85" s="581"/>
      <c r="G85" s="560"/>
      <c r="H85" s="560"/>
      <c r="I85" s="560"/>
      <c r="J85" s="560"/>
      <c r="K85" s="560"/>
    </row>
    <row r="86" spans="1:11" x14ac:dyDescent="0.2">
      <c r="A86" s="89" t="s">
        <v>114</v>
      </c>
      <c r="B86" s="103">
        <f>+B84+B83</f>
        <v>1244874.965156287</v>
      </c>
      <c r="C86" s="103">
        <f t="shared" ref="C86:F86" si="34">+C84+C83</f>
        <v>1326502.9486655854</v>
      </c>
      <c r="D86" s="103">
        <f t="shared" si="34"/>
        <v>1326502.9486655854</v>
      </c>
      <c r="E86" s="103">
        <f t="shared" si="34"/>
        <v>1326516.5719210999</v>
      </c>
      <c r="F86" s="104">
        <f t="shared" si="34"/>
        <v>1326516.5719210999</v>
      </c>
      <c r="G86" s="559"/>
      <c r="H86" s="559"/>
      <c r="I86" s="559"/>
      <c r="J86" s="559"/>
      <c r="K86" s="559"/>
    </row>
    <row r="87" spans="1:11" x14ac:dyDescent="0.2">
      <c r="A87" s="89"/>
      <c r="B87" s="8"/>
      <c r="C87" s="8"/>
      <c r="D87" s="8"/>
      <c r="E87" s="8"/>
      <c r="F87" s="9"/>
      <c r="G87" s="580"/>
      <c r="H87" s="580"/>
      <c r="I87" s="580"/>
      <c r="J87" s="580"/>
      <c r="K87" s="580"/>
    </row>
    <row r="88" spans="1:11" x14ac:dyDescent="0.2">
      <c r="A88" s="89" t="s">
        <v>116</v>
      </c>
      <c r="B88" s="271">
        <f>+(B76*0.6+B80*0.6+B81*0.6+B84*0.5)/B86</f>
        <v>0.24723168470117909</v>
      </c>
      <c r="C88" s="271">
        <f t="shared" ref="C88:F88" si="35">+(C76*0.6+C80*0.6+C81*0.6+C84*0.5)/C86</f>
        <v>0.23749983029410315</v>
      </c>
      <c r="D88" s="271">
        <f t="shared" si="35"/>
        <v>0.23749983029410315</v>
      </c>
      <c r="E88" s="271">
        <f t="shared" si="35"/>
        <v>0.23749761230659236</v>
      </c>
      <c r="F88" s="272">
        <f t="shared" si="35"/>
        <v>0.23749761230659236</v>
      </c>
      <c r="G88" s="561"/>
      <c r="H88" s="561"/>
      <c r="I88" s="561"/>
      <c r="J88" s="561"/>
      <c r="K88" s="561"/>
    </row>
    <row r="89" spans="1:11" ht="13.5" thickBot="1" x14ac:dyDescent="0.25">
      <c r="A89" s="80" t="s">
        <v>117</v>
      </c>
      <c r="B89" s="263">
        <f>+(B74+B75+B76*0.4+B77+B78+B79+B80*0.4+B81*0.4+B82+B84*0.5)/B86</f>
        <v>0.75276831529882104</v>
      </c>
      <c r="C89" s="263">
        <f t="shared" ref="C89:F89" si="36">+(C74+C75+C76*0.4+C77+C78+C79+C80*0.4+C81*0.4+C82+C84*0.5)/C86</f>
        <v>0.76250016970589685</v>
      </c>
      <c r="D89" s="263">
        <f t="shared" si="36"/>
        <v>0.76250016970589685</v>
      </c>
      <c r="E89" s="263">
        <f t="shared" si="36"/>
        <v>0.76250238769340772</v>
      </c>
      <c r="F89" s="264">
        <f t="shared" si="36"/>
        <v>0.76250238769340772</v>
      </c>
      <c r="G89" s="561"/>
      <c r="H89" s="561"/>
      <c r="I89" s="561"/>
      <c r="J89" s="561"/>
      <c r="K89" s="561"/>
    </row>
    <row r="90" spans="1:11" ht="13.5" thickTop="1" x14ac:dyDescent="0.2"/>
    <row r="91" spans="1:11" ht="13.5" thickBot="1" x14ac:dyDescent="0.25"/>
    <row r="92" spans="1:11" ht="16.5" thickTop="1" x14ac:dyDescent="0.25">
      <c r="A92" s="625" t="s">
        <v>129</v>
      </c>
      <c r="B92" s="626"/>
      <c r="C92" s="626"/>
      <c r="D92" s="626"/>
      <c r="E92" s="626"/>
      <c r="F92" s="627"/>
      <c r="G92" s="553"/>
      <c r="H92" s="553"/>
      <c r="I92" s="553"/>
      <c r="J92" s="553"/>
      <c r="K92" s="553"/>
    </row>
    <row r="93" spans="1:11" x14ac:dyDescent="0.2">
      <c r="A93" s="10"/>
      <c r="B93" s="83" t="s">
        <v>24</v>
      </c>
      <c r="C93" s="83" t="s">
        <v>25</v>
      </c>
      <c r="D93" s="83" t="s">
        <v>26</v>
      </c>
      <c r="E93" s="83" t="s">
        <v>27</v>
      </c>
      <c r="F93" s="531" t="s">
        <v>28</v>
      </c>
      <c r="G93" s="555"/>
      <c r="H93" s="555"/>
      <c r="I93" s="555"/>
      <c r="J93" s="555"/>
      <c r="K93" s="555"/>
    </row>
    <row r="94" spans="1:11" x14ac:dyDescent="0.2">
      <c r="A94" s="244" t="s">
        <v>566</v>
      </c>
      <c r="B94" s="97">
        <f>+[4]Hoja1!B9</f>
        <v>80000</v>
      </c>
      <c r="C94" s="97">
        <f>+[4]Hoja1!C9</f>
        <v>120000</v>
      </c>
      <c r="D94" s="97">
        <f>+[4]Hoja1!D9</f>
        <v>120000</v>
      </c>
      <c r="E94" s="97">
        <f>+[4]Hoja1!E9</f>
        <v>120000</v>
      </c>
      <c r="F94" s="98">
        <f>+[4]Hoja1!F9</f>
        <v>120000</v>
      </c>
      <c r="G94" s="582"/>
      <c r="H94" s="582"/>
      <c r="I94" s="582"/>
      <c r="J94" s="582"/>
      <c r="K94" s="582"/>
    </row>
    <row r="95" spans="1:11" x14ac:dyDescent="0.2">
      <c r="A95" s="244" t="s">
        <v>567</v>
      </c>
      <c r="B95" s="99">
        <f>+[4]Hoja1!$B$10</f>
        <v>140</v>
      </c>
      <c r="C95" s="99">
        <f>+[4]Hoja1!$B$10</f>
        <v>140</v>
      </c>
      <c r="D95" s="99">
        <f>+[4]Hoja1!$B$10</f>
        <v>140</v>
      </c>
      <c r="E95" s="99">
        <f>+[4]Hoja1!$B$10</f>
        <v>140</v>
      </c>
      <c r="F95" s="100">
        <f>+[4]Hoja1!$B$10</f>
        <v>140</v>
      </c>
      <c r="G95" s="583"/>
      <c r="H95" s="583"/>
      <c r="I95" s="583"/>
      <c r="J95" s="583"/>
      <c r="K95" s="583"/>
    </row>
    <row r="96" spans="1:11" x14ac:dyDescent="0.2">
      <c r="A96" s="10"/>
      <c r="B96" s="8"/>
      <c r="C96" s="8"/>
      <c r="D96" s="8"/>
      <c r="E96" s="8"/>
      <c r="F96" s="9"/>
      <c r="G96" s="580"/>
      <c r="H96" s="580"/>
      <c r="I96" s="580"/>
      <c r="J96" s="580"/>
      <c r="K96" s="580"/>
    </row>
    <row r="97" spans="1:11" x14ac:dyDescent="0.2">
      <c r="A97" s="11" t="s">
        <v>120</v>
      </c>
      <c r="B97" s="103">
        <f>+B94*B95</f>
        <v>11200000</v>
      </c>
      <c r="C97" s="103">
        <f t="shared" ref="C97:F97" si="37">+C94*C95</f>
        <v>16800000</v>
      </c>
      <c r="D97" s="103">
        <f t="shared" si="37"/>
        <v>16800000</v>
      </c>
      <c r="E97" s="103">
        <f t="shared" si="37"/>
        <v>16800000</v>
      </c>
      <c r="F97" s="104">
        <f t="shared" si="37"/>
        <v>16800000</v>
      </c>
      <c r="G97" s="559"/>
      <c r="H97" s="559"/>
      <c r="I97" s="559"/>
      <c r="J97" s="559"/>
      <c r="K97" s="559"/>
    </row>
    <row r="98" spans="1:11" x14ac:dyDescent="0.2">
      <c r="A98" s="10"/>
      <c r="B98" s="8"/>
      <c r="C98" s="8"/>
      <c r="D98" s="8"/>
      <c r="E98" s="8"/>
      <c r="F98" s="9"/>
      <c r="G98" s="580"/>
      <c r="H98" s="580"/>
      <c r="I98" s="580"/>
      <c r="J98" s="580"/>
      <c r="K98" s="580"/>
    </row>
    <row r="99" spans="1:11" x14ac:dyDescent="0.2">
      <c r="A99" s="10" t="s">
        <v>130</v>
      </c>
      <c r="B99" s="76">
        <f t="shared" ref="B99:F100" si="38">+B4</f>
        <v>1649800.6171908625</v>
      </c>
      <c r="C99" s="76">
        <f t="shared" si="38"/>
        <v>2220961.7760000005</v>
      </c>
      <c r="D99" s="76">
        <f t="shared" si="38"/>
        <v>2220961.7760000005</v>
      </c>
      <c r="E99" s="76">
        <f t="shared" si="38"/>
        <v>2220961.7760000005</v>
      </c>
      <c r="F99" s="77">
        <f t="shared" si="38"/>
        <v>2220961.7760000005</v>
      </c>
      <c r="G99" s="556"/>
      <c r="H99" s="556"/>
      <c r="I99" s="556"/>
      <c r="J99" s="556"/>
      <c r="K99" s="556"/>
    </row>
    <row r="100" spans="1:11" x14ac:dyDescent="0.2">
      <c r="A100" s="10" t="s">
        <v>91</v>
      </c>
      <c r="B100" s="76">
        <f t="shared" si="38"/>
        <v>899965.98720000009</v>
      </c>
      <c r="C100" s="76">
        <f t="shared" si="38"/>
        <v>999962.2080000001</v>
      </c>
      <c r="D100" s="76">
        <f t="shared" si="38"/>
        <v>999962.2080000001</v>
      </c>
      <c r="E100" s="76">
        <f t="shared" si="38"/>
        <v>999962.2080000001</v>
      </c>
      <c r="F100" s="77">
        <f t="shared" si="38"/>
        <v>999962.2080000001</v>
      </c>
      <c r="G100" s="556"/>
      <c r="H100" s="556"/>
      <c r="I100" s="556"/>
      <c r="J100" s="556"/>
      <c r="K100" s="556"/>
    </row>
    <row r="101" spans="1:11" x14ac:dyDescent="0.2">
      <c r="A101" s="10" t="s">
        <v>131</v>
      </c>
      <c r="B101" s="76">
        <f>+SUM(B7:B15)</f>
        <v>2230424.9077574364</v>
      </c>
      <c r="C101" s="76">
        <f>+SUM(C7:C15)</f>
        <v>2425550.4677973972</v>
      </c>
      <c r="D101" s="76">
        <f>+SUM(D7:D15)</f>
        <v>2425550.4677973972</v>
      </c>
      <c r="E101" s="76">
        <f>+SUM(E7:E15)</f>
        <v>2451171.709755314</v>
      </c>
      <c r="F101" s="77">
        <f>+SUM(F7:F15)</f>
        <v>2451171.709755314</v>
      </c>
      <c r="G101" s="556"/>
      <c r="H101" s="556"/>
      <c r="I101" s="556"/>
      <c r="J101" s="556"/>
      <c r="K101" s="556"/>
    </row>
    <row r="102" spans="1:11" x14ac:dyDescent="0.2">
      <c r="A102" s="10"/>
      <c r="B102" s="8"/>
      <c r="C102" s="8"/>
      <c r="D102" s="8"/>
      <c r="E102" s="8"/>
      <c r="F102" s="9"/>
      <c r="G102" s="580"/>
      <c r="H102" s="580"/>
      <c r="I102" s="580"/>
      <c r="J102" s="580"/>
      <c r="K102" s="580"/>
    </row>
    <row r="103" spans="1:11" x14ac:dyDescent="0.2">
      <c r="A103" s="10" t="s">
        <v>132</v>
      </c>
      <c r="B103" s="103">
        <f>+B99+B100+B101</f>
        <v>4780191.5121482983</v>
      </c>
      <c r="C103" s="103">
        <f t="shared" ref="C103:F103" si="39">+C99+C100+C101</f>
        <v>5646474.4517973978</v>
      </c>
      <c r="D103" s="103">
        <f t="shared" si="39"/>
        <v>5646474.4517973978</v>
      </c>
      <c r="E103" s="103">
        <f t="shared" si="39"/>
        <v>5672095.6937553147</v>
      </c>
      <c r="F103" s="104">
        <f t="shared" si="39"/>
        <v>5672095.6937553147</v>
      </c>
      <c r="G103" s="559"/>
      <c r="H103" s="559"/>
      <c r="I103" s="559"/>
      <c r="J103" s="559"/>
      <c r="K103" s="559"/>
    </row>
    <row r="104" spans="1:11" x14ac:dyDescent="0.2">
      <c r="A104" s="10"/>
      <c r="B104" s="8"/>
      <c r="C104" s="8"/>
      <c r="D104" s="8"/>
      <c r="E104" s="8"/>
      <c r="F104" s="9"/>
      <c r="G104" s="580"/>
      <c r="H104" s="580"/>
      <c r="I104" s="580"/>
      <c r="J104" s="580"/>
      <c r="K104" s="580"/>
    </row>
    <row r="105" spans="1:11" x14ac:dyDescent="0.2">
      <c r="A105" s="247" t="s">
        <v>385</v>
      </c>
      <c r="B105" s="76">
        <f>+G36</f>
        <v>163608.39246482577</v>
      </c>
      <c r="C105" s="76"/>
      <c r="D105" s="76"/>
      <c r="E105" s="76"/>
      <c r="F105" s="77"/>
      <c r="G105" s="556"/>
      <c r="H105" s="556"/>
      <c r="I105" s="556"/>
      <c r="J105" s="556"/>
      <c r="K105" s="556"/>
    </row>
    <row r="106" spans="1:11" x14ac:dyDescent="0.2">
      <c r="A106" s="244" t="s">
        <v>383</v>
      </c>
      <c r="B106" s="76">
        <f>+$B$36</f>
        <v>100970.4780274459</v>
      </c>
      <c r="C106" s="76">
        <f>+$C$36</f>
        <v>88682.211129470292</v>
      </c>
      <c r="D106" s="76">
        <f>+$D$36</f>
        <v>88682.211129470292</v>
      </c>
      <c r="E106" s="76">
        <f>+$E$36</f>
        <v>88584.454283096376</v>
      </c>
      <c r="F106" s="77">
        <f>+$F$36</f>
        <v>88584.454283096376</v>
      </c>
      <c r="G106" s="556"/>
      <c r="H106" s="556"/>
      <c r="I106" s="556"/>
      <c r="J106" s="556"/>
      <c r="K106" s="556"/>
    </row>
    <row r="107" spans="1:11" x14ac:dyDescent="0.2">
      <c r="A107" s="244" t="s">
        <v>384</v>
      </c>
      <c r="B107" s="76">
        <v>0</v>
      </c>
      <c r="C107" s="76">
        <f>+$B$42</f>
        <v>100970.4780274459</v>
      </c>
      <c r="D107" s="76">
        <f>+$C$42</f>
        <v>88682.211129470292</v>
      </c>
      <c r="E107" s="76">
        <f>+$D$42</f>
        <v>88682.211129470292</v>
      </c>
      <c r="F107" s="77">
        <f>+$E$42</f>
        <v>88584.454283096376</v>
      </c>
      <c r="G107" s="556"/>
      <c r="H107" s="556"/>
      <c r="I107" s="556"/>
      <c r="J107" s="556"/>
      <c r="K107" s="556"/>
    </row>
    <row r="108" spans="1:11" x14ac:dyDescent="0.2">
      <c r="A108" s="10"/>
      <c r="B108" s="8"/>
      <c r="C108" s="8"/>
      <c r="D108" s="8"/>
      <c r="E108" s="8"/>
      <c r="F108" s="9"/>
      <c r="G108" s="580"/>
      <c r="H108" s="580"/>
      <c r="I108" s="580"/>
      <c r="J108" s="580"/>
      <c r="K108" s="580"/>
    </row>
    <row r="109" spans="1:11" x14ac:dyDescent="0.2">
      <c r="A109" s="11" t="s">
        <v>138</v>
      </c>
      <c r="B109" s="103">
        <f t="shared" ref="B109:F109" si="40">+B103-B105-B106+B107</f>
        <v>4515612.6416560262</v>
      </c>
      <c r="C109" s="103">
        <f t="shared" si="40"/>
        <v>5658762.7186953733</v>
      </c>
      <c r="D109" s="103">
        <f t="shared" si="40"/>
        <v>5646474.4517973978</v>
      </c>
      <c r="E109" s="103">
        <f t="shared" si="40"/>
        <v>5672193.4506016886</v>
      </c>
      <c r="F109" s="104">
        <f t="shared" si="40"/>
        <v>5672095.6937553147</v>
      </c>
      <c r="G109" s="559"/>
      <c r="H109" s="559"/>
      <c r="I109" s="559"/>
      <c r="J109" s="559"/>
      <c r="K109" s="559"/>
    </row>
    <row r="110" spans="1:11" x14ac:dyDescent="0.2">
      <c r="A110" s="48" t="s">
        <v>139</v>
      </c>
      <c r="B110" s="600">
        <f>+B94</f>
        <v>80000</v>
      </c>
      <c r="C110" s="600">
        <f t="shared" ref="C110:F110" si="41">+C94</f>
        <v>120000</v>
      </c>
      <c r="D110" s="600">
        <f t="shared" si="41"/>
        <v>120000</v>
      </c>
      <c r="E110" s="600">
        <f t="shared" si="41"/>
        <v>120000</v>
      </c>
      <c r="F110" s="600">
        <f t="shared" si="41"/>
        <v>120000</v>
      </c>
      <c r="G110" s="584"/>
      <c r="H110" s="584"/>
      <c r="I110" s="584"/>
      <c r="J110" s="584"/>
      <c r="K110" s="584"/>
    </row>
    <row r="111" spans="1:11" x14ac:dyDescent="0.2">
      <c r="A111" s="10" t="s">
        <v>140</v>
      </c>
      <c r="B111" s="76">
        <f>+B109/B110</f>
        <v>56.445158020700326</v>
      </c>
      <c r="C111" s="76">
        <f t="shared" ref="C111:F111" si="42">+C109/C110</f>
        <v>47.156355989128109</v>
      </c>
      <c r="D111" s="76">
        <f t="shared" si="42"/>
        <v>47.053953764978317</v>
      </c>
      <c r="E111" s="76">
        <f t="shared" si="42"/>
        <v>47.268278755014073</v>
      </c>
      <c r="F111" s="77">
        <f t="shared" si="42"/>
        <v>47.267464114627622</v>
      </c>
      <c r="G111" s="556"/>
      <c r="H111" s="556"/>
      <c r="I111" s="556"/>
      <c r="J111" s="556"/>
      <c r="K111" s="556"/>
    </row>
    <row r="112" spans="1:11" x14ac:dyDescent="0.2">
      <c r="A112" s="10"/>
      <c r="B112" s="105"/>
      <c r="C112" s="105"/>
      <c r="D112" s="105"/>
      <c r="E112" s="105"/>
      <c r="F112" s="106"/>
      <c r="G112" s="585"/>
      <c r="H112" s="585"/>
      <c r="I112" s="585"/>
      <c r="J112" s="585"/>
      <c r="K112" s="585"/>
    </row>
    <row r="113" spans="1:11" x14ac:dyDescent="0.2">
      <c r="A113" s="244" t="s">
        <v>387</v>
      </c>
      <c r="B113" s="76">
        <f>+B110/118*B111</f>
        <v>38267.903742847673</v>
      </c>
      <c r="C113" s="76">
        <f t="shared" ref="C113:F113" si="43">+C110/118*C111</f>
        <v>47955.616260130279</v>
      </c>
      <c r="D113" s="76">
        <f t="shared" si="43"/>
        <v>47851.478405062691</v>
      </c>
      <c r="E113" s="76">
        <f t="shared" si="43"/>
        <v>48069.436022048212</v>
      </c>
      <c r="F113" s="76">
        <f t="shared" si="43"/>
        <v>48068.60757419758</v>
      </c>
      <c r="G113" s="556"/>
      <c r="H113" s="556"/>
      <c r="I113" s="556"/>
      <c r="J113" s="556"/>
      <c r="K113" s="556"/>
    </row>
    <row r="114" spans="1:11" x14ac:dyDescent="0.2">
      <c r="A114" s="244" t="s">
        <v>386</v>
      </c>
      <c r="B114" s="76">
        <v>0</v>
      </c>
      <c r="C114" s="76">
        <f>+B113</f>
        <v>38267.903742847673</v>
      </c>
      <c r="D114" s="76">
        <f>+D113</f>
        <v>47851.478405062691</v>
      </c>
      <c r="E114" s="76">
        <f t="shared" ref="E114:F114" si="44">+E113</f>
        <v>48069.436022048212</v>
      </c>
      <c r="F114" s="77">
        <f t="shared" si="44"/>
        <v>48068.60757419758</v>
      </c>
      <c r="G114" s="556"/>
      <c r="H114" s="556"/>
      <c r="I114" s="556"/>
      <c r="J114" s="556"/>
      <c r="K114" s="556"/>
    </row>
    <row r="115" spans="1:11" x14ac:dyDescent="0.2">
      <c r="A115" s="244" t="s">
        <v>403</v>
      </c>
      <c r="B115" s="105">
        <f>+B113-B114</f>
        <v>38267.903742847673</v>
      </c>
      <c r="C115" s="105">
        <f t="shared" ref="C115:F115" si="45">+C113-C114</f>
        <v>9687.7125172826054</v>
      </c>
      <c r="D115" s="105">
        <f t="shared" si="45"/>
        <v>0</v>
      </c>
      <c r="E115" s="105">
        <f t="shared" si="45"/>
        <v>0</v>
      </c>
      <c r="F115" s="106">
        <f t="shared" si="45"/>
        <v>0</v>
      </c>
      <c r="G115" s="585"/>
      <c r="H115" s="585"/>
      <c r="I115" s="585"/>
      <c r="J115" s="585"/>
      <c r="K115" s="585"/>
    </row>
    <row r="116" spans="1:11" x14ac:dyDescent="0.2">
      <c r="A116" s="244"/>
      <c r="B116" s="105"/>
      <c r="C116" s="105"/>
      <c r="D116" s="105"/>
      <c r="E116" s="105"/>
      <c r="F116" s="106"/>
      <c r="G116" s="585"/>
      <c r="H116" s="585"/>
      <c r="I116" s="585"/>
      <c r="J116" s="585"/>
      <c r="K116" s="585"/>
    </row>
    <row r="117" spans="1:11" x14ac:dyDescent="0.2">
      <c r="A117" s="11" t="s">
        <v>121</v>
      </c>
      <c r="B117" s="103">
        <f>+B109-B113+B114</f>
        <v>4477344.7379131783</v>
      </c>
      <c r="C117" s="103">
        <f t="shared" ref="C117:F117" si="46">+C109-C113+C114</f>
        <v>5649075.0061780913</v>
      </c>
      <c r="D117" s="103">
        <f t="shared" si="46"/>
        <v>5646474.4517973978</v>
      </c>
      <c r="E117" s="103">
        <f t="shared" si="46"/>
        <v>5672193.4506016886</v>
      </c>
      <c r="F117" s="104">
        <f t="shared" si="46"/>
        <v>5672095.6937553147</v>
      </c>
      <c r="G117" s="556"/>
      <c r="H117" s="556"/>
      <c r="I117" s="556"/>
      <c r="J117" s="556"/>
      <c r="K117" s="556"/>
    </row>
    <row r="118" spans="1:11" x14ac:dyDescent="0.2">
      <c r="A118" s="10"/>
      <c r="B118" s="8"/>
      <c r="C118" s="8"/>
      <c r="D118" s="8"/>
      <c r="E118" s="8"/>
      <c r="F118" s="9"/>
      <c r="G118" s="580"/>
      <c r="H118" s="580"/>
      <c r="I118" s="580"/>
      <c r="J118" s="580"/>
      <c r="K118" s="580"/>
    </row>
    <row r="119" spans="1:11" x14ac:dyDescent="0.2">
      <c r="A119" s="11" t="s">
        <v>134</v>
      </c>
      <c r="B119" s="103">
        <f>+B66</f>
        <v>922661.51741878723</v>
      </c>
      <c r="C119" s="103">
        <f>+C66</f>
        <v>998007.74467808544</v>
      </c>
      <c r="D119" s="103">
        <f>+D66</f>
        <v>998007.74467808544</v>
      </c>
      <c r="E119" s="103">
        <f>+E66</f>
        <v>998021.36793360009</v>
      </c>
      <c r="F119" s="104">
        <f>+F66</f>
        <v>998021.36793360009</v>
      </c>
      <c r="G119" s="559"/>
      <c r="H119" s="559"/>
      <c r="I119" s="559"/>
      <c r="J119" s="559"/>
      <c r="K119" s="559"/>
    </row>
    <row r="120" spans="1:11" x14ac:dyDescent="0.2">
      <c r="A120" s="11" t="s">
        <v>135</v>
      </c>
      <c r="B120" s="103">
        <f>+B86</f>
        <v>1244874.965156287</v>
      </c>
      <c r="C120" s="103">
        <f>+C86</f>
        <v>1326502.9486655854</v>
      </c>
      <c r="D120" s="103">
        <f>+D86</f>
        <v>1326502.9486655854</v>
      </c>
      <c r="E120" s="103">
        <f>+E86</f>
        <v>1326516.5719210999</v>
      </c>
      <c r="F120" s="104">
        <f>+F86</f>
        <v>1326516.5719210999</v>
      </c>
      <c r="G120" s="559"/>
      <c r="H120" s="559"/>
      <c r="I120" s="559"/>
      <c r="J120" s="559"/>
      <c r="K120" s="559"/>
    </row>
    <row r="121" spans="1:11" x14ac:dyDescent="0.2">
      <c r="A121" s="10"/>
      <c r="B121" s="105"/>
      <c r="C121" s="105"/>
      <c r="D121" s="105"/>
      <c r="E121" s="105"/>
      <c r="F121" s="106"/>
      <c r="G121" s="585"/>
      <c r="H121" s="585"/>
      <c r="I121" s="585"/>
      <c r="J121" s="585"/>
      <c r="K121" s="585"/>
    </row>
    <row r="122" spans="1:11" x14ac:dyDescent="0.2">
      <c r="A122" s="11" t="s">
        <v>136</v>
      </c>
      <c r="B122" s="103">
        <f>+B117+B119+B120</f>
        <v>6644881.2204882521</v>
      </c>
      <c r="C122" s="103">
        <f t="shared" ref="C122:F122" si="47">+C117+C119+C120</f>
        <v>7973585.6995217623</v>
      </c>
      <c r="D122" s="103">
        <f t="shared" si="47"/>
        <v>7970985.1451410688</v>
      </c>
      <c r="E122" s="103">
        <f t="shared" si="47"/>
        <v>7996731.3904563887</v>
      </c>
      <c r="F122" s="104">
        <f t="shared" si="47"/>
        <v>7996633.6336100148</v>
      </c>
      <c r="G122" s="559"/>
      <c r="H122" s="559"/>
      <c r="I122" s="559"/>
      <c r="J122" s="559"/>
      <c r="K122" s="559"/>
    </row>
    <row r="123" spans="1:11" x14ac:dyDescent="0.2">
      <c r="A123" s="10"/>
      <c r="B123" s="105"/>
      <c r="C123" s="105"/>
      <c r="D123" s="105"/>
      <c r="E123" s="105"/>
      <c r="F123" s="106"/>
      <c r="G123" s="585"/>
      <c r="H123" s="585"/>
      <c r="I123" s="585"/>
      <c r="J123" s="585"/>
      <c r="K123" s="585"/>
    </row>
    <row r="124" spans="1:11" x14ac:dyDescent="0.2">
      <c r="A124" s="11" t="s">
        <v>142</v>
      </c>
      <c r="B124" s="103">
        <f>+B122/B94</f>
        <v>83.061015256103147</v>
      </c>
      <c r="C124" s="103">
        <f>+C122/C94</f>
        <v>66.446547496014688</v>
      </c>
      <c r="D124" s="103">
        <f>+D122/D94</f>
        <v>66.424876209508909</v>
      </c>
      <c r="E124" s="103">
        <f>+E122/E94</f>
        <v>66.639428253803246</v>
      </c>
      <c r="F124" s="104">
        <f>+F122/F94</f>
        <v>66.638613613416794</v>
      </c>
      <c r="G124" s="559"/>
      <c r="H124" s="559"/>
      <c r="I124" s="559"/>
      <c r="J124" s="559"/>
      <c r="K124" s="559"/>
    </row>
    <row r="125" spans="1:11" x14ac:dyDescent="0.2">
      <c r="A125" s="10"/>
      <c r="B125" s="105"/>
      <c r="C125" s="105"/>
      <c r="D125" s="105"/>
      <c r="E125" s="105"/>
      <c r="F125" s="106"/>
      <c r="G125" s="585"/>
      <c r="H125" s="585"/>
      <c r="I125" s="585"/>
      <c r="J125" s="585"/>
      <c r="K125" s="585"/>
    </row>
    <row r="126" spans="1:11" x14ac:dyDescent="0.2">
      <c r="A126" s="11" t="s">
        <v>122</v>
      </c>
      <c r="B126" s="103">
        <f>+B97-B122</f>
        <v>4555118.7795117479</v>
      </c>
      <c r="C126" s="103">
        <f t="shared" ref="C126:F126" si="48">+C97-C122</f>
        <v>8826414.3004782386</v>
      </c>
      <c r="D126" s="103">
        <f t="shared" si="48"/>
        <v>8829014.8548589312</v>
      </c>
      <c r="E126" s="103">
        <f t="shared" si="48"/>
        <v>8803268.6095436104</v>
      </c>
      <c r="F126" s="104">
        <f t="shared" si="48"/>
        <v>8803366.3663899861</v>
      </c>
      <c r="G126" s="559"/>
      <c r="H126" s="559"/>
      <c r="I126" s="559"/>
      <c r="J126" s="559"/>
      <c r="K126" s="559"/>
    </row>
    <row r="127" spans="1:11" x14ac:dyDescent="0.2">
      <c r="A127" s="11" t="s">
        <v>78</v>
      </c>
      <c r="B127" s="103">
        <f>+B126*InfoInicial!$B$5</f>
        <v>318858.31456582237</v>
      </c>
      <c r="C127" s="103">
        <f>+C126*InfoInicial!$B$5</f>
        <v>617849.00103347679</v>
      </c>
      <c r="D127" s="103">
        <f>+D126*InfoInicial!$B$5</f>
        <v>618031.03984012525</v>
      </c>
      <c r="E127" s="103">
        <f>+E126*InfoInicial!$B$5</f>
        <v>616228.80266805284</v>
      </c>
      <c r="F127" s="104">
        <f>+F126*InfoInicial!$B$5</f>
        <v>616235.64564729913</v>
      </c>
      <c r="G127" s="559"/>
      <c r="H127" s="559"/>
      <c r="I127" s="559"/>
      <c r="J127" s="559"/>
      <c r="K127" s="559"/>
    </row>
    <row r="128" spans="1:11" x14ac:dyDescent="0.2">
      <c r="A128" s="107" t="s">
        <v>123</v>
      </c>
      <c r="B128" s="103">
        <f>+B126*InfoInicial!$B$4</f>
        <v>1594291.5728291117</v>
      </c>
      <c r="C128" s="103">
        <f>+C126*InfoInicial!$B$4</f>
        <v>3089245.0051673832</v>
      </c>
      <c r="D128" s="103">
        <f>+D126*InfoInicial!$B$4</f>
        <v>3090155.1992006255</v>
      </c>
      <c r="E128" s="103">
        <f>+E126*InfoInicial!$B$4</f>
        <v>3081144.0133402636</v>
      </c>
      <c r="F128" s="104">
        <f>+F126*InfoInicial!$B$4</f>
        <v>3081178.2282364951</v>
      </c>
      <c r="G128" s="559"/>
      <c r="H128" s="559"/>
      <c r="I128" s="559"/>
      <c r="J128" s="559"/>
      <c r="K128" s="559"/>
    </row>
    <row r="129" spans="1:11" x14ac:dyDescent="0.2">
      <c r="A129" s="11"/>
      <c r="B129" s="105"/>
      <c r="C129" s="105"/>
      <c r="D129" s="105"/>
      <c r="E129" s="105"/>
      <c r="F129" s="106"/>
      <c r="G129" s="585"/>
      <c r="H129" s="585"/>
      <c r="I129" s="585"/>
      <c r="J129" s="585"/>
      <c r="K129" s="585"/>
    </row>
    <row r="130" spans="1:11" x14ac:dyDescent="0.2">
      <c r="A130" s="107" t="s">
        <v>124</v>
      </c>
      <c r="B130" s="103">
        <f>+B126-B127-B128</f>
        <v>2641968.8921168139</v>
      </c>
      <c r="C130" s="103">
        <f t="shared" ref="C130:F130" si="49">+C126-C127-C128</f>
        <v>5119320.2942773793</v>
      </c>
      <c r="D130" s="103">
        <f t="shared" si="49"/>
        <v>5120828.6158181801</v>
      </c>
      <c r="E130" s="103">
        <f t="shared" si="49"/>
        <v>5105895.793535294</v>
      </c>
      <c r="F130" s="104">
        <f t="shared" si="49"/>
        <v>5105952.4925061911</v>
      </c>
      <c r="G130" s="559"/>
      <c r="H130" s="559"/>
      <c r="I130" s="559"/>
      <c r="J130" s="559"/>
      <c r="K130" s="559"/>
    </row>
    <row r="131" spans="1:11" x14ac:dyDescent="0.2">
      <c r="A131" s="11" t="s">
        <v>125</v>
      </c>
      <c r="B131" s="108">
        <f>+B130/B97</f>
        <v>0.23589007965328695</v>
      </c>
      <c r="C131" s="108">
        <f>+C130/C97</f>
        <v>0.30472144608793922</v>
      </c>
      <c r="D131" s="108">
        <f t="shared" ref="D131:F131" si="50">+D130/D97</f>
        <v>0.30481122713203451</v>
      </c>
      <c r="E131" s="108">
        <f t="shared" si="50"/>
        <v>0.30392236866281513</v>
      </c>
      <c r="F131" s="109">
        <f t="shared" si="50"/>
        <v>0.303925743601559</v>
      </c>
      <c r="G131" s="586"/>
      <c r="H131" s="586"/>
      <c r="I131" s="586"/>
      <c r="J131" s="586"/>
      <c r="K131" s="586"/>
    </row>
    <row r="132" spans="1:11" x14ac:dyDescent="0.2">
      <c r="A132" s="11"/>
      <c r="B132" s="12"/>
      <c r="C132" s="12"/>
      <c r="D132" s="12"/>
      <c r="E132" s="12"/>
      <c r="F132" s="13"/>
      <c r="G132" s="587"/>
      <c r="H132" s="587"/>
      <c r="I132" s="587"/>
      <c r="J132" s="587"/>
      <c r="K132" s="587"/>
    </row>
    <row r="133" spans="1:11" x14ac:dyDescent="0.2">
      <c r="A133" s="11" t="s">
        <v>137</v>
      </c>
      <c r="B133" s="108"/>
      <c r="C133" s="108"/>
      <c r="D133" s="108"/>
      <c r="E133" s="108"/>
      <c r="F133" s="109"/>
      <c r="G133" s="586"/>
      <c r="H133" s="586"/>
      <c r="I133" s="586"/>
      <c r="J133" s="586"/>
      <c r="K133" s="586"/>
    </row>
    <row r="134" spans="1:11" x14ac:dyDescent="0.2">
      <c r="A134" s="61" t="s">
        <v>126</v>
      </c>
      <c r="B134" s="248">
        <f>+B130</f>
        <v>2641968.8921168139</v>
      </c>
      <c r="C134" s="248">
        <f>+C130</f>
        <v>5119320.2942773793</v>
      </c>
      <c r="D134" s="248">
        <f>+D130</f>
        <v>5120828.6158181801</v>
      </c>
      <c r="E134" s="248">
        <f t="shared" ref="E134:F134" si="51">+E130</f>
        <v>5105895.793535294</v>
      </c>
      <c r="F134" s="254">
        <f t="shared" si="51"/>
        <v>5105952.4925061911</v>
      </c>
      <c r="G134" s="588"/>
      <c r="H134" s="588"/>
      <c r="I134" s="588"/>
      <c r="J134" s="588"/>
      <c r="K134" s="588"/>
    </row>
    <row r="135" spans="1:11" x14ac:dyDescent="0.2">
      <c r="A135" s="11" t="s">
        <v>127</v>
      </c>
      <c r="B135" s="248">
        <f>+'E-Inv AF y Am'!$D$55</f>
        <v>424908.52277664858</v>
      </c>
      <c r="C135" s="248">
        <f>+'E-Inv AF y Am'!$D$55</f>
        <v>424908.52277664858</v>
      </c>
      <c r="D135" s="248">
        <f>+'E-Inv AF y Am'!$D$55</f>
        <v>424908.52277664858</v>
      </c>
      <c r="E135" s="248">
        <f>+'E-Inv AF y Am'!$E$55</f>
        <v>424908.52277664858</v>
      </c>
      <c r="F135" s="254">
        <f>+'E-Inv AF y Am'!$E$55</f>
        <v>424908.52277664858</v>
      </c>
      <c r="G135" s="588"/>
      <c r="H135" s="588"/>
      <c r="I135" s="588"/>
      <c r="J135" s="588"/>
      <c r="K135" s="588"/>
    </row>
    <row r="136" spans="1:11" ht="13.5" thickBot="1" x14ac:dyDescent="0.25">
      <c r="A136" s="54" t="s">
        <v>128</v>
      </c>
      <c r="B136" s="51">
        <f>+B134+B135</f>
        <v>3066877.4148934623</v>
      </c>
      <c r="C136" s="51">
        <f t="shared" ref="C136:F136" si="52">+C134+C135</f>
        <v>5544228.8170540277</v>
      </c>
      <c r="D136" s="51">
        <f t="shared" si="52"/>
        <v>5545737.1385948285</v>
      </c>
      <c r="E136" s="51">
        <f t="shared" si="52"/>
        <v>5530804.3163119424</v>
      </c>
      <c r="F136" s="70">
        <f t="shared" si="52"/>
        <v>5530861.0152828395</v>
      </c>
      <c r="G136" s="591"/>
      <c r="H136" s="567"/>
      <c r="I136" s="567"/>
      <c r="J136" s="567"/>
      <c r="K136" s="567"/>
    </row>
    <row r="137" spans="1:11" ht="14.25" thickTop="1" thickBot="1" x14ac:dyDescent="0.25">
      <c r="A137" s="255"/>
      <c r="B137" s="256"/>
      <c r="C137" s="256"/>
      <c r="D137" s="256"/>
      <c r="E137" s="256"/>
      <c r="F137" s="257"/>
      <c r="G137" s="592"/>
      <c r="H137" s="589"/>
      <c r="I137" s="589"/>
      <c r="J137" s="589"/>
      <c r="K137" s="589"/>
    </row>
    <row r="138" spans="1:11" ht="13.5" thickTop="1" x14ac:dyDescent="0.2">
      <c r="A138" s="56" t="s">
        <v>143</v>
      </c>
      <c r="B138" s="160">
        <f>+B16*B18</f>
        <v>2890492.9598622518</v>
      </c>
      <c r="C138" s="160">
        <f>+C16*C18</f>
        <v>3602570.8169007576</v>
      </c>
      <c r="D138" s="160">
        <f>+D16*D18</f>
        <v>3602570.8169007576</v>
      </c>
      <c r="E138" s="160">
        <f>+E16*E18</f>
        <v>3629085.6731607369</v>
      </c>
      <c r="F138" s="258">
        <f>+F16*F18</f>
        <v>3629085.6731607369</v>
      </c>
      <c r="G138" s="590"/>
      <c r="H138" s="590"/>
      <c r="I138" s="590"/>
      <c r="J138" s="590"/>
      <c r="K138" s="590"/>
    </row>
    <row r="139" spans="1:11" x14ac:dyDescent="0.2">
      <c r="A139" s="61" t="s">
        <v>144</v>
      </c>
      <c r="B139" s="163">
        <f>+B16*B19</f>
        <v>1889698.552286047</v>
      </c>
      <c r="C139" s="163">
        <f>+C16*C19</f>
        <v>2043903.63489664</v>
      </c>
      <c r="D139" s="163">
        <f>+D16*D19</f>
        <v>2043903.63489664</v>
      </c>
      <c r="E139" s="163">
        <f>+E16*E19</f>
        <v>2043010.0205945775</v>
      </c>
      <c r="F139" s="259">
        <f>+F16*F19</f>
        <v>2043010.0205945775</v>
      </c>
      <c r="G139" s="590"/>
      <c r="H139" s="590"/>
      <c r="I139" s="590"/>
      <c r="J139" s="590"/>
      <c r="K139" s="590"/>
    </row>
    <row r="140" spans="1:11" x14ac:dyDescent="0.2">
      <c r="A140" s="11" t="s">
        <v>147</v>
      </c>
      <c r="B140" s="47">
        <f>+B66*B68</f>
        <v>0</v>
      </c>
      <c r="C140" s="47">
        <f>+C66*C68</f>
        <v>0</v>
      </c>
      <c r="D140" s="47">
        <f>+D66*D68</f>
        <v>0</v>
      </c>
      <c r="E140" s="47">
        <f>+E66*E68</f>
        <v>0</v>
      </c>
      <c r="F140" s="60">
        <f>+F66*F68</f>
        <v>0</v>
      </c>
      <c r="G140" s="567"/>
      <c r="H140" s="567"/>
      <c r="I140" s="567"/>
      <c r="J140" s="567"/>
      <c r="K140" s="567"/>
    </row>
    <row r="141" spans="1:11" x14ac:dyDescent="0.2">
      <c r="A141" s="61" t="s">
        <v>148</v>
      </c>
      <c r="B141" s="47">
        <f>+B66*B69</f>
        <v>922661.51741878723</v>
      </c>
      <c r="C141" s="47">
        <f>+C66*C69</f>
        <v>998007.74467808544</v>
      </c>
      <c r="D141" s="47">
        <f>+D66*D69</f>
        <v>998007.74467808544</v>
      </c>
      <c r="E141" s="47">
        <f>+E66*E69</f>
        <v>998021.36793360009</v>
      </c>
      <c r="F141" s="60">
        <f>+F66*F69</f>
        <v>998021.36793360009</v>
      </c>
      <c r="G141" s="567"/>
      <c r="H141" s="567"/>
      <c r="I141" s="567"/>
      <c r="J141" s="567"/>
      <c r="K141" s="567"/>
    </row>
    <row r="142" spans="1:11" x14ac:dyDescent="0.2">
      <c r="A142" s="11" t="s">
        <v>149</v>
      </c>
      <c r="B142" s="47">
        <f>+B86*B88</f>
        <v>307772.53487791045</v>
      </c>
      <c r="C142" s="47">
        <f>+C86*C88</f>
        <v>315044.22519270395</v>
      </c>
      <c r="D142" s="47">
        <f>+D86*D88</f>
        <v>315044.22519270395</v>
      </c>
      <c r="E142" s="47">
        <f>+E86*E88</f>
        <v>315044.51851638732</v>
      </c>
      <c r="F142" s="60">
        <f>+F86*F88</f>
        <v>315044.51851638732</v>
      </c>
      <c r="G142" s="567"/>
      <c r="H142" s="567"/>
      <c r="I142" s="567"/>
      <c r="J142" s="567"/>
      <c r="K142" s="567"/>
    </row>
    <row r="143" spans="1:11" x14ac:dyDescent="0.2">
      <c r="A143" s="61" t="s">
        <v>150</v>
      </c>
      <c r="B143" s="47">
        <f>+B86*B89</f>
        <v>937102.43027837668</v>
      </c>
      <c r="C143" s="47">
        <f>+C86*C89</f>
        <v>1011458.7234728814</v>
      </c>
      <c r="D143" s="47">
        <f>+D86*D89</f>
        <v>1011458.7234728814</v>
      </c>
      <c r="E143" s="47">
        <f>+E86*E89</f>
        <v>1011472.0534047127</v>
      </c>
      <c r="F143" s="60">
        <f>+F86*F89</f>
        <v>1011472.0534047127</v>
      </c>
      <c r="G143" s="567"/>
      <c r="H143" s="567"/>
      <c r="I143" s="567"/>
      <c r="J143" s="567"/>
      <c r="K143" s="567"/>
    </row>
    <row r="144" spans="1:11" x14ac:dyDescent="0.2">
      <c r="A144" s="11" t="s">
        <v>151</v>
      </c>
      <c r="B144" s="47">
        <f>+B97-B138-B140-B142</f>
        <v>8001734.505259838</v>
      </c>
      <c r="C144" s="47">
        <f t="shared" ref="C144:F144" si="53">+C97-C138-C140-C142</f>
        <v>12882384.957906539</v>
      </c>
      <c r="D144" s="47">
        <f t="shared" si="53"/>
        <v>12882384.957906539</v>
      </c>
      <c r="E144" s="47">
        <f t="shared" si="53"/>
        <v>12855869.808322875</v>
      </c>
      <c r="F144" s="60">
        <f t="shared" si="53"/>
        <v>12855869.808322875</v>
      </c>
      <c r="G144" s="567"/>
      <c r="H144" s="567"/>
      <c r="I144" s="567"/>
      <c r="J144" s="567"/>
      <c r="K144" s="567"/>
    </row>
    <row r="145" spans="1:13" ht="13.5" thickBot="1" x14ac:dyDescent="0.25">
      <c r="A145" s="54" t="s">
        <v>145</v>
      </c>
      <c r="B145" s="249">
        <f>+(B139+B141+B143)/B144</f>
        <v>0.46858121792450746</v>
      </c>
      <c r="C145" s="249">
        <f t="shared" ref="C145:F145" si="54">+(C139+C141+C143)/C144</f>
        <v>0.31464438582545684</v>
      </c>
      <c r="D145" s="249">
        <f t="shared" si="54"/>
        <v>0.31464438582545684</v>
      </c>
      <c r="E145" s="249">
        <f t="shared" si="54"/>
        <v>0.31522592421629103</v>
      </c>
      <c r="F145" s="260">
        <f t="shared" si="54"/>
        <v>0.31522592421629103</v>
      </c>
      <c r="G145" s="586"/>
      <c r="H145" s="586"/>
      <c r="I145" s="586"/>
      <c r="J145" s="586"/>
      <c r="K145" s="586"/>
    </row>
    <row r="146" spans="1:13" ht="16.5" thickTop="1" x14ac:dyDescent="0.25">
      <c r="A146" s="110" t="s">
        <v>565</v>
      </c>
    </row>
    <row r="147" spans="1:13" ht="15.75" x14ac:dyDescent="0.25">
      <c r="A147" s="110"/>
      <c r="E147" s="280"/>
      <c r="F147" s="278"/>
    </row>
    <row r="148" spans="1:13" x14ac:dyDescent="0.2">
      <c r="B148" s="279" t="s">
        <v>24</v>
      </c>
      <c r="C148" s="276">
        <v>0</v>
      </c>
      <c r="D148" s="276">
        <v>0.1</v>
      </c>
      <c r="E148" s="276">
        <v>0.2</v>
      </c>
      <c r="F148" s="276">
        <v>0.3</v>
      </c>
      <c r="G148" s="276">
        <v>0.4</v>
      </c>
      <c r="H148" s="276">
        <v>0.5</v>
      </c>
      <c r="I148" s="276">
        <v>0.6</v>
      </c>
      <c r="J148" s="276">
        <v>0.7</v>
      </c>
      <c r="K148" s="276">
        <v>0.8</v>
      </c>
      <c r="L148" s="276">
        <v>0.9</v>
      </c>
      <c r="M148" s="276">
        <v>1</v>
      </c>
    </row>
    <row r="149" spans="1:13" x14ac:dyDescent="0.2">
      <c r="A149" s="130" t="s">
        <v>388</v>
      </c>
      <c r="B149" s="273">
        <f>+B138+B140+B142</f>
        <v>3198265.494740162</v>
      </c>
      <c r="C149" s="273">
        <f>+C148*$B$149</f>
        <v>0</v>
      </c>
      <c r="D149" s="273">
        <f t="shared" ref="D149:M149" si="55">+D148*$B$149</f>
        <v>319826.54947401624</v>
      </c>
      <c r="E149" s="273">
        <f t="shared" si="55"/>
        <v>639653.09894803248</v>
      </c>
      <c r="F149" s="273">
        <f t="shared" si="55"/>
        <v>959479.64842204854</v>
      </c>
      <c r="G149" s="273">
        <f t="shared" si="55"/>
        <v>1279306.197896065</v>
      </c>
      <c r="H149" s="273">
        <f t="shared" si="55"/>
        <v>1599132.747370081</v>
      </c>
      <c r="I149" s="273">
        <f t="shared" si="55"/>
        <v>1918959.2968440971</v>
      </c>
      <c r="J149" s="273">
        <f t="shared" si="55"/>
        <v>2238785.8463181132</v>
      </c>
      <c r="K149" s="273">
        <f t="shared" si="55"/>
        <v>2558612.3957921299</v>
      </c>
      <c r="L149" s="273">
        <f t="shared" si="55"/>
        <v>2878438.9452661457</v>
      </c>
      <c r="M149" s="273">
        <f t="shared" si="55"/>
        <v>3198265.494740162</v>
      </c>
    </row>
    <row r="150" spans="1:13" x14ac:dyDescent="0.2">
      <c r="A150" s="130" t="s">
        <v>389</v>
      </c>
      <c r="B150" s="273">
        <f>+B139+B141+B143</f>
        <v>3749462.499983211</v>
      </c>
      <c r="C150" s="273">
        <f>+B150</f>
        <v>3749462.499983211</v>
      </c>
      <c r="D150" s="273">
        <f t="shared" ref="D150:M150" si="56">+C150</f>
        <v>3749462.499983211</v>
      </c>
      <c r="E150" s="273">
        <f t="shared" si="56"/>
        <v>3749462.499983211</v>
      </c>
      <c r="F150" s="273">
        <f t="shared" si="56"/>
        <v>3749462.499983211</v>
      </c>
      <c r="G150" s="273">
        <f t="shared" si="56"/>
        <v>3749462.499983211</v>
      </c>
      <c r="H150" s="273">
        <f t="shared" si="56"/>
        <v>3749462.499983211</v>
      </c>
      <c r="I150" s="273">
        <f t="shared" si="56"/>
        <v>3749462.499983211</v>
      </c>
      <c r="J150" s="273">
        <f t="shared" si="56"/>
        <v>3749462.499983211</v>
      </c>
      <c r="K150" s="273">
        <f t="shared" si="56"/>
        <v>3749462.499983211</v>
      </c>
      <c r="L150" s="273">
        <f t="shared" si="56"/>
        <v>3749462.499983211</v>
      </c>
      <c r="M150" s="273">
        <f t="shared" si="56"/>
        <v>3749462.499983211</v>
      </c>
    </row>
    <row r="151" spans="1:13" x14ac:dyDescent="0.2">
      <c r="A151" s="274" t="s">
        <v>391</v>
      </c>
      <c r="B151" s="273">
        <f>+B149+B150</f>
        <v>6947727.9947233731</v>
      </c>
      <c r="C151" s="273">
        <f>+C150+C149</f>
        <v>3749462.499983211</v>
      </c>
      <c r="D151" s="273">
        <f>+D150+D149</f>
        <v>4069289.0494572273</v>
      </c>
      <c r="E151" s="273">
        <f t="shared" ref="E151:M151" si="57">+E150+E149</f>
        <v>4389115.5989312436</v>
      </c>
      <c r="F151" s="273">
        <f t="shared" si="57"/>
        <v>4708942.1484052595</v>
      </c>
      <c r="G151" s="273">
        <f t="shared" si="57"/>
        <v>5028768.6978792762</v>
      </c>
      <c r="H151" s="273">
        <f t="shared" si="57"/>
        <v>5348595.2473532921</v>
      </c>
      <c r="I151" s="273">
        <f t="shared" si="57"/>
        <v>5668421.7968273079</v>
      </c>
      <c r="J151" s="273">
        <f t="shared" si="57"/>
        <v>5988248.3463013247</v>
      </c>
      <c r="K151" s="273">
        <f t="shared" si="57"/>
        <v>6308074.8957753405</v>
      </c>
      <c r="L151" s="273">
        <f t="shared" si="57"/>
        <v>6627901.4452493563</v>
      </c>
      <c r="M151" s="273">
        <f t="shared" si="57"/>
        <v>6947727.9947233731</v>
      </c>
    </row>
    <row r="152" spans="1:13" x14ac:dyDescent="0.2">
      <c r="A152" s="274" t="s">
        <v>390</v>
      </c>
      <c r="B152" s="275">
        <f>+B97</f>
        <v>11200000</v>
      </c>
      <c r="C152" s="273">
        <f>+C148*$B$152</f>
        <v>0</v>
      </c>
      <c r="D152" s="273">
        <f t="shared" ref="D152:M152" si="58">+D148*$B$152</f>
        <v>1120000</v>
      </c>
      <c r="E152" s="273">
        <f t="shared" si="58"/>
        <v>2240000</v>
      </c>
      <c r="F152" s="273">
        <f t="shared" si="58"/>
        <v>3360000</v>
      </c>
      <c r="G152" s="273">
        <f t="shared" si="58"/>
        <v>4480000</v>
      </c>
      <c r="H152" s="273">
        <f t="shared" si="58"/>
        <v>5600000</v>
      </c>
      <c r="I152" s="273">
        <f t="shared" si="58"/>
        <v>6720000</v>
      </c>
      <c r="J152" s="273">
        <f t="shared" si="58"/>
        <v>7839999.9999999991</v>
      </c>
      <c r="K152" s="273">
        <f t="shared" si="58"/>
        <v>8960000</v>
      </c>
      <c r="L152" s="273">
        <f t="shared" si="58"/>
        <v>10080000</v>
      </c>
      <c r="M152" s="273">
        <f t="shared" si="58"/>
        <v>11200000</v>
      </c>
    </row>
    <row r="153" spans="1:13" x14ac:dyDescent="0.2">
      <c r="A153" s="277"/>
      <c r="B153" s="280"/>
      <c r="C153" s="280"/>
      <c r="D153" s="273"/>
      <c r="E153" s="273"/>
      <c r="F153" s="273"/>
      <c r="G153" s="273"/>
      <c r="H153" s="273"/>
      <c r="I153" s="273"/>
      <c r="J153" s="273"/>
      <c r="K153" s="273"/>
      <c r="L153" s="273"/>
      <c r="M153" s="273"/>
    </row>
    <row r="154" spans="1:13" x14ac:dyDescent="0.2">
      <c r="B154" s="130"/>
      <c r="C154" s="130"/>
      <c r="F154" s="278"/>
    </row>
    <row r="155" spans="1:13" x14ac:dyDescent="0.2">
      <c r="B155" s="279" t="s">
        <v>28</v>
      </c>
      <c r="C155" s="276">
        <v>0</v>
      </c>
      <c r="D155" s="276">
        <v>0.1</v>
      </c>
      <c r="E155" s="276">
        <v>0.2</v>
      </c>
      <c r="F155" s="276">
        <v>0.3</v>
      </c>
      <c r="G155" s="276">
        <v>0.4</v>
      </c>
      <c r="H155" s="276">
        <v>0.5</v>
      </c>
      <c r="I155" s="276">
        <v>0.6</v>
      </c>
      <c r="J155" s="276">
        <v>0.7</v>
      </c>
      <c r="K155" s="276">
        <v>0.8</v>
      </c>
      <c r="L155" s="276">
        <v>0.9</v>
      </c>
      <c r="M155" s="276">
        <v>1</v>
      </c>
    </row>
    <row r="156" spans="1:13" x14ac:dyDescent="0.2">
      <c r="A156" s="130" t="s">
        <v>388</v>
      </c>
      <c r="B156" s="273">
        <f>+F138+F140+F142</f>
        <v>3944130.1916771242</v>
      </c>
      <c r="C156" s="278">
        <f>+$B$156*C155</f>
        <v>0</v>
      </c>
      <c r="D156" s="278">
        <f t="shared" ref="D156:M156" si="59">+$B$156*D155</f>
        <v>394413.01916771242</v>
      </c>
      <c r="E156" s="278">
        <f t="shared" si="59"/>
        <v>788826.03833542485</v>
      </c>
      <c r="F156" s="278">
        <f t="shared" si="59"/>
        <v>1183239.0575031373</v>
      </c>
      <c r="G156" s="278">
        <f t="shared" si="59"/>
        <v>1577652.0766708497</v>
      </c>
      <c r="H156" s="278">
        <f t="shared" si="59"/>
        <v>1972065.0958385621</v>
      </c>
      <c r="I156" s="278">
        <f t="shared" si="59"/>
        <v>2366478.1150062745</v>
      </c>
      <c r="J156" s="278">
        <f t="shared" si="59"/>
        <v>2760891.134173987</v>
      </c>
      <c r="K156" s="278">
        <f t="shared" si="59"/>
        <v>3155304.1533416994</v>
      </c>
      <c r="L156" s="278">
        <f t="shared" si="59"/>
        <v>3549717.1725094118</v>
      </c>
      <c r="M156" s="278">
        <f t="shared" si="59"/>
        <v>3944130.1916771242</v>
      </c>
    </row>
    <row r="157" spans="1:13" x14ac:dyDescent="0.2">
      <c r="A157" s="130" t="s">
        <v>389</v>
      </c>
      <c r="B157" s="273">
        <f>+F139+F141+F143</f>
        <v>4052503.4419328901</v>
      </c>
      <c r="C157" s="278">
        <f>+B157</f>
        <v>4052503.4419328901</v>
      </c>
      <c r="D157" s="278">
        <f t="shared" ref="D157:M157" si="60">+C157</f>
        <v>4052503.4419328901</v>
      </c>
      <c r="E157" s="278">
        <f t="shared" si="60"/>
        <v>4052503.4419328901</v>
      </c>
      <c r="F157" s="278">
        <f t="shared" si="60"/>
        <v>4052503.4419328901</v>
      </c>
      <c r="G157" s="278">
        <f t="shared" si="60"/>
        <v>4052503.4419328901</v>
      </c>
      <c r="H157" s="278">
        <f t="shared" si="60"/>
        <v>4052503.4419328901</v>
      </c>
      <c r="I157" s="278">
        <f t="shared" si="60"/>
        <v>4052503.4419328901</v>
      </c>
      <c r="J157" s="278">
        <f t="shared" si="60"/>
        <v>4052503.4419328901</v>
      </c>
      <c r="K157" s="278">
        <f t="shared" si="60"/>
        <v>4052503.4419328901</v>
      </c>
      <c r="L157" s="278">
        <f t="shared" si="60"/>
        <v>4052503.4419328901</v>
      </c>
      <c r="M157" s="278">
        <f t="shared" si="60"/>
        <v>4052503.4419328901</v>
      </c>
    </row>
    <row r="158" spans="1:13" x14ac:dyDescent="0.2">
      <c r="A158" s="274" t="s">
        <v>391</v>
      </c>
      <c r="B158" s="273">
        <f>+B156+B157</f>
        <v>7996633.6336100139</v>
      </c>
      <c r="C158" s="278">
        <f t="shared" ref="C158:M158" si="61">+C156+C157</f>
        <v>4052503.4419328901</v>
      </c>
      <c r="D158" s="278">
        <f>+D156+D157</f>
        <v>4446916.4611006025</v>
      </c>
      <c r="E158" s="278">
        <f t="shared" si="61"/>
        <v>4841329.4802683145</v>
      </c>
      <c r="F158" s="278">
        <f t="shared" si="61"/>
        <v>5235742.4994360274</v>
      </c>
      <c r="G158" s="278">
        <f t="shared" si="61"/>
        <v>5630155.5186037403</v>
      </c>
      <c r="H158" s="278">
        <f t="shared" si="61"/>
        <v>6024568.5377714522</v>
      </c>
      <c r="I158" s="278">
        <f t="shared" si="61"/>
        <v>6418981.5569391642</v>
      </c>
      <c r="J158" s="278">
        <f t="shared" si="61"/>
        <v>6813394.5761068771</v>
      </c>
      <c r="K158" s="278">
        <f t="shared" si="61"/>
        <v>7207807.59527459</v>
      </c>
      <c r="L158" s="278">
        <f t="shared" si="61"/>
        <v>7602220.6144423019</v>
      </c>
      <c r="M158" s="278">
        <f t="shared" si="61"/>
        <v>7996633.6336100139</v>
      </c>
    </row>
    <row r="159" spans="1:13" x14ac:dyDescent="0.2">
      <c r="A159" s="274" t="s">
        <v>390</v>
      </c>
      <c r="B159" s="275">
        <f>+F97</f>
        <v>16800000</v>
      </c>
      <c r="C159" s="278">
        <f>+$B$159*C155</f>
        <v>0</v>
      </c>
      <c r="D159" s="278">
        <f t="shared" ref="D159:M159" si="62">+$B$159*D155</f>
        <v>1680000</v>
      </c>
      <c r="E159" s="278">
        <f t="shared" si="62"/>
        <v>3360000</v>
      </c>
      <c r="F159" s="278">
        <f t="shared" si="62"/>
        <v>5040000</v>
      </c>
      <c r="G159" s="278">
        <f t="shared" si="62"/>
        <v>6720000</v>
      </c>
      <c r="H159" s="278">
        <f t="shared" si="62"/>
        <v>8400000</v>
      </c>
      <c r="I159" s="278">
        <f t="shared" si="62"/>
        <v>10080000</v>
      </c>
      <c r="J159" s="278">
        <f t="shared" si="62"/>
        <v>11760000</v>
      </c>
      <c r="K159" s="278">
        <f t="shared" si="62"/>
        <v>13440000</v>
      </c>
      <c r="L159" s="278">
        <f t="shared" si="62"/>
        <v>15120000</v>
      </c>
      <c r="M159" s="278">
        <f t="shared" si="62"/>
        <v>16800000</v>
      </c>
    </row>
    <row r="160" spans="1:13" x14ac:dyDescent="0.2">
      <c r="D160" s="273"/>
      <c r="E160" s="273"/>
      <c r="F160" s="273"/>
    </row>
    <row r="161" spans="7:8" x14ac:dyDescent="0.2">
      <c r="G161" s="643" t="s">
        <v>401</v>
      </c>
      <c r="H161" s="644"/>
    </row>
    <row r="162" spans="7:8" ht="13.5" thickBot="1" x14ac:dyDescent="0.25">
      <c r="G162" s="281" t="s">
        <v>394</v>
      </c>
      <c r="H162" s="282" t="s">
        <v>395</v>
      </c>
    </row>
    <row r="163" spans="7:8" ht="13.5" thickTop="1" x14ac:dyDescent="0.2">
      <c r="G163" s="283" t="s">
        <v>392</v>
      </c>
      <c r="H163" s="284">
        <f>+SLOPE(C152:M152,C148:M148)</f>
        <v>11200000</v>
      </c>
    </row>
    <row r="164" spans="7:8" x14ac:dyDescent="0.2">
      <c r="G164" s="285" t="s">
        <v>393</v>
      </c>
      <c r="H164" s="286">
        <f>+INTERCEPT(C152:M152,C148:M148)</f>
        <v>0</v>
      </c>
    </row>
    <row r="165" spans="7:8" x14ac:dyDescent="0.2">
      <c r="G165" s="287"/>
      <c r="H165" s="286"/>
    </row>
    <row r="166" spans="7:8" ht="13.5" thickBot="1" x14ac:dyDescent="0.25">
      <c r="G166" s="288" t="s">
        <v>394</v>
      </c>
      <c r="H166" s="289" t="s">
        <v>396</v>
      </c>
    </row>
    <row r="167" spans="7:8" ht="13.5" thickTop="1" x14ac:dyDescent="0.2">
      <c r="G167" s="283" t="s">
        <v>392</v>
      </c>
      <c r="H167" s="284">
        <f>+SLOPE(C151:M151,C148:M148)</f>
        <v>3198265.4947401616</v>
      </c>
    </row>
    <row r="168" spans="7:8" x14ac:dyDescent="0.2">
      <c r="G168" s="285" t="s">
        <v>393</v>
      </c>
      <c r="H168" s="284">
        <f>+INTERCEPT(C151:M151,C148:M148)</f>
        <v>3749462.499983211</v>
      </c>
    </row>
    <row r="169" spans="7:8" x14ac:dyDescent="0.2">
      <c r="G169" s="287"/>
      <c r="H169" s="286"/>
    </row>
    <row r="170" spans="7:8" ht="13.5" thickBot="1" x14ac:dyDescent="0.25">
      <c r="G170" s="288" t="s">
        <v>397</v>
      </c>
      <c r="H170" s="289" t="s">
        <v>398</v>
      </c>
    </row>
    <row r="171" spans="7:8" ht="13.5" thickTop="1" x14ac:dyDescent="0.2">
      <c r="G171" s="290" t="s">
        <v>399</v>
      </c>
      <c r="H171" s="291">
        <f>+H168/(H163-H167)</f>
        <v>0.46858121792450746</v>
      </c>
    </row>
    <row r="172" spans="7:8" x14ac:dyDescent="0.2">
      <c r="G172" s="292" t="s">
        <v>400</v>
      </c>
      <c r="H172" s="293">
        <f>+H171*H163</f>
        <v>5248109.6407544836</v>
      </c>
    </row>
    <row r="175" spans="7:8" x14ac:dyDescent="0.2">
      <c r="G175" s="316"/>
    </row>
    <row r="176" spans="7:8" x14ac:dyDescent="0.2">
      <c r="G176" s="316"/>
    </row>
    <row r="177" spans="7:8" x14ac:dyDescent="0.2">
      <c r="G177" s="316"/>
    </row>
    <row r="187" spans="7:8" x14ac:dyDescent="0.2">
      <c r="G187" s="643" t="s">
        <v>568</v>
      </c>
      <c r="H187" s="644"/>
    </row>
    <row r="188" spans="7:8" ht="13.5" thickBot="1" x14ac:dyDescent="0.25">
      <c r="G188" s="288" t="s">
        <v>394</v>
      </c>
      <c r="H188" s="289" t="s">
        <v>395</v>
      </c>
    </row>
    <row r="189" spans="7:8" ht="13.5" thickTop="1" x14ac:dyDescent="0.2">
      <c r="G189" s="283" t="s">
        <v>392</v>
      </c>
      <c r="H189" s="284">
        <f>+SLOPE(C159:M159,C155:M155)</f>
        <v>16800000</v>
      </c>
    </row>
    <row r="190" spans="7:8" x14ac:dyDescent="0.2">
      <c r="G190" s="285" t="s">
        <v>393</v>
      </c>
      <c r="H190" s="286">
        <f>+INTERCEPT(C159:M159,C155:M155)</f>
        <v>0</v>
      </c>
    </row>
    <row r="191" spans="7:8" x14ac:dyDescent="0.2">
      <c r="G191" s="287"/>
      <c r="H191" s="286"/>
    </row>
    <row r="192" spans="7:8" ht="13.5" thickBot="1" x14ac:dyDescent="0.25">
      <c r="G192" s="288" t="s">
        <v>394</v>
      </c>
      <c r="H192" s="289" t="s">
        <v>396</v>
      </c>
    </row>
    <row r="193" spans="7:8" ht="13.5" thickTop="1" x14ac:dyDescent="0.2">
      <c r="G193" s="283" t="s">
        <v>392</v>
      </c>
      <c r="H193" s="284">
        <f>+SLOPE(C158:M158,C155:M155)</f>
        <v>3944130.1916771242</v>
      </c>
    </row>
    <row r="194" spans="7:8" x14ac:dyDescent="0.2">
      <c r="G194" s="285" t="s">
        <v>393</v>
      </c>
      <c r="H194" s="284">
        <f>+INTERCEPT(C158:M158,C155:M155)</f>
        <v>4052503.4419328901</v>
      </c>
    </row>
    <row r="195" spans="7:8" x14ac:dyDescent="0.2">
      <c r="G195" s="287"/>
      <c r="H195" s="286"/>
    </row>
    <row r="196" spans="7:8" ht="13.5" thickBot="1" x14ac:dyDescent="0.25">
      <c r="G196" s="288" t="s">
        <v>397</v>
      </c>
      <c r="H196" s="289" t="s">
        <v>398</v>
      </c>
    </row>
    <row r="197" spans="7:8" ht="13.5" thickTop="1" x14ac:dyDescent="0.2">
      <c r="G197" s="290" t="s">
        <v>399</v>
      </c>
      <c r="H197" s="499">
        <f>+H194/(H189-H193)</f>
        <v>0.31522592421629098</v>
      </c>
    </row>
    <row r="198" spans="7:8" x14ac:dyDescent="0.2">
      <c r="G198" s="292" t="s">
        <v>400</v>
      </c>
      <c r="H198" s="293">
        <f>+H197*H189</f>
        <v>5295795.5268336888</v>
      </c>
    </row>
  </sheetData>
  <mergeCells count="10">
    <mergeCell ref="B38:F38"/>
    <mergeCell ref="B72:F72"/>
    <mergeCell ref="A92:F92"/>
    <mergeCell ref="G161:H161"/>
    <mergeCell ref="G187:H187"/>
    <mergeCell ref="B2:F2"/>
    <mergeCell ref="A1:F1"/>
    <mergeCell ref="B6:F6"/>
    <mergeCell ref="B21:F21"/>
    <mergeCell ref="B22:F22"/>
  </mergeCells>
  <pageMargins left="0.32" right="0.75" top="0.6" bottom="0.24" header="0" footer="0"/>
  <pageSetup paperSize="9" scale="68" fitToHeight="4" orientation="landscape" horizontalDpi="300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35"/>
  <sheetViews>
    <sheetView zoomScale="90" zoomScaleNormal="90" workbookViewId="0">
      <selection activeCell="C8" sqref="C8"/>
    </sheetView>
  </sheetViews>
  <sheetFormatPr baseColWidth="10" defaultRowHeight="12.75" x14ac:dyDescent="0.2"/>
  <cols>
    <col min="1" max="1" width="45.5703125" style="38" bestFit="1" customWidth="1"/>
    <col min="2" max="2" width="14.85546875" style="38" customWidth="1"/>
    <col min="3" max="3" width="15.7109375" style="38" customWidth="1"/>
    <col min="4" max="12" width="16" style="38" bestFit="1" customWidth="1"/>
    <col min="13" max="13" width="17.42578125" style="38" bestFit="1" customWidth="1"/>
    <col min="14" max="16384" width="11.42578125" style="38"/>
  </cols>
  <sheetData>
    <row r="1" spans="1:13" ht="16.5" thickTop="1" x14ac:dyDescent="0.25">
      <c r="A1" s="72" t="s">
        <v>177</v>
      </c>
      <c r="B1" s="73"/>
      <c r="C1" s="73"/>
      <c r="D1" s="73"/>
      <c r="E1" s="73"/>
      <c r="F1" s="73"/>
      <c r="G1" s="532"/>
      <c r="H1" s="593"/>
      <c r="I1" s="593"/>
      <c r="J1" s="593"/>
      <c r="K1" s="593"/>
      <c r="L1" s="593"/>
    </row>
    <row r="2" spans="1:13" ht="13.5" thickBot="1" x14ac:dyDescent="0.25">
      <c r="A2" s="118" t="s">
        <v>80</v>
      </c>
      <c r="B2" s="233" t="s">
        <v>23</v>
      </c>
      <c r="C2" s="233" t="s">
        <v>24</v>
      </c>
      <c r="D2" s="233" t="s">
        <v>25</v>
      </c>
      <c r="E2" s="233" t="s">
        <v>26</v>
      </c>
      <c r="F2" s="233" t="s">
        <v>27</v>
      </c>
      <c r="G2" s="234" t="s">
        <v>28</v>
      </c>
      <c r="H2" s="555"/>
      <c r="I2" s="555"/>
      <c r="J2" s="555"/>
      <c r="K2" s="555"/>
      <c r="L2" s="555"/>
    </row>
    <row r="3" spans="1:13" ht="13.5" thickTop="1" x14ac:dyDescent="0.2">
      <c r="A3" s="294" t="s">
        <v>152</v>
      </c>
      <c r="B3" s="295"/>
      <c r="C3" s="295"/>
      <c r="D3" s="295"/>
      <c r="E3" s="295"/>
      <c r="F3" s="295"/>
      <c r="G3" s="296"/>
      <c r="H3" s="594"/>
      <c r="I3" s="594"/>
      <c r="J3" s="594"/>
      <c r="K3" s="594"/>
      <c r="L3" s="594"/>
    </row>
    <row r="4" spans="1:13" x14ac:dyDescent="0.2">
      <c r="A4" s="297" t="s">
        <v>153</v>
      </c>
      <c r="B4" s="21">
        <f>+C4*0.8</f>
        <v>179200</v>
      </c>
      <c r="C4" s="21">
        <f>+'E-Costos'!B97*0.02</f>
        <v>224000</v>
      </c>
      <c r="D4" s="21">
        <f>+'E-Costos'!C97*0.02</f>
        <v>336000</v>
      </c>
      <c r="E4" s="21">
        <f>+'E-Costos'!D97*0.02</f>
        <v>336000</v>
      </c>
      <c r="F4" s="21">
        <f>+'E-Costos'!E97*0.02</f>
        <v>336000</v>
      </c>
      <c r="G4" s="23">
        <f>+'E-Costos'!F97*0.02</f>
        <v>336000</v>
      </c>
      <c r="H4" s="595"/>
      <c r="I4" s="595"/>
      <c r="J4" s="595"/>
      <c r="K4" s="595"/>
      <c r="L4" s="595"/>
    </row>
    <row r="5" spans="1:13" x14ac:dyDescent="0.2">
      <c r="A5" s="297" t="s">
        <v>178</v>
      </c>
      <c r="B5" s="21">
        <v>0</v>
      </c>
      <c r="C5" s="21">
        <f>+'E-Costos'!B97*(30/365)</f>
        <v>920547.94520547939</v>
      </c>
      <c r="D5" s="21">
        <f>+'E-Costos'!C97*(30/365)</f>
        <v>1380821.9178082191</v>
      </c>
      <c r="E5" s="21">
        <f>+'E-Costos'!D97*(30/365)</f>
        <v>1380821.9178082191</v>
      </c>
      <c r="F5" s="21">
        <f>+'E-Costos'!E97*(30/365)</f>
        <v>1380821.9178082191</v>
      </c>
      <c r="G5" s="23">
        <f>+'E-Costos'!F97*(30/365)</f>
        <v>1380821.9178082191</v>
      </c>
      <c r="H5" s="595"/>
      <c r="I5" s="595"/>
      <c r="J5" s="595"/>
      <c r="K5" s="595"/>
      <c r="L5" s="595"/>
    </row>
    <row r="6" spans="1:13" x14ac:dyDescent="0.2">
      <c r="A6" s="298"/>
      <c r="B6" s="14"/>
      <c r="C6" s="14"/>
      <c r="D6" s="14"/>
      <c r="E6" s="14"/>
      <c r="F6" s="14"/>
      <c r="G6" s="15"/>
      <c r="H6" s="594"/>
      <c r="I6" s="594"/>
      <c r="J6" s="594"/>
      <c r="K6" s="594"/>
      <c r="L6" s="594"/>
    </row>
    <row r="7" spans="1:13" x14ac:dyDescent="0.2">
      <c r="A7" s="297" t="s">
        <v>154</v>
      </c>
      <c r="B7" s="14"/>
      <c r="C7" s="14"/>
      <c r="D7" s="14"/>
      <c r="E7" s="14"/>
      <c r="F7" s="14"/>
      <c r="G7" s="15"/>
      <c r="H7" s="594"/>
      <c r="I7" s="594"/>
      <c r="J7" s="594"/>
      <c r="K7" s="594"/>
      <c r="L7" s="594"/>
    </row>
    <row r="8" spans="1:13" x14ac:dyDescent="0.2">
      <c r="A8" s="298" t="s">
        <v>155</v>
      </c>
      <c r="B8" s="21">
        <f>+C8*0.2</f>
        <v>45487.037681159476</v>
      </c>
      <c r="C8" s="21">
        <f>+'[2]EJ 10'!$E$31*40+'[2]EJ 10'!$G$31*34+80000/12*6.46</f>
        <v>227435.18840579735</v>
      </c>
      <c r="D8" s="21">
        <f>+'[2]EJ 10'!$E$31*40+'[2]EJ 10'!$G$31*34+80000/12*6.46</f>
        <v>227435.18840579735</v>
      </c>
      <c r="E8" s="21">
        <f>+'[2]EJ 10'!$E$31*40+'[2]EJ 10'!$G$31*34+80000/12*6.46</f>
        <v>227435.18840579735</v>
      </c>
      <c r="F8" s="21">
        <f>+'[2]EJ 10'!$E$31*40+'[2]EJ 10'!$G$31*34+80000/12*6.46</f>
        <v>227435.18840579735</v>
      </c>
      <c r="G8" s="21">
        <f>+'[2]EJ 10'!$E$31*40+'[2]EJ 10'!$G$31*34+80000/12*6.46</f>
        <v>227435.18840579735</v>
      </c>
      <c r="H8" s="595"/>
      <c r="I8" s="595"/>
      <c r="J8" s="595"/>
      <c r="K8" s="595"/>
      <c r="L8" s="594"/>
      <c r="M8" s="315"/>
    </row>
    <row r="9" spans="1:13" x14ac:dyDescent="0.2">
      <c r="A9" s="298" t="s">
        <v>156</v>
      </c>
      <c r="B9" s="21">
        <f>C9*0.5</f>
        <v>16000</v>
      </c>
      <c r="C9" s="21">
        <v>32000</v>
      </c>
      <c r="D9" s="21">
        <v>32000</v>
      </c>
      <c r="E9" s="21">
        <v>32000</v>
      </c>
      <c r="F9" s="21">
        <v>32000</v>
      </c>
      <c r="G9" s="21">
        <v>32000</v>
      </c>
      <c r="H9" s="595"/>
      <c r="I9" s="595"/>
      <c r="J9" s="595"/>
      <c r="K9" s="595"/>
      <c r="L9" s="594"/>
      <c r="M9" s="315"/>
    </row>
    <row r="10" spans="1:13" x14ac:dyDescent="0.2">
      <c r="A10" s="298" t="s">
        <v>160</v>
      </c>
      <c r="B10" s="21">
        <v>0</v>
      </c>
      <c r="C10" s="21">
        <f>+'E-Costos'!B36</f>
        <v>100970.4780274459</v>
      </c>
      <c r="D10" s="21">
        <f>+'E-Costos'!C36</f>
        <v>88682.211129470292</v>
      </c>
      <c r="E10" s="21">
        <f>+'E-Costos'!D36</f>
        <v>88682.211129470292</v>
      </c>
      <c r="F10" s="21">
        <f>+'E-Costos'!E36</f>
        <v>88584.454283096376</v>
      </c>
      <c r="G10" s="23">
        <f>+'E-Costos'!F36</f>
        <v>88584.454283096376</v>
      </c>
      <c r="H10" s="595"/>
      <c r="I10" s="595"/>
      <c r="J10" s="595"/>
      <c r="K10" s="595"/>
      <c r="L10" s="594"/>
      <c r="M10" s="315"/>
    </row>
    <row r="11" spans="1:13" x14ac:dyDescent="0.2">
      <c r="A11" s="298" t="s">
        <v>161</v>
      </c>
      <c r="B11" s="21">
        <v>0</v>
      </c>
      <c r="C11" s="21">
        <f>+B11+'E-Costos'!B115</f>
        <v>38267.903742847673</v>
      </c>
      <c r="D11" s="21">
        <f>+C11+'E-Costos'!C115</f>
        <v>47955.616260130279</v>
      </c>
      <c r="E11" s="21">
        <f>+D11+'E-Costos'!D115</f>
        <v>47955.616260130279</v>
      </c>
      <c r="F11" s="21">
        <f>+E11+'E-Costos'!E115</f>
        <v>47955.616260130279</v>
      </c>
      <c r="G11" s="23">
        <f>+F11+'E-Costos'!F115</f>
        <v>47955.616260130279</v>
      </c>
      <c r="H11" s="595"/>
      <c r="I11" s="595"/>
      <c r="J11" s="595"/>
      <c r="K11" s="595"/>
      <c r="L11" s="595"/>
      <c r="M11" s="315"/>
    </row>
    <row r="12" spans="1:13" x14ac:dyDescent="0.2">
      <c r="A12" s="298"/>
      <c r="B12" s="14"/>
      <c r="C12" s="14"/>
      <c r="D12" s="14"/>
      <c r="E12" s="14"/>
      <c r="F12" s="14"/>
      <c r="G12" s="15"/>
      <c r="H12" s="594"/>
      <c r="I12" s="594"/>
      <c r="J12" s="594"/>
      <c r="K12" s="594"/>
      <c r="L12" s="594"/>
    </row>
    <row r="13" spans="1:13" x14ac:dyDescent="0.2">
      <c r="A13" s="297" t="s">
        <v>157</v>
      </c>
      <c r="B13" s="103">
        <f>+SUM(B4:B11)</f>
        <v>240687.03768115948</v>
      </c>
      <c r="C13" s="103">
        <f t="shared" ref="C13:G13" si="0">+SUM(C4:C11)</f>
        <v>1543221.5153815704</v>
      </c>
      <c r="D13" s="103">
        <f t="shared" si="0"/>
        <v>2112894.9336036169</v>
      </c>
      <c r="E13" s="103">
        <f t="shared" si="0"/>
        <v>2112894.9336036169</v>
      </c>
      <c r="F13" s="103">
        <f t="shared" si="0"/>
        <v>2112797.176757243</v>
      </c>
      <c r="G13" s="104">
        <f t="shared" si="0"/>
        <v>2112797.176757243</v>
      </c>
      <c r="H13" s="559"/>
      <c r="I13" s="559"/>
      <c r="J13" s="559"/>
      <c r="K13" s="559"/>
      <c r="L13" s="559"/>
    </row>
    <row r="14" spans="1:13" x14ac:dyDescent="0.2">
      <c r="A14" s="297" t="s">
        <v>158</v>
      </c>
      <c r="B14" s="14"/>
      <c r="C14" s="14"/>
      <c r="D14" s="14"/>
      <c r="E14" s="14"/>
      <c r="F14" s="14"/>
      <c r="G14" s="15"/>
      <c r="H14" s="594"/>
      <c r="I14" s="594"/>
      <c r="J14" s="594"/>
      <c r="K14" s="594"/>
      <c r="L14" s="594"/>
    </row>
    <row r="15" spans="1:13" x14ac:dyDescent="0.2">
      <c r="A15" s="298" t="s">
        <v>162</v>
      </c>
      <c r="B15" s="21">
        <v>0</v>
      </c>
      <c r="C15" s="21">
        <f>+'E-Costos'!B27</f>
        <v>58391.454168822711</v>
      </c>
      <c r="D15" s="21">
        <f>+'E-Costos'!C27</f>
        <v>47366.786171332613</v>
      </c>
      <c r="E15" s="21">
        <f>+'E-Costos'!D27</f>
        <v>47366.786171332613</v>
      </c>
      <c r="F15" s="21">
        <f>+'E-Costos'!E27</f>
        <v>47156.417106850531</v>
      </c>
      <c r="G15" s="23">
        <f>+'E-Costos'!F27</f>
        <v>47156.417106850531</v>
      </c>
      <c r="H15" s="595"/>
      <c r="I15" s="595"/>
      <c r="J15" s="595"/>
      <c r="K15" s="595"/>
      <c r="L15" s="595"/>
    </row>
    <row r="16" spans="1:13" x14ac:dyDescent="0.2">
      <c r="A16" s="298" t="s">
        <v>163</v>
      </c>
      <c r="B16" s="21">
        <v>0</v>
      </c>
      <c r="C16" s="21">
        <f>+('E-Costos'!B7-'E-Costos'!B27)/'E-Costos'!B117*'E-InvAT'!C11</f>
        <v>2784.0360370099224</v>
      </c>
      <c r="D16" s="21">
        <f>+('E-Costos'!C7-'E-Costos'!C27)/'E-Costos'!C117*'E-InvAT'!D11</f>
        <v>2858.7660634904296</v>
      </c>
      <c r="E16" s="21">
        <f>+('E-Costos'!D7-'E-Costos'!D27)/'E-Costos'!D117*'E-InvAT'!E11</f>
        <v>2860.0827039309834</v>
      </c>
      <c r="F16" s="21">
        <f>+('E-Costos'!E7-'E-Costos'!E27)/'E-Costos'!E117*'E-InvAT'!F11</f>
        <v>2834.4696200123376</v>
      </c>
      <c r="G16" s="23">
        <f>+('E-Costos'!F7-'E-Costos'!F27)/'E-Costos'!F117*'E-InvAT'!G11</f>
        <v>2834.5184712352643</v>
      </c>
      <c r="H16" s="595"/>
      <c r="I16" s="595"/>
      <c r="J16" s="595"/>
      <c r="K16" s="595"/>
      <c r="L16" s="595"/>
    </row>
    <row r="17" spans="1:12" x14ac:dyDescent="0.2">
      <c r="A17" s="298" t="s">
        <v>164</v>
      </c>
      <c r="B17" s="21">
        <v>0</v>
      </c>
      <c r="C17" s="21">
        <f>+'E-Costos'!B131*'E-InvAT'!C5</f>
        <v>217148.12811919017</v>
      </c>
      <c r="D17" s="21">
        <f>+'E-Costos'!C131*'E-InvAT'!D5</f>
        <v>420766.05158444209</v>
      </c>
      <c r="E17" s="21">
        <f>+'E-Costos'!D131*'E-InvAT'!E5</f>
        <v>420890.02321793255</v>
      </c>
      <c r="F17" s="21">
        <f>+'E-Costos'!E131*'E-InvAT'!F5</f>
        <v>419662.66796180495</v>
      </c>
      <c r="G17" s="23">
        <f>+'E-Costos'!F131*'E-InvAT'!G5</f>
        <v>419667.32815119374</v>
      </c>
      <c r="H17" s="595"/>
      <c r="I17" s="595"/>
      <c r="J17" s="595"/>
      <c r="K17" s="595"/>
      <c r="L17" s="595"/>
    </row>
    <row r="18" spans="1:12" x14ac:dyDescent="0.2">
      <c r="A18" s="298" t="s">
        <v>165</v>
      </c>
      <c r="B18" s="21">
        <v>0</v>
      </c>
      <c r="C18" s="21">
        <f>+('E-Inv AF y Am'!$D$55-'E-InvAT'!C15-'E-InvAT'!C16+'E-InvAT'!B15+'E-InvAT'!B16)/'E-Costos'!B97*'E-InvAT'!C5</f>
        <v>29895.865690751991</v>
      </c>
      <c r="D18" s="21">
        <f>+('E-Inv AF y Am'!$D$55-'E-InvAT'!D15-'E-InvAT'!D16+'E-InvAT'!C15+'E-InvAT'!C16)/'E-Costos'!C97*'E-InvAT'!D5</f>
        <v>35823.983075149983</v>
      </c>
      <c r="E18" s="21">
        <f>+('E-Inv AF y Am'!$D$55-'E-InvAT'!E15-'E-InvAT'!E16+'E-InvAT'!D15+'E-InvAT'!D16)/'E-Costos'!D97*'E-InvAT'!E5</f>
        <v>34923.879956400655</v>
      </c>
      <c r="F18" s="21">
        <f>+('E-Inv AF y Am'!$E$55-'E-InvAT'!F15-'E-InvAT'!F16+'E-InvAT'!E15+'E-InvAT'!E16)/'E-Costos'!E97*'E-InvAT'!F5</f>
        <v>34943.383966442409</v>
      </c>
      <c r="G18" s="23">
        <f>+('E-Inv AF y Am'!$E$55-'E-InvAT'!G15-'E-InvAT'!G16+'E-InvAT'!F15+'E-InvAT'!F16)/'E-Costos'!F97*'E-InvAT'!G5</f>
        <v>34923.984158254156</v>
      </c>
      <c r="H18" s="595"/>
      <c r="I18" s="595"/>
      <c r="J18" s="595"/>
      <c r="K18" s="595"/>
      <c r="L18" s="595"/>
    </row>
    <row r="19" spans="1:12" x14ac:dyDescent="0.2">
      <c r="A19" s="298"/>
      <c r="B19" s="14"/>
      <c r="C19" s="14"/>
      <c r="D19" s="14"/>
      <c r="E19" s="14"/>
      <c r="F19" s="14"/>
      <c r="G19" s="15"/>
      <c r="H19" s="594"/>
      <c r="I19" s="594"/>
      <c r="J19" s="594"/>
      <c r="K19" s="594"/>
      <c r="L19" s="594"/>
    </row>
    <row r="20" spans="1:12" x14ac:dyDescent="0.2">
      <c r="A20" s="297" t="s">
        <v>166</v>
      </c>
      <c r="B20" s="103">
        <f>+B13-SUM(B15:B18)</f>
        <v>240687.03768115948</v>
      </c>
      <c r="C20" s="103">
        <f t="shared" ref="C20:G20" si="1">+C13-SUM(C15:C18)</f>
        <v>1235002.0313657955</v>
      </c>
      <c r="D20" s="103">
        <f t="shared" si="1"/>
        <v>1606079.3467092018</v>
      </c>
      <c r="E20" s="103">
        <f t="shared" si="1"/>
        <v>1606854.1615540201</v>
      </c>
      <c r="F20" s="103">
        <f t="shared" si="1"/>
        <v>1608200.2381021327</v>
      </c>
      <c r="G20" s="104">
        <f t="shared" si="1"/>
        <v>1608214.9288697094</v>
      </c>
      <c r="H20" s="559"/>
      <c r="I20" s="559"/>
      <c r="J20" s="559"/>
      <c r="K20" s="559"/>
      <c r="L20" s="559"/>
    </row>
    <row r="21" spans="1:12" x14ac:dyDescent="0.2">
      <c r="A21" s="298"/>
      <c r="B21" s="14"/>
      <c r="C21" s="14"/>
      <c r="D21" s="14"/>
      <c r="E21" s="14"/>
      <c r="F21" s="14"/>
      <c r="G21" s="15"/>
      <c r="H21" s="594"/>
      <c r="I21" s="594"/>
      <c r="J21" s="594"/>
      <c r="K21" s="594"/>
      <c r="L21" s="594"/>
    </row>
    <row r="22" spans="1:12" x14ac:dyDescent="0.2">
      <c r="A22" s="297" t="s">
        <v>167</v>
      </c>
      <c r="B22" s="21">
        <f>+B13</f>
        <v>240687.03768115948</v>
      </c>
      <c r="C22" s="21">
        <f>+C13-B13</f>
        <v>1302534.4777004109</v>
      </c>
      <c r="D22" s="21">
        <f>+D13-C13</f>
        <v>569673.41822204646</v>
      </c>
      <c r="E22" s="21">
        <f t="shared" ref="E22:G22" si="2">+E13-D13</f>
        <v>0</v>
      </c>
      <c r="F22" s="21">
        <f t="shared" si="2"/>
        <v>-97.756846373900771</v>
      </c>
      <c r="G22" s="23">
        <f t="shared" si="2"/>
        <v>0</v>
      </c>
      <c r="H22" s="595"/>
      <c r="I22" s="595"/>
      <c r="J22" s="595"/>
      <c r="K22" s="595"/>
      <c r="L22" s="595"/>
    </row>
    <row r="23" spans="1:12" x14ac:dyDescent="0.2">
      <c r="A23" s="297" t="s">
        <v>168</v>
      </c>
      <c r="B23" s="103">
        <f>+B20</f>
        <v>240687.03768115948</v>
      </c>
      <c r="C23" s="103">
        <f>+C20-B20</f>
        <v>994314.99368463608</v>
      </c>
      <c r="D23" s="103">
        <f t="shared" ref="D23:G23" si="3">+D20-C20</f>
        <v>371077.31534340628</v>
      </c>
      <c r="E23" s="103">
        <f t="shared" si="3"/>
        <v>774.81484481832013</v>
      </c>
      <c r="F23" s="103">
        <f t="shared" si="3"/>
        <v>1346.0765481125563</v>
      </c>
      <c r="G23" s="104">
        <f t="shared" si="3"/>
        <v>14.690767576685175</v>
      </c>
      <c r="H23" s="559"/>
      <c r="I23" s="559"/>
      <c r="J23" s="559"/>
      <c r="K23" s="559"/>
      <c r="L23" s="559"/>
    </row>
    <row r="24" spans="1:12" x14ac:dyDescent="0.2">
      <c r="A24" s="298"/>
      <c r="B24" s="14"/>
      <c r="C24" s="14"/>
      <c r="D24" s="14"/>
      <c r="E24" s="14"/>
      <c r="F24" s="14"/>
      <c r="G24" s="15"/>
      <c r="H24" s="594"/>
      <c r="I24" s="594"/>
      <c r="J24" s="594"/>
      <c r="K24" s="594"/>
      <c r="L24" s="594"/>
    </row>
    <row r="25" spans="1:12" x14ac:dyDescent="0.2">
      <c r="A25" s="297" t="s">
        <v>169</v>
      </c>
      <c r="B25" s="14"/>
      <c r="C25" s="14"/>
      <c r="D25" s="14"/>
      <c r="E25" s="14"/>
      <c r="F25" s="14"/>
      <c r="G25" s="15"/>
      <c r="H25" s="594"/>
      <c r="I25" s="594"/>
      <c r="J25" s="594"/>
      <c r="K25" s="594"/>
      <c r="L25" s="594"/>
    </row>
    <row r="26" spans="1:12" x14ac:dyDescent="0.2">
      <c r="A26" s="298" t="s">
        <v>170</v>
      </c>
      <c r="B26" s="21"/>
      <c r="C26" s="21"/>
      <c r="D26" s="21"/>
      <c r="E26" s="21"/>
      <c r="F26" s="21"/>
      <c r="G26" s="23"/>
      <c r="H26" s="595"/>
      <c r="I26" s="595"/>
      <c r="J26" s="595"/>
      <c r="K26" s="595"/>
      <c r="L26" s="595"/>
    </row>
    <row r="27" spans="1:12" x14ac:dyDescent="0.2">
      <c r="A27" s="298" t="s">
        <v>159</v>
      </c>
      <c r="B27" s="21"/>
      <c r="C27" s="21"/>
      <c r="D27" s="21"/>
      <c r="E27" s="21"/>
      <c r="F27" s="21"/>
      <c r="G27" s="23"/>
      <c r="H27" s="595"/>
      <c r="I27" s="595"/>
      <c r="J27" s="595"/>
      <c r="K27" s="595"/>
      <c r="L27" s="595"/>
    </row>
    <row r="28" spans="1:12" x14ac:dyDescent="0.2">
      <c r="A28" s="298" t="s">
        <v>171</v>
      </c>
      <c r="B28" s="21">
        <f>+B8*InfoInicial!$B$3</f>
        <v>9552.2779130434901</v>
      </c>
      <c r="C28" s="21">
        <f>+(C8-B8)*InfoInicial!$B$3</f>
        <v>38209.111652173953</v>
      </c>
      <c r="D28" s="21">
        <f>+(D8-C8)*InfoInicial!$B$3</f>
        <v>0</v>
      </c>
      <c r="E28" s="21">
        <f>+(E8-D8)*InfoInicial!$B$3</f>
        <v>0</v>
      </c>
      <c r="F28" s="21">
        <f>+(F8-E8)*InfoInicial!$B$3</f>
        <v>0</v>
      </c>
      <c r="G28" s="23">
        <f>+(G8-F8)*InfoInicial!$B$3</f>
        <v>0</v>
      </c>
      <c r="H28" s="595"/>
      <c r="I28" s="595"/>
      <c r="J28" s="595"/>
      <c r="K28" s="595"/>
      <c r="L28" s="595"/>
    </row>
    <row r="29" spans="1:12" x14ac:dyDescent="0.2">
      <c r="A29" s="298" t="s">
        <v>172</v>
      </c>
      <c r="B29" s="21">
        <f>+B9*InfoInicial!$B$3</f>
        <v>3360</v>
      </c>
      <c r="C29" s="21">
        <f>+(C9-B9)*InfoInicial!$B$3</f>
        <v>3360</v>
      </c>
      <c r="D29" s="21">
        <f>+(D9-C9)*InfoInicial!$B$3</f>
        <v>0</v>
      </c>
      <c r="E29" s="21">
        <f>+(E9-D9)*InfoInicial!$B$3</f>
        <v>0</v>
      </c>
      <c r="F29" s="21">
        <f>+(F9-E9)*InfoInicial!$B$3</f>
        <v>0</v>
      </c>
      <c r="G29" s="23">
        <f>+(G9-F9)*InfoInicial!$B$3</f>
        <v>0</v>
      </c>
      <c r="H29" s="595"/>
      <c r="I29" s="595"/>
      <c r="J29" s="595"/>
      <c r="K29" s="595"/>
      <c r="L29" s="595"/>
    </row>
    <row r="30" spans="1:12" x14ac:dyDescent="0.2">
      <c r="A30" s="298" t="s">
        <v>173</v>
      </c>
      <c r="B30" s="21">
        <f>+B10*InfoInicial!$B$3</f>
        <v>0</v>
      </c>
      <c r="C30" s="21">
        <f>+(C10-B10)*InfoInicial!$B$3</f>
        <v>21203.800385763639</v>
      </c>
      <c r="D30" s="21">
        <f>+(D10-C10)*InfoInicial!$B$3</f>
        <v>-2580.5360485748784</v>
      </c>
      <c r="E30" s="21">
        <f>+(E10-D10)*InfoInicial!$B$3</f>
        <v>0</v>
      </c>
      <c r="F30" s="21">
        <f>+(F10-E10)*InfoInicial!$B$3</f>
        <v>-20.528937738522217</v>
      </c>
      <c r="G30" s="23">
        <f>+(G10-F10)*InfoInicial!$B$3</f>
        <v>0</v>
      </c>
      <c r="H30" s="595"/>
      <c r="I30" s="595"/>
      <c r="J30" s="595"/>
      <c r="K30" s="595"/>
      <c r="L30" s="595"/>
    </row>
    <row r="31" spans="1:12" x14ac:dyDescent="0.2">
      <c r="A31" s="298" t="s">
        <v>174</v>
      </c>
      <c r="B31" s="21">
        <v>0</v>
      </c>
      <c r="C31" s="76">
        <f>+(('E-Costos'!B4+'E-Costos'!B9+'E-Costos'!B10+'E-Costos'!B13+'E-Costos'!B14-'E-Costos'!B24-'E-Costos'!B29-'E-Costos'!B30-'E-Costos'!B31-'E-Costos'!B33-'E-Costos'!B34-'E-Costos'!$G$24-'E-Costos'!$G$29-'E-Costos'!$G$30-'E-Costos'!$G$31-'E-Costos'!$G$33-'E-Costos'!$G$34)/'E-Costos'!B122)*('E-InvAT'!C11-'E-InvAT'!C16)*InfoInicial!$B$3</f>
        <v>2303.3378146957934</v>
      </c>
      <c r="D31" s="76">
        <f>+(('E-Costos'!C4+'E-Costos'!C9+'E-Costos'!C10+'E-Costos'!C13+'E-Costos'!C14-'E-Costos'!C24-'E-Costos'!C29-'E-Costos'!C30-'E-Costos'!C31-'E-Costos'!C33-'E-Costos'!C34-'E-Costos'!$G$24-'E-Costos'!$G$29-'E-Costos'!$G$30-'E-Costos'!$G$31-'E-Costos'!$G$33-'E-Costos'!$G$34)/'E-Costos'!C122)*('E-InvAT'!D11-'E-InvAT'!D16)*InfoInicial!$B$3</f>
        <v>3159.5423247992139</v>
      </c>
      <c r="E31" s="76">
        <f>+(('E-Costos'!D4+'E-Costos'!D9+'E-Costos'!D10+'E-Costos'!D13+'E-Costos'!D14-'E-Costos'!D24-'E-Costos'!D29-'E-Costos'!D30-'E-Costos'!D31-'E-Costos'!D33-'E-Costos'!D34-'E-Costos'!$G$24-'E-Costos'!$G$29-'E-Costos'!$G$30-'E-Costos'!$G$31-'E-Costos'!$G$33-'E-Costos'!$G$34)/'E-Costos'!D122)*('E-InvAT'!E11-'E-InvAT'!E16)*InfoInicial!$B$3</f>
        <v>3160.4808580106396</v>
      </c>
      <c r="F31" s="76">
        <f>+(('E-Costos'!E4+'E-Costos'!E9+'E-Costos'!E10+'E-Costos'!E13+'E-Costos'!E14-'E-Costos'!E24-'E-Costos'!E29-'E-Costos'!E30-'E-Costos'!E31-'E-Costos'!E33-'E-Costos'!E34-'E-Costos'!$G$24-'E-Costos'!$G$29-'E-Costos'!$G$30-'E-Costos'!$G$31-'E-Costos'!$G$33-'E-Costos'!$G$34)/'E-Costos'!E122)*('E-InvAT'!F11-'E-InvAT'!F16)*InfoInicial!$B$3</f>
        <v>3183.0343549243025</v>
      </c>
      <c r="G31" s="77">
        <f>+(('E-Costos'!F4+'E-Costos'!F9+'E-Costos'!F10+'E-Costos'!F13+'E-Costos'!F14-'E-Costos'!F24-'E-Costos'!F29-'E-Costos'!F30-'E-Costos'!F31-'E-Costos'!F33-'E-Costos'!F34-'E-Costos'!$G$24-'E-Costos'!$G$29-'E-Costos'!$G$30-'E-Costos'!$G$31-'E-Costos'!$G$33-'E-Costos'!$G$34)/'E-Costos'!F122)*('E-InvAT'!G11-'E-InvAT'!G16)*InfoInicial!$B$3</f>
        <v>3183.0698205116173</v>
      </c>
      <c r="H31" s="556"/>
      <c r="I31" s="556"/>
      <c r="J31" s="556"/>
      <c r="K31" s="556"/>
      <c r="L31" s="556"/>
    </row>
    <row r="32" spans="1:12" x14ac:dyDescent="0.2">
      <c r="A32" s="297" t="s">
        <v>175</v>
      </c>
      <c r="B32" s="103">
        <f>+SUM(B28:B31)</f>
        <v>12912.27791304349</v>
      </c>
      <c r="C32" s="103">
        <f t="shared" ref="C32:G32" si="4">+SUM(C28:C31)</f>
        <v>65076.249852633387</v>
      </c>
      <c r="D32" s="103">
        <f t="shared" si="4"/>
        <v>579.00627622433558</v>
      </c>
      <c r="E32" s="103">
        <f t="shared" si="4"/>
        <v>3160.4808580106396</v>
      </c>
      <c r="F32" s="103">
        <f t="shared" si="4"/>
        <v>3162.5054171857805</v>
      </c>
      <c r="G32" s="104">
        <f t="shared" si="4"/>
        <v>3183.0698205116173</v>
      </c>
      <c r="H32" s="559"/>
      <c r="I32" s="559"/>
      <c r="J32" s="559"/>
      <c r="K32" s="559"/>
      <c r="L32" s="559"/>
    </row>
    <row r="33" spans="1:12" x14ac:dyDescent="0.2">
      <c r="A33" s="298"/>
      <c r="B33" s="17"/>
      <c r="C33" s="17"/>
      <c r="D33" s="17"/>
      <c r="E33" s="17"/>
      <c r="F33" s="17"/>
      <c r="G33" s="563"/>
      <c r="H33" s="560"/>
      <c r="I33" s="560"/>
      <c r="J33" s="560"/>
      <c r="K33" s="560"/>
      <c r="L33" s="560"/>
    </row>
    <row r="34" spans="1:12" ht="13.5" thickBot="1" x14ac:dyDescent="0.25">
      <c r="A34" s="299" t="s">
        <v>176</v>
      </c>
      <c r="B34" s="150">
        <f>+B23+B32</f>
        <v>253599.31559420296</v>
      </c>
      <c r="C34" s="150">
        <f t="shared" ref="C34:G34" si="5">+C23+C32</f>
        <v>1059391.2435372695</v>
      </c>
      <c r="D34" s="150">
        <f t="shared" si="5"/>
        <v>371656.32161963062</v>
      </c>
      <c r="E34" s="150">
        <f t="shared" si="5"/>
        <v>3935.2957028289597</v>
      </c>
      <c r="F34" s="150">
        <f t="shared" si="5"/>
        <v>4508.5819652983373</v>
      </c>
      <c r="G34" s="171">
        <f t="shared" si="5"/>
        <v>3197.7605880883025</v>
      </c>
      <c r="H34" s="559"/>
      <c r="I34" s="559"/>
      <c r="J34" s="559"/>
      <c r="K34" s="559"/>
      <c r="L34" s="559"/>
    </row>
    <row r="35" spans="1:12" ht="13.5" thickTop="1" x14ac:dyDescent="0.2"/>
  </sheetData>
  <pageMargins left="0.26" right="0.46" top="0.6" bottom="1" header="0" footer="0"/>
  <pageSetup paperSize="9" scale="68" fitToHeight="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24"/>
  <sheetViews>
    <sheetView zoomScale="90" zoomScaleNormal="90" workbookViewId="0">
      <selection activeCell="B6" sqref="B6:C6"/>
    </sheetView>
  </sheetViews>
  <sheetFormatPr baseColWidth="10" defaultRowHeight="12.75" x14ac:dyDescent="0.2"/>
  <cols>
    <col min="1" max="1" width="28.140625" style="38" customWidth="1"/>
    <col min="2" max="2" width="12.5703125" style="38" bestFit="1" customWidth="1"/>
    <col min="3" max="3" width="17" style="38" bestFit="1" customWidth="1"/>
    <col min="4" max="4" width="16" style="38" customWidth="1"/>
    <col min="5" max="8" width="14.85546875" style="38" bestFit="1" customWidth="1"/>
    <col min="9" max="9" width="16.7109375" style="38" bestFit="1" customWidth="1"/>
    <col min="10" max="10" width="17.42578125" style="38" bestFit="1" customWidth="1"/>
    <col min="11" max="16384" width="11.42578125" style="38"/>
  </cols>
  <sheetData>
    <row r="1" spans="1:9" ht="16.5" thickTop="1" x14ac:dyDescent="0.25">
      <c r="A1" s="625" t="s">
        <v>200</v>
      </c>
      <c r="B1" s="626"/>
      <c r="C1" s="626"/>
      <c r="D1" s="626"/>
      <c r="E1" s="626"/>
      <c r="F1" s="626"/>
      <c r="G1" s="626"/>
      <c r="H1" s="626"/>
      <c r="I1" s="627"/>
    </row>
    <row r="2" spans="1:9" ht="26.25" thickBot="1" x14ac:dyDescent="0.25">
      <c r="A2" s="118" t="s">
        <v>80</v>
      </c>
      <c r="B2" s="301" t="s">
        <v>191</v>
      </c>
      <c r="C2" s="301" t="s">
        <v>192</v>
      </c>
      <c r="D2" s="233" t="s">
        <v>24</v>
      </c>
      <c r="E2" s="233" t="s">
        <v>25</v>
      </c>
      <c r="F2" s="233" t="s">
        <v>26</v>
      </c>
      <c r="G2" s="233" t="s">
        <v>27</v>
      </c>
      <c r="H2" s="234" t="s">
        <v>28</v>
      </c>
      <c r="I2" s="596" t="s">
        <v>193</v>
      </c>
    </row>
    <row r="3" spans="1:9" ht="13.5" thickTop="1" x14ac:dyDescent="0.2">
      <c r="A3" s="302" t="s">
        <v>194</v>
      </c>
      <c r="B3" s="295"/>
      <c r="C3" s="295"/>
      <c r="D3" s="295"/>
      <c r="E3" s="295"/>
      <c r="F3" s="295"/>
      <c r="G3" s="295"/>
      <c r="H3" s="296"/>
      <c r="I3" s="597"/>
    </row>
    <row r="4" spans="1:9" x14ac:dyDescent="0.2">
      <c r="A4" s="115" t="s">
        <v>179</v>
      </c>
      <c r="B4" s="21">
        <v>0</v>
      </c>
      <c r="C4" s="21">
        <f>+'E-Inv AF y Am'!B19+'E-Inv AF y Am'!D19</f>
        <v>6444149.25</v>
      </c>
      <c r="D4" s="21">
        <f>+'E-Inv AF y Am'!C19+'E-Inv AF y Am'!E19</f>
        <v>0</v>
      </c>
      <c r="E4" s="21">
        <v>0</v>
      </c>
      <c r="F4" s="21">
        <v>0</v>
      </c>
      <c r="G4" s="21">
        <v>0</v>
      </c>
      <c r="H4" s="23">
        <v>0</v>
      </c>
      <c r="I4" s="598">
        <f>SUM(B4:H4)</f>
        <v>6444149.25</v>
      </c>
    </row>
    <row r="5" spans="1:9" x14ac:dyDescent="0.2">
      <c r="A5" s="115" t="s">
        <v>180</v>
      </c>
      <c r="B5" s="21">
        <f>+'E-Inv AF y Am'!B22+('E-Inv AF y Am'!D22*InfoInicial!$B$32)</f>
        <v>6228.25</v>
      </c>
      <c r="C5" s="21">
        <f>+('E-Inv AF y Am'!B23+'E-Inv AF y Am'!B25+'E-Inv AF y Am'!B26+'E-Inv AF y Am'!B27+'E-Inv AF y Am'!B28+'E-Inv AF y Am'!B29)+(('E-Inv AF y Am'!D23+'E-Inv AF y Am'!D25+'E-Inv AF y Am'!D26+'E-Inv AF y Am'!D27+'E-Inv AF y Am'!D28+'E-Inv AF y Am'!D29)*InfoInicial!$B$32)</f>
        <v>155793.64016841716</v>
      </c>
      <c r="D5" s="21">
        <f>+'E-Inv AF y Am'!C30+'E-Inv AF y Am'!E30</f>
        <v>163608.39246482577</v>
      </c>
      <c r="E5" s="21">
        <v>0</v>
      </c>
      <c r="F5" s="21">
        <v>0</v>
      </c>
      <c r="G5" s="21">
        <v>0</v>
      </c>
      <c r="H5" s="23">
        <v>0</v>
      </c>
      <c r="I5" s="598">
        <f t="shared" ref="I5:I6" si="0">SUM(B5:H5)</f>
        <v>325630.2826332429</v>
      </c>
    </row>
    <row r="6" spans="1:9" x14ac:dyDescent="0.2">
      <c r="A6" s="111" t="s">
        <v>181</v>
      </c>
      <c r="B6" s="103">
        <f>+SUM(B4:B5)</f>
        <v>6228.25</v>
      </c>
      <c r="C6" s="103">
        <f t="shared" ref="C6:H6" si="1">+SUM(C4:C5)</f>
        <v>6599942.8901684172</v>
      </c>
      <c r="D6" s="103">
        <f t="shared" si="1"/>
        <v>163608.39246482577</v>
      </c>
      <c r="E6" s="103">
        <f t="shared" si="1"/>
        <v>0</v>
      </c>
      <c r="F6" s="103">
        <f t="shared" si="1"/>
        <v>0</v>
      </c>
      <c r="G6" s="103">
        <f t="shared" si="1"/>
        <v>0</v>
      </c>
      <c r="H6" s="104">
        <f t="shared" si="1"/>
        <v>0</v>
      </c>
      <c r="I6" s="307">
        <f t="shared" si="0"/>
        <v>6769779.5326332431</v>
      </c>
    </row>
    <row r="7" spans="1:9" x14ac:dyDescent="0.2">
      <c r="A7" s="115"/>
      <c r="B7" s="14"/>
      <c r="C7" s="14"/>
      <c r="D7" s="14"/>
      <c r="E7" s="14"/>
      <c r="F7" s="14"/>
      <c r="G7" s="14"/>
      <c r="H7" s="15"/>
      <c r="I7" s="599"/>
    </row>
    <row r="8" spans="1:9" x14ac:dyDescent="0.2">
      <c r="A8" s="111" t="s">
        <v>195</v>
      </c>
      <c r="B8" s="21"/>
      <c r="C8" s="21"/>
      <c r="D8" s="21"/>
      <c r="E8" s="21"/>
      <c r="F8" s="21"/>
      <c r="G8" s="21"/>
      <c r="H8" s="23"/>
      <c r="I8" s="598"/>
    </row>
    <row r="9" spans="1:9" x14ac:dyDescent="0.2">
      <c r="A9" s="115" t="s">
        <v>182</v>
      </c>
      <c r="B9" s="21">
        <v>0</v>
      </c>
      <c r="C9" s="21">
        <f>+'E-InvAT'!B4</f>
        <v>179200</v>
      </c>
      <c r="D9" s="21">
        <f>+'E-InvAT'!C4-'E-InvAT'!B4</f>
        <v>44800</v>
      </c>
      <c r="E9" s="21">
        <f>+'E-InvAT'!D4-'E-InvAT'!C4</f>
        <v>112000</v>
      </c>
      <c r="F9" s="21">
        <f>+'E-InvAT'!E4-'E-InvAT'!D4</f>
        <v>0</v>
      </c>
      <c r="G9" s="21">
        <f>+'E-InvAT'!F4-'E-InvAT'!E4</f>
        <v>0</v>
      </c>
      <c r="H9" s="23">
        <f>+'E-InvAT'!G4-'E-InvAT'!F4</f>
        <v>0</v>
      </c>
      <c r="I9" s="598">
        <f t="shared" ref="I9:I10" si="2">SUM(B9:H9)</f>
        <v>336000</v>
      </c>
    </row>
    <row r="10" spans="1:9" x14ac:dyDescent="0.2">
      <c r="A10" s="115" t="s">
        <v>183</v>
      </c>
      <c r="B10" s="21">
        <v>0</v>
      </c>
      <c r="C10" s="21">
        <v>0</v>
      </c>
      <c r="D10" s="21">
        <f>+'E-InvAT'!C5-'E-InvAT'!C17-'E-InvAT'!C18</f>
        <v>673503.95139553724</v>
      </c>
      <c r="E10" s="21">
        <f>+'E-InvAT'!D5-'E-InvAT'!D17-'E-InvAT'!D18-D10</f>
        <v>250727.93175308977</v>
      </c>
      <c r="F10" s="21">
        <f>+'E-InvAT'!E5-'E-InvAT'!E17-'E-InvAT'!E18-E10-D10</f>
        <v>776.13148525892757</v>
      </c>
      <c r="G10" s="21">
        <f>+'E-InvAT'!F5-'E-InvAT'!F17-'E-InvAT'!F18-F10-E10-D10</f>
        <v>1207.8512460858328</v>
      </c>
      <c r="H10" s="23">
        <f>+'E-InvAT'!G5-'E-InvAT'!G17-'E-InvAT'!G18-G10-F10-E10-D10</f>
        <v>14.739618799532764</v>
      </c>
      <c r="I10" s="598">
        <f t="shared" si="2"/>
        <v>926230.6054987713</v>
      </c>
    </row>
    <row r="11" spans="1:9" x14ac:dyDescent="0.2">
      <c r="A11" s="115" t="s">
        <v>184</v>
      </c>
      <c r="B11" s="21">
        <v>0</v>
      </c>
      <c r="C11" s="21"/>
      <c r="D11" s="21"/>
      <c r="E11" s="21"/>
      <c r="F11" s="21"/>
      <c r="G11" s="21"/>
      <c r="H11" s="23"/>
      <c r="I11" s="598"/>
    </row>
    <row r="12" spans="1:9" x14ac:dyDescent="0.2">
      <c r="A12" s="115" t="s">
        <v>185</v>
      </c>
      <c r="B12" s="21">
        <v>0</v>
      </c>
      <c r="C12" s="21">
        <f>+'E-InvAT'!B8</f>
        <v>45487.037681159476</v>
      </c>
      <c r="D12" s="21">
        <f>+'E-InvAT'!C8-'E-InvAT'!B8</f>
        <v>181948.15072463788</v>
      </c>
      <c r="E12" s="21">
        <f>+'E-InvAT'!D8-'E-InvAT'!C8</f>
        <v>0</v>
      </c>
      <c r="F12" s="21">
        <f>+'E-InvAT'!E8-'E-InvAT'!D8</f>
        <v>0</v>
      </c>
      <c r="G12" s="21">
        <f>+'E-InvAT'!F8-'E-InvAT'!E8</f>
        <v>0</v>
      </c>
      <c r="H12" s="23">
        <f>+'E-InvAT'!G8-'E-InvAT'!F8</f>
        <v>0</v>
      </c>
      <c r="I12" s="598">
        <f t="shared" ref="I12:I13" si="3">SUM(B12:H12)</f>
        <v>227435.18840579735</v>
      </c>
    </row>
    <row r="13" spans="1:9" x14ac:dyDescent="0.2">
      <c r="A13" s="115" t="s">
        <v>186</v>
      </c>
      <c r="B13" s="21">
        <v>0</v>
      </c>
      <c r="C13" s="21">
        <f>+'E-InvAT'!B9</f>
        <v>16000</v>
      </c>
      <c r="D13" s="21">
        <f>+'E-InvAT'!C9-'E-InvAT'!B9</f>
        <v>16000</v>
      </c>
      <c r="E13" s="21">
        <f>+'E-InvAT'!D9-'E-InvAT'!C9</f>
        <v>0</v>
      </c>
      <c r="F13" s="21">
        <f>+'E-InvAT'!E9-'E-InvAT'!D9</f>
        <v>0</v>
      </c>
      <c r="G13" s="21">
        <f>+'E-InvAT'!F9-'E-InvAT'!E9</f>
        <v>0</v>
      </c>
      <c r="H13" s="23">
        <f>+'E-InvAT'!G9-'E-InvAT'!F9</f>
        <v>0</v>
      </c>
      <c r="I13" s="598">
        <f t="shared" si="3"/>
        <v>32000</v>
      </c>
    </row>
    <row r="14" spans="1:9" x14ac:dyDescent="0.2">
      <c r="A14" s="115" t="s">
        <v>187</v>
      </c>
      <c r="B14" s="21">
        <v>0</v>
      </c>
      <c r="C14" s="21">
        <f>+'E-InvAT'!B10</f>
        <v>0</v>
      </c>
      <c r="D14" s="21"/>
      <c r="E14" s="21"/>
      <c r="F14" s="21"/>
      <c r="G14" s="21"/>
      <c r="H14" s="23"/>
      <c r="I14" s="598"/>
    </row>
    <row r="15" spans="1:9" x14ac:dyDescent="0.2">
      <c r="A15" s="115" t="s">
        <v>188</v>
      </c>
      <c r="B15" s="21">
        <v>0</v>
      </c>
      <c r="C15" s="21">
        <f>+'E-InvAT'!B11</f>
        <v>0</v>
      </c>
      <c r="D15" s="21"/>
      <c r="E15" s="21"/>
      <c r="F15" s="21"/>
      <c r="G15" s="21"/>
      <c r="H15" s="23"/>
      <c r="I15" s="598"/>
    </row>
    <row r="16" spans="1:9" x14ac:dyDescent="0.2">
      <c r="A16" s="111" t="s">
        <v>196</v>
      </c>
      <c r="B16" s="103">
        <f>SUM(B9:B15)</f>
        <v>0</v>
      </c>
      <c r="C16" s="103">
        <f t="shared" ref="C16:H16" si="4">SUM(C9:C15)</f>
        <v>240687.03768115948</v>
      </c>
      <c r="D16" s="103">
        <f t="shared" si="4"/>
        <v>916252.10212017514</v>
      </c>
      <c r="E16" s="103">
        <f t="shared" si="4"/>
        <v>362727.93175308977</v>
      </c>
      <c r="F16" s="103">
        <f t="shared" si="4"/>
        <v>776.13148525892757</v>
      </c>
      <c r="G16" s="103">
        <f t="shared" si="4"/>
        <v>1207.8512460858328</v>
      </c>
      <c r="H16" s="104">
        <f t="shared" si="4"/>
        <v>14.739618799532764</v>
      </c>
      <c r="I16" s="307">
        <f>SUM(B16:H16)</f>
        <v>1521665.7939045685</v>
      </c>
    </row>
    <row r="17" spans="1:9" x14ac:dyDescent="0.2">
      <c r="A17" s="115"/>
      <c r="B17" s="14"/>
      <c r="C17" s="14"/>
      <c r="D17" s="14"/>
      <c r="E17" s="14"/>
      <c r="F17" s="14"/>
      <c r="G17" s="14"/>
      <c r="H17" s="15"/>
      <c r="I17" s="599"/>
    </row>
    <row r="18" spans="1:9" x14ac:dyDescent="0.2">
      <c r="A18" s="111" t="s">
        <v>189</v>
      </c>
      <c r="B18" s="14"/>
      <c r="C18" s="14"/>
      <c r="D18" s="14"/>
      <c r="E18" s="14"/>
      <c r="F18" s="14"/>
      <c r="G18" s="14"/>
      <c r="H18" s="15"/>
      <c r="I18" s="599"/>
    </row>
    <row r="19" spans="1:9" x14ac:dyDescent="0.2">
      <c r="A19" s="115" t="s">
        <v>197</v>
      </c>
      <c r="B19" s="21">
        <f>+SUM('E-Inv AF y Am'!B22:B23)*InfoInicial!B3</f>
        <v>28373.359349999995</v>
      </c>
      <c r="C19" s="21">
        <f>+'E-Inv AF y Am'!B34+'E-Inv AF y Am'!D34</f>
        <v>1387295.9394353675</v>
      </c>
      <c r="D19" s="21">
        <f>+'E-Inv AF y Am'!C34+'E-Inv AF y Am'!E34</f>
        <v>34357.762417613412</v>
      </c>
      <c r="E19" s="21">
        <f>+E6*InfoInicial!$B$3</f>
        <v>0</v>
      </c>
      <c r="F19" s="21">
        <f>+F6*InfoInicial!$B$3</f>
        <v>0</v>
      </c>
      <c r="G19" s="21">
        <f>+G6*InfoInicial!$B$3</f>
        <v>0</v>
      </c>
      <c r="H19" s="23">
        <f>+H6*InfoInicial!$B$3</f>
        <v>0</v>
      </c>
      <c r="I19" s="598">
        <f>SUM(B19:H19)</f>
        <v>1450027.061202981</v>
      </c>
    </row>
    <row r="20" spans="1:9" x14ac:dyDescent="0.2">
      <c r="A20" s="115" t="s">
        <v>198</v>
      </c>
      <c r="B20" s="21">
        <v>0</v>
      </c>
      <c r="C20" s="21">
        <f>+'E-InvAT'!B32</f>
        <v>12912.27791304349</v>
      </c>
      <c r="D20" s="21">
        <f>+'E-InvAT'!C32</f>
        <v>65076.249852633387</v>
      </c>
      <c r="E20" s="21">
        <f>+'E-InvAT'!D32</f>
        <v>579.00627622433558</v>
      </c>
      <c r="F20" s="21">
        <f>+'E-InvAT'!E32</f>
        <v>3160.4808580106396</v>
      </c>
      <c r="G20" s="21">
        <f>+'E-InvAT'!F32</f>
        <v>3162.5054171857805</v>
      </c>
      <c r="H20" s="23">
        <f>+'E-InvAT'!G32</f>
        <v>3183.0698205116173</v>
      </c>
      <c r="I20" s="598">
        <f>SUM(B20:H20)</f>
        <v>88073.590137609237</v>
      </c>
    </row>
    <row r="21" spans="1:9" x14ac:dyDescent="0.2">
      <c r="A21" s="111" t="s">
        <v>190</v>
      </c>
      <c r="B21" s="103">
        <f>SUM(B19:B20)</f>
        <v>28373.359349999995</v>
      </c>
      <c r="C21" s="103">
        <f>+SUM(C19:C20)</f>
        <v>1400208.217348411</v>
      </c>
      <c r="D21" s="103">
        <f t="shared" ref="D21:H21" si="5">+SUM(D19:D20)</f>
        <v>99434.012270246807</v>
      </c>
      <c r="E21" s="103">
        <f t="shared" si="5"/>
        <v>579.00627622433558</v>
      </c>
      <c r="F21" s="103">
        <f t="shared" si="5"/>
        <v>3160.4808580106396</v>
      </c>
      <c r="G21" s="103">
        <f t="shared" si="5"/>
        <v>3162.5054171857805</v>
      </c>
      <c r="H21" s="104">
        <f t="shared" si="5"/>
        <v>3183.0698205116173</v>
      </c>
      <c r="I21" s="307">
        <f>SUM(B21:H21)</f>
        <v>1538100.6513405903</v>
      </c>
    </row>
    <row r="22" spans="1:9" x14ac:dyDescent="0.2">
      <c r="A22" s="111"/>
      <c r="B22" s="14"/>
      <c r="C22" s="14"/>
      <c r="D22" s="14"/>
      <c r="E22" s="14"/>
      <c r="F22" s="14"/>
      <c r="G22" s="14"/>
      <c r="H22" s="15"/>
      <c r="I22" s="599">
        <f>SUM(B22:H22)</f>
        <v>0</v>
      </c>
    </row>
    <row r="23" spans="1:9" ht="13.5" thickBot="1" x14ac:dyDescent="0.25">
      <c r="A23" s="112" t="s">
        <v>199</v>
      </c>
      <c r="B23" s="300">
        <f>+B21+B16+B6</f>
        <v>34601.609349999999</v>
      </c>
      <c r="C23" s="300">
        <f t="shared" ref="C23:H23" si="6">+C21+C16+C6</f>
        <v>8240838.1451979876</v>
      </c>
      <c r="D23" s="300">
        <f t="shared" si="6"/>
        <v>1179294.5068552475</v>
      </c>
      <c r="E23" s="300">
        <f t="shared" si="6"/>
        <v>363306.9380293141</v>
      </c>
      <c r="F23" s="300">
        <f t="shared" si="6"/>
        <v>3936.6123432695672</v>
      </c>
      <c r="G23" s="300">
        <f t="shared" si="6"/>
        <v>4370.3566632716138</v>
      </c>
      <c r="H23" s="448">
        <f t="shared" si="6"/>
        <v>3197.8094393111501</v>
      </c>
      <c r="I23" s="571">
        <f>SUM(B23:H23)</f>
        <v>9829545.9778784011</v>
      </c>
    </row>
    <row r="24" spans="1:9" ht="13.5" thickTop="1" x14ac:dyDescent="0.2"/>
  </sheetData>
  <mergeCells count="1">
    <mergeCell ref="A1:I1"/>
  </mergeCells>
  <pageMargins left="0.26" right="0.46" top="1.27" bottom="1" header="0" footer="0"/>
  <pageSetup paperSize="9" scale="67" fitToHeight="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57"/>
  <sheetViews>
    <sheetView topLeftCell="A68" zoomScale="90" zoomScaleNormal="90" workbookViewId="0">
      <selection activeCell="C92" sqref="C92"/>
    </sheetView>
  </sheetViews>
  <sheetFormatPr baseColWidth="10" defaultRowHeight="12.75" x14ac:dyDescent="0.2"/>
  <cols>
    <col min="1" max="1" width="31.85546875" style="38" customWidth="1"/>
    <col min="2" max="2" width="14.85546875" style="38" bestFit="1" customWidth="1"/>
    <col min="3" max="12" width="15.5703125" style="38" bestFit="1" customWidth="1"/>
    <col min="13" max="13" width="17.42578125" style="38" bestFit="1" customWidth="1"/>
    <col min="14" max="16384" width="11.42578125" style="38"/>
  </cols>
  <sheetData>
    <row r="1" spans="1:12" ht="16.5" thickTop="1" x14ac:dyDescent="0.25">
      <c r="A1" s="625" t="s">
        <v>201</v>
      </c>
      <c r="B1" s="626"/>
      <c r="C1" s="626"/>
      <c r="D1" s="626"/>
      <c r="E1" s="626"/>
      <c r="F1" s="626"/>
      <c r="G1" s="627"/>
      <c r="H1" s="593"/>
      <c r="I1" s="593"/>
      <c r="J1" s="593"/>
      <c r="K1" s="593"/>
      <c r="L1" s="593"/>
    </row>
    <row r="2" spans="1:12" ht="15.75" x14ac:dyDescent="0.25">
      <c r="A2" s="645" t="s">
        <v>215</v>
      </c>
      <c r="B2" s="646"/>
      <c r="C2" s="646"/>
      <c r="D2" s="646"/>
      <c r="E2" s="646"/>
      <c r="F2" s="646"/>
      <c r="G2" s="647"/>
      <c r="H2" s="553"/>
      <c r="I2" s="553"/>
      <c r="J2" s="553"/>
      <c r="K2" s="553"/>
      <c r="L2" s="553"/>
    </row>
    <row r="3" spans="1:12" ht="13.5" thickBot="1" x14ac:dyDescent="0.25">
      <c r="A3" s="118" t="s">
        <v>80</v>
      </c>
      <c r="B3" s="114" t="s">
        <v>23</v>
      </c>
      <c r="C3" s="42" t="s">
        <v>24</v>
      </c>
      <c r="D3" s="42" t="s">
        <v>25</v>
      </c>
      <c r="E3" s="42" t="s">
        <v>26</v>
      </c>
      <c r="F3" s="42" t="s">
        <v>27</v>
      </c>
      <c r="G3" s="43" t="s">
        <v>28</v>
      </c>
      <c r="H3" s="555"/>
      <c r="I3" s="555"/>
      <c r="J3" s="555"/>
      <c r="K3" s="555"/>
      <c r="L3" s="555"/>
    </row>
    <row r="4" spans="1:12" ht="13.5" thickTop="1" x14ac:dyDescent="0.2">
      <c r="A4" s="119" t="s">
        <v>202</v>
      </c>
      <c r="B4" s="304"/>
      <c r="C4" s="295"/>
      <c r="D4" s="295"/>
      <c r="E4" s="295"/>
      <c r="F4" s="295"/>
      <c r="G4" s="296"/>
      <c r="H4" s="594"/>
      <c r="I4" s="594"/>
      <c r="J4" s="594"/>
      <c r="K4" s="594"/>
      <c r="L4" s="594"/>
    </row>
    <row r="5" spans="1:12" x14ac:dyDescent="0.2">
      <c r="A5" s="120" t="s">
        <v>203</v>
      </c>
      <c r="B5" s="305">
        <v>0</v>
      </c>
      <c r="C5" s="21">
        <f>+'E-Costos'!B4*InfoInicial!$B$3</f>
        <v>346458.12961008115</v>
      </c>
      <c r="D5" s="21">
        <f>+'E-Costos'!C4*InfoInicial!$B$3</f>
        <v>466401.9729600001</v>
      </c>
      <c r="E5" s="21">
        <f>+'E-Costos'!D4*InfoInicial!$B$3</f>
        <v>466401.9729600001</v>
      </c>
      <c r="F5" s="21">
        <f>+'E-Costos'!E4*InfoInicial!$B$3</f>
        <v>466401.9729600001</v>
      </c>
      <c r="G5" s="23">
        <f>+'E-Costos'!F4*InfoInicial!$B$3</f>
        <v>466401.9729600001</v>
      </c>
      <c r="H5" s="595"/>
      <c r="I5" s="595"/>
      <c r="J5" s="595"/>
      <c r="K5" s="595"/>
      <c r="L5" s="595"/>
    </row>
    <row r="6" spans="1:12" x14ac:dyDescent="0.2">
      <c r="A6" s="120" t="s">
        <v>105</v>
      </c>
      <c r="B6" s="305">
        <v>0</v>
      </c>
      <c r="C6" s="21">
        <f>+('E-Costos'!B9+'E-Costos'!B56+'E-Costos'!B76)*InfoInicial!$B$3</f>
        <v>40942.507560570004</v>
      </c>
      <c r="D6" s="21">
        <f>+('E-Costos'!C9+'E-Costos'!C56+'E-Costos'!C76)*InfoInicial!$B$3</f>
        <v>45491.675067299999</v>
      </c>
      <c r="E6" s="21">
        <f>+('E-Costos'!D9+'E-Costos'!D56+'E-Costos'!D76)*InfoInicial!$B$3</f>
        <v>45491.675067299999</v>
      </c>
      <c r="F6" s="21">
        <f>+('E-Costos'!E9+'E-Costos'!E56+'E-Costos'!E76)*InfoInicial!$B$3</f>
        <v>50943.947639550002</v>
      </c>
      <c r="G6" s="23">
        <f>+('E-Costos'!F9+'E-Costos'!F56+'E-Costos'!F76)*InfoInicial!$B$3</f>
        <v>50943.947639550002</v>
      </c>
      <c r="H6" s="595"/>
      <c r="I6" s="595"/>
      <c r="J6" s="595"/>
      <c r="K6" s="595"/>
      <c r="L6" s="595"/>
    </row>
    <row r="7" spans="1:12" x14ac:dyDescent="0.2">
      <c r="A7" s="120" t="s">
        <v>204</v>
      </c>
      <c r="B7" s="305">
        <v>0</v>
      </c>
      <c r="C7" s="21">
        <f>+('E-Costos'!B10+'E-Costos'!B57+'E-Costos'!B77)*InfoInicial!$B$3</f>
        <v>22982.399999999998</v>
      </c>
      <c r="D7" s="21">
        <f>+('E-Costos'!C10+'E-Costos'!C57+'E-Costos'!C77)*InfoInicial!$B$3</f>
        <v>24192</v>
      </c>
      <c r="E7" s="21">
        <f>+('E-Costos'!D10+'E-Costos'!D57+'E-Costos'!D77)*InfoInicial!$B$3</f>
        <v>24192</v>
      </c>
      <c r="F7" s="21">
        <f>+('E-Costos'!E10+'E-Costos'!E57+'E-Costos'!E77)*InfoInicial!$B$3</f>
        <v>24192</v>
      </c>
      <c r="G7" s="23">
        <f>+('E-Costos'!F10+'E-Costos'!F57+'E-Costos'!F77)*InfoInicial!$B$3</f>
        <v>24192</v>
      </c>
      <c r="H7" s="595"/>
      <c r="I7" s="595"/>
      <c r="J7" s="595"/>
      <c r="K7" s="595"/>
      <c r="L7" s="595"/>
    </row>
    <row r="8" spans="1:12" x14ac:dyDescent="0.2">
      <c r="A8" s="120" t="s">
        <v>205</v>
      </c>
      <c r="B8" s="305">
        <v>0</v>
      </c>
      <c r="C8" s="21">
        <f>+('E-Costos'!B11+'E-Costos'!B58+'E-Costos'!B78)*InfoInicial!$B$3</f>
        <v>34264.125</v>
      </c>
      <c r="D8" s="21">
        <f>+('E-Costos'!C11+'E-Costos'!C58+'E-Costos'!C78)*InfoInicial!$B$3</f>
        <v>36067.5</v>
      </c>
      <c r="E8" s="21">
        <f>+('E-Costos'!D11+'E-Costos'!D58+'E-Costos'!D78)*InfoInicial!$B$3</f>
        <v>36067.5</v>
      </c>
      <c r="F8" s="21">
        <f>+('E-Costos'!E11+'E-Costos'!E58+'E-Costos'!E78)*InfoInicial!$B$3</f>
        <v>36067.5</v>
      </c>
      <c r="G8" s="23">
        <f>+('E-Costos'!F11+'E-Costos'!F58+'E-Costos'!F78)*InfoInicial!$B$3</f>
        <v>36067.5</v>
      </c>
      <c r="H8" s="595"/>
      <c r="I8" s="595"/>
      <c r="J8" s="595"/>
      <c r="K8" s="595"/>
      <c r="L8" s="595"/>
    </row>
    <row r="9" spans="1:12" x14ac:dyDescent="0.2">
      <c r="A9" s="120" t="s">
        <v>110</v>
      </c>
      <c r="B9" s="305">
        <v>0</v>
      </c>
      <c r="C9" s="21">
        <f>+('E-Costos'!B13+'E-Costos'!B62+'E-Costos'!B82)*InfoInicial!$B$3</f>
        <v>57367.318645547704</v>
      </c>
      <c r="D9" s="21">
        <f>+('E-Costos'!C13+'E-Costos'!C62+'E-Costos'!C82)*InfoInicial!$B$3</f>
        <v>60059.174949813612</v>
      </c>
      <c r="E9" s="21">
        <f>+('E-Costos'!D13+'E-Costos'!D62+'E-Costos'!D82)*InfoInicial!$B$3</f>
        <v>60059.174949813612</v>
      </c>
      <c r="F9" s="21">
        <f>+('E-Costos'!E13+'E-Costos'!E62+'E-Costos'!E82)*InfoInicial!$B$3</f>
        <v>60119.404079457061</v>
      </c>
      <c r="G9" s="23">
        <f>+('E-Costos'!F13+'E-Costos'!F62+'E-Costos'!F82)*InfoInicial!$B$3</f>
        <v>60119.404079457061</v>
      </c>
      <c r="H9" s="595"/>
      <c r="I9" s="595"/>
      <c r="J9" s="595"/>
      <c r="K9" s="595"/>
      <c r="L9" s="595"/>
    </row>
    <row r="10" spans="1:12" x14ac:dyDescent="0.2">
      <c r="A10" s="124" t="s">
        <v>381</v>
      </c>
      <c r="B10" s="305">
        <v>0</v>
      </c>
      <c r="C10" s="21">
        <f>+('E-Costos'!B14+'E-Costos'!B59+'E-Costos'!B79)*InfoInicial!$B$3</f>
        <v>0</v>
      </c>
      <c r="D10" s="21">
        <f>+('E-Costos'!C14+'E-Costos'!C59+'E-Costos'!C79)*InfoInicial!$B$3</f>
        <v>0</v>
      </c>
      <c r="E10" s="21">
        <f>+('E-Costos'!D14+'E-Costos'!D59+'E-Costos'!D79)*InfoInicial!$B$3</f>
        <v>0</v>
      </c>
      <c r="F10" s="21">
        <f>+('E-Costos'!E14+'E-Costos'!E59+'E-Costos'!E79)*InfoInicial!$B$3</f>
        <v>0</v>
      </c>
      <c r="G10" s="23">
        <f>+('E-Costos'!F14+'E-Costos'!F59+'E-Costos'!F79)*InfoInicial!$B$3</f>
        <v>0</v>
      </c>
      <c r="H10" s="595"/>
      <c r="I10" s="595"/>
      <c r="J10" s="595"/>
      <c r="K10" s="595"/>
      <c r="L10" s="595"/>
    </row>
    <row r="11" spans="1:12" x14ac:dyDescent="0.2">
      <c r="A11" s="122" t="s">
        <v>60</v>
      </c>
      <c r="B11" s="306">
        <f>SUM(B5:B10)</f>
        <v>0</v>
      </c>
      <c r="C11" s="303">
        <f t="shared" ref="C11:G11" si="0">SUM(C5:C10)</f>
        <v>502014.48081619892</v>
      </c>
      <c r="D11" s="303">
        <f t="shared" si="0"/>
        <v>632212.32297711377</v>
      </c>
      <c r="E11" s="303">
        <f t="shared" si="0"/>
        <v>632212.32297711377</v>
      </c>
      <c r="F11" s="303">
        <f t="shared" si="0"/>
        <v>637724.82467900717</v>
      </c>
      <c r="G11" s="307">
        <f t="shared" si="0"/>
        <v>637724.82467900717</v>
      </c>
      <c r="H11" s="559"/>
      <c r="I11" s="559"/>
      <c r="J11" s="559"/>
      <c r="K11" s="559"/>
      <c r="L11" s="559"/>
    </row>
    <row r="12" spans="1:12" x14ac:dyDescent="0.2">
      <c r="A12" s="120" t="s">
        <v>216</v>
      </c>
      <c r="B12" s="305"/>
      <c r="C12" s="21"/>
      <c r="D12" s="21"/>
      <c r="E12" s="21"/>
      <c r="F12" s="21"/>
      <c r="G12" s="23"/>
      <c r="H12" s="595"/>
      <c r="I12" s="595"/>
      <c r="J12" s="595"/>
      <c r="K12" s="595"/>
      <c r="L12" s="595"/>
    </row>
    <row r="13" spans="1:12" x14ac:dyDescent="0.2">
      <c r="A13" s="120" t="s">
        <v>206</v>
      </c>
      <c r="B13" s="308">
        <v>0</v>
      </c>
      <c r="C13" s="14">
        <f>+('E-Costos'!G36-'E-Costos'!G25-'E-Costos'!G28)*InfoInicial!$B$3</f>
        <v>16900.43696801793</v>
      </c>
      <c r="D13" s="14">
        <v>0</v>
      </c>
      <c r="E13" s="14">
        <v>0</v>
      </c>
      <c r="F13" s="14">
        <v>0</v>
      </c>
      <c r="G13" s="15">
        <v>0</v>
      </c>
      <c r="H13" s="594"/>
      <c r="I13" s="594"/>
      <c r="J13" s="594"/>
      <c r="K13" s="594"/>
      <c r="L13" s="594"/>
    </row>
    <row r="14" spans="1:12" x14ac:dyDescent="0.2">
      <c r="A14" s="120" t="s">
        <v>217</v>
      </c>
      <c r="B14" s="305">
        <v>0</v>
      </c>
      <c r="C14" s="21">
        <f>+'E-InvAT'!C30</f>
        <v>21203.800385763639</v>
      </c>
      <c r="D14" s="21">
        <f>+'E-InvAT'!D30</f>
        <v>-2580.5360485748784</v>
      </c>
      <c r="E14" s="21">
        <f>+'E-InvAT'!E30</f>
        <v>0</v>
      </c>
      <c r="F14" s="21">
        <f>+'E-InvAT'!F30</f>
        <v>-20.528937738522217</v>
      </c>
      <c r="G14" s="23">
        <f>+'E-InvAT'!G30</f>
        <v>0</v>
      </c>
      <c r="H14" s="595"/>
      <c r="I14" s="595"/>
      <c r="J14" s="595"/>
      <c r="K14" s="595"/>
      <c r="L14" s="595"/>
    </row>
    <row r="15" spans="1:12" x14ac:dyDescent="0.2">
      <c r="A15" s="123" t="s">
        <v>218</v>
      </c>
      <c r="B15" s="305">
        <v>0</v>
      </c>
      <c r="C15" s="21">
        <f>+'E-InvAT'!C31</f>
        <v>2303.3378146957934</v>
      </c>
      <c r="D15" s="21">
        <f>+'E-InvAT'!D31</f>
        <v>3159.5423247992139</v>
      </c>
      <c r="E15" s="21">
        <f>+'E-InvAT'!E31</f>
        <v>3160.4808580106396</v>
      </c>
      <c r="F15" s="21">
        <f>+'E-InvAT'!F31</f>
        <v>3183.0343549243025</v>
      </c>
      <c r="G15" s="23">
        <f>+'E-InvAT'!G31</f>
        <v>3183.0698205116173</v>
      </c>
      <c r="H15" s="595"/>
      <c r="I15" s="595"/>
      <c r="J15" s="595"/>
      <c r="K15" s="595"/>
      <c r="L15" s="595"/>
    </row>
    <row r="16" spans="1:12" x14ac:dyDescent="0.2">
      <c r="A16" s="122" t="s">
        <v>207</v>
      </c>
      <c r="B16" s="305">
        <v>0</v>
      </c>
      <c r="C16" s="21">
        <f>+('E-Costos'!B4+'E-Costos'!B9+'E-Costos'!B10+'E-Costos'!B11+'E-Costos'!B13+'E-Costos'!B14)*InfoInicial!$B$3</f>
        <v>456057.06025751267</v>
      </c>
      <c r="D16" s="21">
        <f>+('E-Costos'!C4+'E-Costos'!C9+'E-Costos'!C10+'E-Costos'!C11+'E-Costos'!C13+'E-Costos'!C14)*InfoInicial!$B$3</f>
        <v>583527.62070894882</v>
      </c>
      <c r="E16" s="21">
        <f>+('E-Costos'!D4+'E-Costos'!D9+'E-Costos'!D10+'E-Costos'!D11+'E-Costos'!D13+'E-Costos'!D14)*InfoInicial!$B$3</f>
        <v>583527.62070894882</v>
      </c>
      <c r="F16" s="21">
        <f>+('E-Costos'!E4+'E-Costos'!E9+'E-Costos'!E10+'E-Costos'!E11+'E-Costos'!E13+'E-Costos'!E14)*InfoInicial!$B$3</f>
        <v>589034.64703542017</v>
      </c>
      <c r="G16" s="23">
        <f>+('E-Costos'!F4+'E-Costos'!F9+'E-Costos'!F10+'E-Costos'!F11+'E-Costos'!F13+'E-Costos'!F14)*InfoInicial!$B$3</f>
        <v>589034.64703542017</v>
      </c>
      <c r="H16" s="595"/>
      <c r="I16" s="595"/>
      <c r="J16" s="595"/>
      <c r="K16" s="595"/>
      <c r="L16" s="595"/>
    </row>
    <row r="17" spans="1:13" x14ac:dyDescent="0.2">
      <c r="A17" s="122" t="s">
        <v>208</v>
      </c>
      <c r="B17" s="305">
        <f>+B11</f>
        <v>0</v>
      </c>
      <c r="C17" s="21">
        <f>+('E-Costos'!B56+'E-Costos'!B57+'E-Costos'!B58+'E-Costos'!B62+'E-Costos'!B59)*InfoInicial!$B$3</f>
        <v>10902.266529343076</v>
      </c>
      <c r="D17" s="21">
        <f>+('E-Costos'!C56+'E-Costos'!C57+'E-Costos'!C58+'E-Costos'!C62+'E-Costos'!C59)*InfoInicial!$B$3</f>
        <v>11634.726134082437</v>
      </c>
      <c r="E17" s="21">
        <f>+('E-Costos'!D56+'E-Costos'!D57+'E-Costos'!D58+'E-Costos'!D62+'E-Costos'!D59)*InfoInicial!$B$3</f>
        <v>11634.726134082437</v>
      </c>
      <c r="F17" s="21">
        <f>+('E-Costos'!E56+'E-Costos'!E57+'E-Costos'!E58+'E-Costos'!E62+'E-Costos'!E59)*InfoInicial!$B$3</f>
        <v>11637.463821793503</v>
      </c>
      <c r="G17" s="23">
        <f>+('E-Costos'!F56+'E-Costos'!F57+'E-Costos'!F58+'E-Costos'!F62+'E-Costos'!F59)*InfoInicial!$B$3</f>
        <v>11637.463821793503</v>
      </c>
      <c r="H17" s="595"/>
      <c r="I17" s="595"/>
      <c r="J17" s="595"/>
      <c r="K17" s="595"/>
      <c r="L17" s="595"/>
    </row>
    <row r="18" spans="1:13" x14ac:dyDescent="0.2">
      <c r="A18" s="122" t="s">
        <v>209</v>
      </c>
      <c r="B18" s="305">
        <v>0</v>
      </c>
      <c r="C18" s="21">
        <f>+('E-Costos'!B76+'E-Costos'!B77+'E-Costos'!B78+'E-Costos'!B79+'E-Costos'!B82)*InfoInicial!$B$3</f>
        <v>35055.154029343073</v>
      </c>
      <c r="D18" s="21">
        <f>+('E-Costos'!C76+'E-Costos'!C77+'E-Costos'!C78+'E-Costos'!C79+'E-Costos'!C82)*InfoInicial!$B$3</f>
        <v>37049.976134082433</v>
      </c>
      <c r="E18" s="21">
        <f>+('E-Costos'!D76+'E-Costos'!D77+'E-Costos'!D78+'E-Costos'!D79+'E-Costos'!D82)*InfoInicial!$B$3</f>
        <v>37049.976134082433</v>
      </c>
      <c r="F18" s="21">
        <f>+('E-Costos'!E76+'E-Costos'!E77+'E-Costos'!E78+'E-Costos'!E79+'E-Costos'!E82)*InfoInicial!$B$3</f>
        <v>37052.713821793499</v>
      </c>
      <c r="G18" s="23">
        <f>+('E-Costos'!F76+'E-Costos'!F77+'E-Costos'!F78+'E-Costos'!F79+'E-Costos'!F82)*InfoInicial!$B$3</f>
        <v>37052.713821793499</v>
      </c>
      <c r="H18" s="595"/>
      <c r="I18" s="595"/>
      <c r="J18" s="595"/>
      <c r="K18" s="595"/>
      <c r="L18" s="595"/>
    </row>
    <row r="19" spans="1:13" x14ac:dyDescent="0.2">
      <c r="A19" s="122" t="s">
        <v>404</v>
      </c>
      <c r="B19" s="306">
        <f>+SUM(B16:B18)</f>
        <v>0</v>
      </c>
      <c r="C19" s="303">
        <f>+C11-C13-C14-C15</f>
        <v>461606.90564772155</v>
      </c>
      <c r="D19" s="303">
        <f t="shared" ref="D19:G19" si="1">+D11-D13-D14-D15</f>
        <v>631633.31670088938</v>
      </c>
      <c r="E19" s="303">
        <f t="shared" si="1"/>
        <v>629051.84211910318</v>
      </c>
      <c r="F19" s="303">
        <f t="shared" si="1"/>
        <v>634562.31926182134</v>
      </c>
      <c r="G19" s="307">
        <f t="shared" si="1"/>
        <v>634541.75485849555</v>
      </c>
      <c r="H19" s="559"/>
      <c r="I19" s="559"/>
      <c r="J19" s="559"/>
      <c r="K19" s="559"/>
      <c r="L19" s="559"/>
    </row>
    <row r="20" spans="1:13" x14ac:dyDescent="0.2">
      <c r="A20" s="122"/>
      <c r="B20" s="308"/>
      <c r="C20" s="14"/>
      <c r="D20" s="14"/>
      <c r="E20" s="14"/>
      <c r="F20" s="14"/>
      <c r="G20" s="15"/>
      <c r="H20" s="594"/>
      <c r="I20" s="594"/>
      <c r="J20" s="594"/>
      <c r="K20" s="594"/>
      <c r="L20" s="594"/>
    </row>
    <row r="21" spans="1:13" x14ac:dyDescent="0.2">
      <c r="A21" s="124" t="s">
        <v>210</v>
      </c>
      <c r="B21" s="305">
        <f>+B19</f>
        <v>0</v>
      </c>
      <c r="C21" s="21">
        <f>+C19</f>
        <v>461606.90564772155</v>
      </c>
      <c r="D21" s="21">
        <f t="shared" ref="D21:G21" si="2">+D19</f>
        <v>631633.31670088938</v>
      </c>
      <c r="E21" s="21">
        <f t="shared" si="2"/>
        <v>629051.84211910318</v>
      </c>
      <c r="F21" s="21">
        <f t="shared" si="2"/>
        <v>634562.31926182134</v>
      </c>
      <c r="G21" s="23">
        <f t="shared" si="2"/>
        <v>634541.75485849555</v>
      </c>
      <c r="H21" s="595"/>
      <c r="I21" s="595"/>
      <c r="J21" s="595"/>
      <c r="K21" s="595"/>
      <c r="L21" s="595"/>
    </row>
    <row r="22" spans="1:13" x14ac:dyDescent="0.2">
      <c r="A22" s="124" t="s">
        <v>211</v>
      </c>
      <c r="B22" s="305">
        <v>0</v>
      </c>
      <c r="C22" s="21">
        <f>+'E-Costos'!B97*InfoInicial!$B$3</f>
        <v>2352000</v>
      </c>
      <c r="D22" s="21">
        <f>+'E-Costos'!C97*InfoInicial!$B$3</f>
        <v>3528000</v>
      </c>
      <c r="E22" s="21">
        <f>+'E-Costos'!D97*InfoInicial!$B$3</f>
        <v>3528000</v>
      </c>
      <c r="F22" s="21">
        <f>+'E-Costos'!E97*InfoInicial!$B$3</f>
        <v>3528000</v>
      </c>
      <c r="G22" s="23">
        <f>+'E-Costos'!F97*InfoInicial!$B$3</f>
        <v>3528000</v>
      </c>
      <c r="H22" s="595"/>
      <c r="I22" s="595"/>
      <c r="J22" s="595"/>
      <c r="K22" s="595"/>
      <c r="L22" s="595"/>
    </row>
    <row r="23" spans="1:13" x14ac:dyDescent="0.2">
      <c r="A23" s="122" t="s">
        <v>212</v>
      </c>
      <c r="B23" s="306">
        <f>+B22-B21</f>
        <v>0</v>
      </c>
      <c r="C23" s="303">
        <f t="shared" ref="C23:G23" si="3">+C22-C21</f>
        <v>1890393.0943522784</v>
      </c>
      <c r="D23" s="303">
        <f t="shared" si="3"/>
        <v>2896366.6832991107</v>
      </c>
      <c r="E23" s="303">
        <f t="shared" si="3"/>
        <v>2898948.1578808967</v>
      </c>
      <c r="F23" s="303">
        <f t="shared" si="3"/>
        <v>2893437.6807381785</v>
      </c>
      <c r="G23" s="307">
        <f t="shared" si="3"/>
        <v>2893458.2451415043</v>
      </c>
      <c r="H23" s="559"/>
      <c r="I23" s="559"/>
      <c r="J23" s="559"/>
      <c r="K23" s="559"/>
      <c r="L23" s="559"/>
    </row>
    <row r="24" spans="1:13" x14ac:dyDescent="0.2">
      <c r="A24" s="120"/>
      <c r="B24" s="308"/>
      <c r="C24" s="14"/>
      <c r="D24" s="14"/>
      <c r="E24" s="14"/>
      <c r="F24" s="14"/>
      <c r="G24" s="15"/>
      <c r="H24" s="594"/>
      <c r="I24" s="594"/>
      <c r="J24" s="594"/>
      <c r="K24" s="594"/>
      <c r="L24" s="594"/>
    </row>
    <row r="25" spans="1:13" x14ac:dyDescent="0.2">
      <c r="A25" s="125" t="s">
        <v>618</v>
      </c>
      <c r="B25" s="305">
        <v>0</v>
      </c>
      <c r="C25" s="21">
        <f>+'E-Cal Inv.'!C21+'E-Cal Inv.'!B21</f>
        <v>1428581.576698411</v>
      </c>
      <c r="D25" s="21">
        <f>IF(C27&lt;0,0,C27)</f>
        <v>0</v>
      </c>
      <c r="E25" s="21">
        <f t="shared" ref="E25:G25" si="4">IF(D27&lt;0,0,D27)</f>
        <v>0</v>
      </c>
      <c r="F25" s="21">
        <f t="shared" si="4"/>
        <v>0</v>
      </c>
      <c r="G25" s="23">
        <f t="shared" si="4"/>
        <v>0</v>
      </c>
      <c r="H25" s="595"/>
      <c r="I25" s="595"/>
      <c r="J25" s="595"/>
      <c r="K25" s="595"/>
      <c r="L25" s="595"/>
    </row>
    <row r="26" spans="1:13" x14ac:dyDescent="0.2">
      <c r="A26" s="125" t="s">
        <v>219</v>
      </c>
      <c r="B26" s="305">
        <f>'E-Cal Inv.'!B21+'E-Cal Inv.'!C21</f>
        <v>1428581.576698411</v>
      </c>
      <c r="C26" s="21">
        <f>+'E-Cal Inv.'!D21</f>
        <v>99434.012270246807</v>
      </c>
      <c r="D26" s="21">
        <f>+'E-Cal Inv.'!E21</f>
        <v>579.00627622433558</v>
      </c>
      <c r="E26" s="21">
        <f>+'E-Cal Inv.'!F21</f>
        <v>3160.4808580106396</v>
      </c>
      <c r="F26" s="21">
        <f>+'E-Cal Inv.'!G21</f>
        <v>3162.5054171857805</v>
      </c>
      <c r="G26" s="23">
        <f>+'E-Cal Inv.'!H21</f>
        <v>3183.0698205116173</v>
      </c>
      <c r="H26" s="595"/>
      <c r="I26" s="595"/>
      <c r="J26" s="595"/>
      <c r="K26" s="595"/>
      <c r="L26" s="595"/>
      <c r="M26" s="275"/>
    </row>
    <row r="27" spans="1:13" x14ac:dyDescent="0.2">
      <c r="A27" s="122" t="s">
        <v>213</v>
      </c>
      <c r="B27" s="305">
        <f>+B26</f>
        <v>1428581.576698411</v>
      </c>
      <c r="C27" s="21">
        <f>+C26+C25-C23</f>
        <v>-362377.5053836205</v>
      </c>
      <c r="D27" s="21">
        <f t="shared" ref="D27:G27" si="5">+D26+D25-D23</f>
        <v>-2895787.6770228865</v>
      </c>
      <c r="E27" s="21">
        <f t="shared" si="5"/>
        <v>-2895787.677022886</v>
      </c>
      <c r="F27" s="21">
        <f t="shared" si="5"/>
        <v>-2890275.1753209927</v>
      </c>
      <c r="G27" s="23">
        <f t="shared" si="5"/>
        <v>-2890275.1753209927</v>
      </c>
      <c r="H27" s="595"/>
      <c r="I27" s="595"/>
      <c r="J27" s="595"/>
      <c r="K27" s="595"/>
      <c r="L27" s="595"/>
    </row>
    <row r="28" spans="1:13" x14ac:dyDescent="0.2">
      <c r="A28" s="122" t="s">
        <v>310</v>
      </c>
      <c r="B28" s="21">
        <f>+IF(B27&gt;0,B23,B26+B25)</f>
        <v>0</v>
      </c>
      <c r="C28" s="21">
        <f>IF(C27&gt;0,C23,C25+C26)</f>
        <v>1528015.5889686579</v>
      </c>
      <c r="D28" s="21">
        <f t="shared" ref="D28:G28" si="6">IF(D27&gt;0,D23,D25+D26)</f>
        <v>579.00627622433558</v>
      </c>
      <c r="E28" s="21">
        <f t="shared" si="6"/>
        <v>3160.4808580106396</v>
      </c>
      <c r="F28" s="21">
        <f t="shared" si="6"/>
        <v>3162.5054171857805</v>
      </c>
      <c r="G28" s="23">
        <f t="shared" si="6"/>
        <v>3183.0698205116173</v>
      </c>
      <c r="H28" s="595"/>
      <c r="I28" s="595"/>
      <c r="J28" s="595"/>
      <c r="K28" s="595"/>
      <c r="L28" s="595"/>
      <c r="M28" s="275"/>
    </row>
    <row r="29" spans="1:13" x14ac:dyDescent="0.2">
      <c r="A29" s="120"/>
      <c r="B29" s="308"/>
      <c r="C29" s="14"/>
      <c r="D29" s="14"/>
      <c r="E29" s="14"/>
      <c r="F29" s="14"/>
      <c r="G29" s="15"/>
      <c r="H29" s="594"/>
      <c r="I29" s="594"/>
      <c r="J29" s="594"/>
      <c r="K29" s="594"/>
      <c r="L29" s="594"/>
      <c r="M29" s="273"/>
    </row>
    <row r="30" spans="1:13" ht="13.5" thickBot="1" x14ac:dyDescent="0.25">
      <c r="A30" s="126" t="s">
        <v>214</v>
      </c>
      <c r="B30" s="150">
        <f>IF(B27&gt;0,0,-B27)</f>
        <v>0</v>
      </c>
      <c r="C30" s="150">
        <f>IF(C27&gt;0,0,-C27)</f>
        <v>362377.5053836205</v>
      </c>
      <c r="D30" s="150">
        <f t="shared" ref="D30:G30" si="7">IF(D27&gt;0,0,-D27)</f>
        <v>2895787.6770228865</v>
      </c>
      <c r="E30" s="150">
        <f t="shared" si="7"/>
        <v>2895787.677022886</v>
      </c>
      <c r="F30" s="150">
        <f t="shared" si="7"/>
        <v>2890275.1753209927</v>
      </c>
      <c r="G30" s="171">
        <f t="shared" si="7"/>
        <v>2890275.1753209927</v>
      </c>
      <c r="H30" s="559"/>
      <c r="I30" s="559"/>
      <c r="J30" s="559"/>
      <c r="K30" s="559"/>
      <c r="L30" s="559"/>
    </row>
    <row r="31" spans="1:13" ht="13.5" thickTop="1" x14ac:dyDescent="0.2"/>
    <row r="32" spans="1:13" x14ac:dyDescent="0.2">
      <c r="B32" s="280"/>
    </row>
    <row r="33" spans="1:1" x14ac:dyDescent="0.2">
      <c r="A33" s="128"/>
    </row>
    <row r="40" spans="1:1" x14ac:dyDescent="0.2">
      <c r="A40" s="128"/>
    </row>
    <row r="44" spans="1:1" x14ac:dyDescent="0.2">
      <c r="A44" s="129"/>
    </row>
    <row r="45" spans="1:1" x14ac:dyDescent="0.2">
      <c r="A45" s="128"/>
    </row>
    <row r="46" spans="1:1" x14ac:dyDescent="0.2">
      <c r="A46" s="128"/>
    </row>
    <row r="47" spans="1:1" x14ac:dyDescent="0.2">
      <c r="A47" s="128"/>
    </row>
    <row r="48" spans="1:1" x14ac:dyDescent="0.2">
      <c r="A48" s="128"/>
    </row>
    <row r="49" spans="1:1" x14ac:dyDescent="0.2">
      <c r="A49" s="130"/>
    </row>
    <row r="50" spans="1:1" x14ac:dyDescent="0.2">
      <c r="A50" s="130"/>
    </row>
    <row r="51" spans="1:1" x14ac:dyDescent="0.2">
      <c r="A51" s="128"/>
    </row>
    <row r="53" spans="1:1" x14ac:dyDescent="0.2">
      <c r="A53" s="131"/>
    </row>
    <row r="54" spans="1:1" x14ac:dyDescent="0.2">
      <c r="A54" s="131"/>
    </row>
    <row r="55" spans="1:1" x14ac:dyDescent="0.2">
      <c r="A55" s="128"/>
    </row>
    <row r="57" spans="1:1" x14ac:dyDescent="0.2">
      <c r="A57" s="128"/>
    </row>
  </sheetData>
  <mergeCells count="2">
    <mergeCell ref="A2:G2"/>
    <mergeCell ref="A1:G1"/>
  </mergeCells>
  <pageMargins left="0.26" right="0.46" top="1.27" bottom="1" header="0" footer="0"/>
  <pageSetup paperSize="9" scale="78" fitToHeight="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48"/>
  <sheetViews>
    <sheetView zoomScale="90" zoomScaleNormal="90" workbookViewId="0">
      <selection activeCell="D12" sqref="D12"/>
    </sheetView>
  </sheetViews>
  <sheetFormatPr baseColWidth="10" defaultRowHeight="12.75" x14ac:dyDescent="0.2"/>
  <cols>
    <col min="1" max="1" width="8" style="38" customWidth="1"/>
    <col min="2" max="2" width="15.5703125" style="38" bestFit="1" customWidth="1"/>
    <col min="3" max="3" width="17.42578125" style="38" customWidth="1"/>
    <col min="4" max="7" width="16" style="38" bestFit="1" customWidth="1"/>
    <col min="8" max="8" width="17.140625" style="38" bestFit="1" customWidth="1"/>
    <col min="9" max="10" width="16" style="38" bestFit="1" customWidth="1"/>
    <col min="11" max="13" width="17.140625" style="38" bestFit="1" customWidth="1"/>
    <col min="14" max="14" width="17.42578125" style="38" bestFit="1" customWidth="1"/>
    <col min="15" max="16384" width="11.42578125" style="38"/>
  </cols>
  <sheetData>
    <row r="1" spans="1:14" ht="16.5" thickTop="1" x14ac:dyDescent="0.25">
      <c r="A1" s="117" t="s">
        <v>230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</row>
    <row r="2" spans="1:14" ht="39" thickBot="1" x14ac:dyDescent="0.25">
      <c r="A2" s="310" t="s">
        <v>220</v>
      </c>
      <c r="B2" s="309" t="s">
        <v>0</v>
      </c>
      <c r="C2" s="309" t="s">
        <v>222</v>
      </c>
      <c r="D2" s="309" t="s">
        <v>223</v>
      </c>
      <c r="E2" s="309" t="s">
        <v>78</v>
      </c>
      <c r="F2" s="309" t="s">
        <v>224</v>
      </c>
      <c r="G2" s="311" t="s">
        <v>225</v>
      </c>
      <c r="H2" s="309" t="s">
        <v>226</v>
      </c>
      <c r="I2" s="309" t="s">
        <v>227</v>
      </c>
      <c r="J2" s="309" t="s">
        <v>228</v>
      </c>
      <c r="K2" s="311" t="s">
        <v>229</v>
      </c>
      <c r="L2" s="312" t="s">
        <v>232</v>
      </c>
      <c r="M2" s="313" t="s">
        <v>233</v>
      </c>
    </row>
    <row r="3" spans="1:14" ht="13.5" thickTop="1" x14ac:dyDescent="0.2">
      <c r="A3" s="132">
        <v>0</v>
      </c>
      <c r="B3" s="133">
        <f>+'E-Cal Inv.'!B6+'E-Cal Inv.'!C6</f>
        <v>6606171.1401684172</v>
      </c>
      <c r="C3" s="134">
        <f>+'E-InvAT'!B23</f>
        <v>240687.03768115948</v>
      </c>
      <c r="D3" s="134">
        <f>'E-IVA '!B26</f>
        <v>1428581.576698411</v>
      </c>
      <c r="E3" s="134"/>
      <c r="F3" s="134"/>
      <c r="G3" s="236">
        <f>+SUM(B3:F3)</f>
        <v>8275439.7545479881</v>
      </c>
      <c r="H3" s="134"/>
      <c r="I3" s="134"/>
      <c r="J3" s="134">
        <f>+'E-IVA '!$B$28</f>
        <v>0</v>
      </c>
      <c r="K3" s="236">
        <f>+SUM(H3:J3)</f>
        <v>0</v>
      </c>
      <c r="L3" s="135">
        <f>+K3-G3</f>
        <v>-8275439.7545479881</v>
      </c>
      <c r="M3" s="136">
        <f>L3</f>
        <v>-8275439.7545479881</v>
      </c>
    </row>
    <row r="4" spans="1:14" x14ac:dyDescent="0.2">
      <c r="A4" s="137">
        <v>1</v>
      </c>
      <c r="B4" s="121">
        <f>+'E-Cal Inv.'!D$6</f>
        <v>163608.39246482577</v>
      </c>
      <c r="C4" s="134">
        <f>+'E-InvAT'!C23</f>
        <v>994314.99368463608</v>
      </c>
      <c r="D4" s="134">
        <f>'E-IVA '!C26</f>
        <v>99434.012270246807</v>
      </c>
      <c r="E4" s="21">
        <f>+'E-Costos'!$B$127</f>
        <v>318858.31456582237</v>
      </c>
      <c r="F4" s="21">
        <f>+'E-Costos'!$B$128</f>
        <v>1594291.5728291117</v>
      </c>
      <c r="G4" s="236">
        <f>+SUM(B4:F4)</f>
        <v>3170507.2858146429</v>
      </c>
      <c r="H4" s="21">
        <f>+'E-Costos'!$B$126</f>
        <v>4555118.7795117479</v>
      </c>
      <c r="I4" s="21">
        <f>'E-Costos'!B135</f>
        <v>424908.52277664858</v>
      </c>
      <c r="J4" s="134">
        <f>+'E-IVA '!$C$28</f>
        <v>1528015.5889686579</v>
      </c>
      <c r="K4" s="236">
        <f t="shared" ref="K4:K8" si="0">+SUM(H4:J4)</f>
        <v>6508042.8912570542</v>
      </c>
      <c r="L4" s="135">
        <f t="shared" ref="L4:L8" si="1">+K4-G4</f>
        <v>3337535.6054424113</v>
      </c>
      <c r="M4" s="23">
        <f>M3+L4</f>
        <v>-4937904.1491055768</v>
      </c>
    </row>
    <row r="5" spans="1:14" x14ac:dyDescent="0.2">
      <c r="A5" s="137">
        <v>2</v>
      </c>
      <c r="B5" s="121">
        <f>+'E-Cal Inv.'!E$6</f>
        <v>0</v>
      </c>
      <c r="C5" s="134">
        <f>+'E-InvAT'!D23</f>
        <v>371077.31534340628</v>
      </c>
      <c r="D5" s="134">
        <f>'E-IVA '!D26</f>
        <v>579.00627622433558</v>
      </c>
      <c r="E5" s="21">
        <f>+'E-Costos'!$B$127</f>
        <v>318858.31456582237</v>
      </c>
      <c r="F5" s="21">
        <f>+'E-Costos'!$C$128</f>
        <v>3089245.0051673832</v>
      </c>
      <c r="G5" s="236">
        <f>+SUM(B5:F5)</f>
        <v>3779759.641352836</v>
      </c>
      <c r="H5" s="21">
        <f>+'E-Costos'!$C$126</f>
        <v>8826414.3004782386</v>
      </c>
      <c r="I5" s="21">
        <f>'E-Costos'!C135</f>
        <v>424908.52277664858</v>
      </c>
      <c r="J5" s="134">
        <f>+'E-IVA '!$D$28</f>
        <v>579.00627622433558</v>
      </c>
      <c r="K5" s="236">
        <f t="shared" si="0"/>
        <v>9251901.8295311108</v>
      </c>
      <c r="L5" s="135">
        <f t="shared" si="1"/>
        <v>5472142.1881782748</v>
      </c>
      <c r="M5" s="23">
        <f>M4+L5</f>
        <v>534238.03907269798</v>
      </c>
    </row>
    <row r="6" spans="1:14" x14ac:dyDescent="0.2">
      <c r="A6" s="137">
        <v>3</v>
      </c>
      <c r="B6" s="121">
        <f>+'E-Cal Inv.'!F$6</f>
        <v>0</v>
      </c>
      <c r="C6" s="134">
        <f>+'E-InvAT'!E23</f>
        <v>774.81484481832013</v>
      </c>
      <c r="D6" s="134">
        <f>'E-IVA '!E26</f>
        <v>3160.4808580106396</v>
      </c>
      <c r="E6" s="21">
        <f>+'E-Costos'!$B$127</f>
        <v>318858.31456582237</v>
      </c>
      <c r="F6" s="21">
        <f>+'E-Costos'!$D$128</f>
        <v>3090155.1992006255</v>
      </c>
      <c r="G6" s="236">
        <f t="shared" ref="G6:G7" si="2">+SUM(B6:F6)</f>
        <v>3412948.809469277</v>
      </c>
      <c r="H6" s="21">
        <f>+'E-Costos'!$D$126</f>
        <v>8829014.8548589312</v>
      </c>
      <c r="I6" s="21">
        <f>'E-Costos'!D135</f>
        <v>424908.52277664858</v>
      </c>
      <c r="J6" s="134">
        <f>+'E-IVA '!$E$28</f>
        <v>3160.4808580106396</v>
      </c>
      <c r="K6" s="236">
        <f t="shared" si="0"/>
        <v>9257083.8584935907</v>
      </c>
      <c r="L6" s="135">
        <f t="shared" si="1"/>
        <v>5844135.0490243137</v>
      </c>
      <c r="M6" s="23">
        <f t="shared" ref="M6:M8" si="3">M5+L6</f>
        <v>6378373.0880970117</v>
      </c>
    </row>
    <row r="7" spans="1:14" ht="13.5" thickBot="1" x14ac:dyDescent="0.25">
      <c r="A7" s="137">
        <v>4</v>
      </c>
      <c r="B7" s="121">
        <f>+'E-Cal Inv.'!G$6</f>
        <v>0</v>
      </c>
      <c r="C7" s="134">
        <f>+'E-InvAT'!F23</f>
        <v>1346.0765481125563</v>
      </c>
      <c r="D7" s="134">
        <f>'E-IVA '!F26</f>
        <v>3162.5054171857805</v>
      </c>
      <c r="E7" s="21">
        <f>+'E-Costos'!$B$127</f>
        <v>318858.31456582237</v>
      </c>
      <c r="F7" s="21">
        <f>+'E-Costos'!$E$128</f>
        <v>3081144.0133402636</v>
      </c>
      <c r="G7" s="236">
        <f t="shared" si="2"/>
        <v>3404510.9098713845</v>
      </c>
      <c r="H7" s="21">
        <f>+'E-Costos'!$E$126</f>
        <v>8803268.6095436104</v>
      </c>
      <c r="I7" s="21">
        <f>'E-Costos'!E135</f>
        <v>424908.52277664858</v>
      </c>
      <c r="J7" s="134">
        <f>+'E-IVA '!$F$28</f>
        <v>3162.5054171857805</v>
      </c>
      <c r="K7" s="236">
        <f t="shared" si="0"/>
        <v>9231339.6377374437</v>
      </c>
      <c r="L7" s="135">
        <f t="shared" si="1"/>
        <v>5826828.7278660592</v>
      </c>
      <c r="M7" s="243">
        <f t="shared" si="3"/>
        <v>12205201.815963071</v>
      </c>
    </row>
    <row r="8" spans="1:14" ht="13.5" thickBot="1" x14ac:dyDescent="0.25">
      <c r="A8" s="137">
        <v>5</v>
      </c>
      <c r="B8" s="121">
        <f>+'E-Inv AF y Am'!G55*(-1)</f>
        <v>-4645236.9187500002</v>
      </c>
      <c r="C8" s="134">
        <f>-SUM(C3:C7)</f>
        <v>-1608200.2381021327</v>
      </c>
      <c r="D8" s="134">
        <f>'E-IVA '!G26</f>
        <v>3183.0698205116173</v>
      </c>
      <c r="E8" s="21">
        <f>+'E-Costos'!$B$127</f>
        <v>318858.31456582237</v>
      </c>
      <c r="F8" s="21">
        <f>+'E-Costos'!$F$128</f>
        <v>3081178.2282364951</v>
      </c>
      <c r="G8" s="236">
        <f>+SUM(B8:F8)</f>
        <v>-2850217.544229304</v>
      </c>
      <c r="H8" s="21">
        <f>+'E-Costos'!$F$126</f>
        <v>8803366.3663899861</v>
      </c>
      <c r="I8" s="21">
        <f>'E-Costos'!F135</f>
        <v>424908.52277664858</v>
      </c>
      <c r="J8" s="134">
        <f>+'E-IVA '!$G$28</f>
        <v>3183.0698205116173</v>
      </c>
      <c r="K8" s="236">
        <f t="shared" si="0"/>
        <v>9231457.9589871466</v>
      </c>
      <c r="L8" s="135">
        <f t="shared" si="1"/>
        <v>12081675.503216451</v>
      </c>
      <c r="M8" s="242">
        <f t="shared" si="3"/>
        <v>24286877.31917952</v>
      </c>
    </row>
    <row r="9" spans="1:14" ht="13.5" thickBot="1" x14ac:dyDescent="0.25">
      <c r="A9" s="137"/>
      <c r="B9" s="18"/>
      <c r="C9" s="14"/>
      <c r="D9" s="14"/>
      <c r="E9" s="14"/>
      <c r="F9" s="14"/>
      <c r="G9" s="237"/>
      <c r="H9" s="14"/>
      <c r="I9" s="14"/>
      <c r="J9" s="14"/>
      <c r="K9" s="237"/>
      <c r="L9" s="241"/>
      <c r="M9" s="16"/>
    </row>
    <row r="10" spans="1:14" ht="13.5" thickBot="1" x14ac:dyDescent="0.25">
      <c r="A10" s="138" t="s">
        <v>231</v>
      </c>
      <c r="B10" s="127">
        <f t="shared" ref="B10:K10" si="4">SUM(B3:B9)</f>
        <v>2124542.6138832429</v>
      </c>
      <c r="C10" s="127">
        <f t="shared" si="4"/>
        <v>0</v>
      </c>
      <c r="D10" s="127">
        <f t="shared" si="4"/>
        <v>1538100.6513405903</v>
      </c>
      <c r="E10" s="127">
        <f t="shared" si="4"/>
        <v>1594291.5728291119</v>
      </c>
      <c r="F10" s="127">
        <f t="shared" si="4"/>
        <v>13936014.018773878</v>
      </c>
      <c r="G10" s="238">
        <f t="shared" si="4"/>
        <v>19192948.856826823</v>
      </c>
      <c r="H10" s="127">
        <f t="shared" si="4"/>
        <v>39817182.910782516</v>
      </c>
      <c r="I10" s="127">
        <f t="shared" si="4"/>
        <v>2124542.6138832429</v>
      </c>
      <c r="J10" s="127">
        <f t="shared" si="4"/>
        <v>1538100.6513405903</v>
      </c>
      <c r="K10" s="239">
        <f t="shared" si="4"/>
        <v>43479826.176006347</v>
      </c>
      <c r="L10" s="242">
        <f>+SUM(L3:L8)</f>
        <v>24286877.31917952</v>
      </c>
      <c r="M10" s="240"/>
    </row>
    <row r="11" spans="1:14" ht="13.5" thickTop="1" x14ac:dyDescent="0.2">
      <c r="H11" s="273"/>
    </row>
    <row r="12" spans="1:14" x14ac:dyDescent="0.2">
      <c r="C12" s="139" t="s">
        <v>234</v>
      </c>
      <c r="D12" s="374">
        <f>H10-(E10+F10)</f>
        <v>24286877.319179527</v>
      </c>
      <c r="F12" s="275"/>
      <c r="G12" s="317"/>
      <c r="H12" s="318"/>
      <c r="L12" s="273"/>
    </row>
    <row r="13" spans="1:14" x14ac:dyDescent="0.2">
      <c r="A13" s="128"/>
      <c r="C13" s="139" t="s">
        <v>235</v>
      </c>
      <c r="D13" s="375">
        <f>1+ABS(M4)/L5</f>
        <v>1.9023713162595013</v>
      </c>
      <c r="E13" s="38" t="s">
        <v>237</v>
      </c>
      <c r="G13" s="273"/>
      <c r="I13" s="275"/>
      <c r="L13" s="273"/>
    </row>
    <row r="14" spans="1:14" x14ac:dyDescent="0.2">
      <c r="C14" s="139" t="s">
        <v>236</v>
      </c>
      <c r="D14" s="390">
        <f>IRR(L3:L8)</f>
        <v>0.55596774347713973</v>
      </c>
    </row>
    <row r="15" spans="1:14" ht="14.25" x14ac:dyDescent="0.25">
      <c r="B15" s="142"/>
      <c r="C15" s="139" t="s">
        <v>405</v>
      </c>
      <c r="D15" s="319">
        <f>NPV(0.18,L4:L8)+L3</f>
        <v>10326333.727209251</v>
      </c>
      <c r="E15" s="86"/>
      <c r="F15" s="142"/>
      <c r="G15" s="142"/>
      <c r="H15" s="142"/>
      <c r="I15" s="141"/>
      <c r="J15" s="142"/>
      <c r="K15" s="142"/>
      <c r="L15" s="142"/>
      <c r="M15" s="142"/>
      <c r="N15" s="141"/>
    </row>
    <row r="16" spans="1:14" ht="15.75" x14ac:dyDescent="0.25">
      <c r="A16" s="143"/>
      <c r="B16" s="142"/>
      <c r="C16" s="144"/>
      <c r="D16" s="142"/>
      <c r="E16" s="145"/>
      <c r="F16" s="142"/>
      <c r="G16" s="142"/>
      <c r="H16" s="142"/>
      <c r="I16" s="142"/>
      <c r="J16" s="142"/>
      <c r="K16" s="142"/>
      <c r="L16" s="142"/>
      <c r="M16" s="142"/>
      <c r="N16" s="142"/>
    </row>
    <row r="18" spans="1:1" x14ac:dyDescent="0.2">
      <c r="A18" s="131"/>
    </row>
    <row r="19" spans="1:1" x14ac:dyDescent="0.2">
      <c r="A19" s="131"/>
    </row>
    <row r="20" spans="1:1" x14ac:dyDescent="0.2">
      <c r="A20" s="128"/>
    </row>
    <row r="22" spans="1:1" x14ac:dyDescent="0.2">
      <c r="A22" s="128"/>
    </row>
    <row r="41" spans="2:13" ht="13.5" thickBot="1" x14ac:dyDescent="0.25"/>
    <row r="42" spans="2:13" ht="13.5" thickBot="1" x14ac:dyDescent="0.25">
      <c r="B42" s="467" t="s">
        <v>553</v>
      </c>
      <c r="C42" s="489">
        <f>0</f>
        <v>0</v>
      </c>
      <c r="D42" s="490">
        <f>+C42+$M$42/10</f>
        <v>7.4999999999999997E-2</v>
      </c>
      <c r="E42" s="490">
        <f t="shared" ref="E42:L42" si="5">+D42+$M$42/10</f>
        <v>0.15</v>
      </c>
      <c r="F42" s="490">
        <f t="shared" si="5"/>
        <v>0.22499999999999998</v>
      </c>
      <c r="G42" s="490">
        <f t="shared" si="5"/>
        <v>0.3</v>
      </c>
      <c r="H42" s="490">
        <f t="shared" si="5"/>
        <v>0.375</v>
      </c>
      <c r="I42" s="490">
        <f t="shared" si="5"/>
        <v>0.45</v>
      </c>
      <c r="J42" s="490">
        <f t="shared" si="5"/>
        <v>0.52500000000000002</v>
      </c>
      <c r="K42" s="490">
        <f t="shared" si="5"/>
        <v>0.6</v>
      </c>
      <c r="L42" s="490">
        <f t="shared" si="5"/>
        <v>0.67499999999999993</v>
      </c>
      <c r="M42" s="491">
        <v>0.75</v>
      </c>
    </row>
    <row r="43" spans="2:13" x14ac:dyDescent="0.2">
      <c r="B43" s="471" t="s">
        <v>554</v>
      </c>
      <c r="C43" s="472">
        <f t="shared" ref="C43:M43" si="6">+NPV(C42,$L$3:$L$8)</f>
        <v>24286877.31917952</v>
      </c>
      <c r="D43" s="473">
        <f t="shared" si="6"/>
        <v>15858133.678557968</v>
      </c>
      <c r="E43" s="473">
        <f t="shared" si="6"/>
        <v>10387252.749079278</v>
      </c>
      <c r="F43" s="473">
        <f t="shared" si="6"/>
        <v>6728228.7555287043</v>
      </c>
      <c r="G43" s="473">
        <f t="shared" si="6"/>
        <v>4218448.3339969078</v>
      </c>
      <c r="H43" s="473">
        <f t="shared" si="6"/>
        <v>2460075.7196692084</v>
      </c>
      <c r="I43" s="473">
        <f t="shared" si="6"/>
        <v>1206205.2426965884</v>
      </c>
      <c r="J43" s="473">
        <f t="shared" si="6"/>
        <v>299047.68693247077</v>
      </c>
      <c r="K43" s="473">
        <f t="shared" si="6"/>
        <v>-364894.88010043744</v>
      </c>
      <c r="L43" s="473">
        <f t="shared" si="6"/>
        <v>-855106.66237601149</v>
      </c>
      <c r="M43" s="474">
        <f t="shared" si="6"/>
        <v>-1219219.4531845362</v>
      </c>
    </row>
    <row r="44" spans="2:13" ht="14.25" x14ac:dyDescent="0.25">
      <c r="B44" s="475" t="s">
        <v>555</v>
      </c>
      <c r="C44" s="476">
        <f>+G3</f>
        <v>8275439.7545479881</v>
      </c>
      <c r="D44" s="477">
        <f t="shared" ref="D44:L44" si="7">+C44</f>
        <v>8275439.7545479881</v>
      </c>
      <c r="E44" s="477">
        <f t="shared" si="7"/>
        <v>8275439.7545479881</v>
      </c>
      <c r="F44" s="477">
        <f t="shared" si="7"/>
        <v>8275439.7545479881</v>
      </c>
      <c r="G44" s="477">
        <f t="shared" si="7"/>
        <v>8275439.7545479881</v>
      </c>
      <c r="H44" s="477">
        <f t="shared" si="7"/>
        <v>8275439.7545479881</v>
      </c>
      <c r="I44" s="477">
        <f t="shared" si="7"/>
        <v>8275439.7545479881</v>
      </c>
      <c r="J44" s="477">
        <f t="shared" si="7"/>
        <v>8275439.7545479881</v>
      </c>
      <c r="K44" s="477">
        <f t="shared" si="7"/>
        <v>8275439.7545479881</v>
      </c>
      <c r="L44" s="477">
        <f t="shared" si="7"/>
        <v>8275439.7545479881</v>
      </c>
      <c r="M44" s="478">
        <f>+J44</f>
        <v>8275439.7545479881</v>
      </c>
    </row>
    <row r="45" spans="2:13" ht="15" thickBot="1" x14ac:dyDescent="0.3">
      <c r="B45" s="479" t="s">
        <v>556</v>
      </c>
      <c r="C45" s="476">
        <f>+C43+C44</f>
        <v>32562317.073727507</v>
      </c>
      <c r="D45" s="477">
        <f t="shared" ref="D45:J45" si="8">+D43+D44</f>
        <v>24133573.433105957</v>
      </c>
      <c r="E45" s="477">
        <f t="shared" si="8"/>
        <v>18662692.503627267</v>
      </c>
      <c r="F45" s="477">
        <f t="shared" si="8"/>
        <v>15003668.510076692</v>
      </c>
      <c r="G45" s="477">
        <f t="shared" si="8"/>
        <v>12493888.088544896</v>
      </c>
      <c r="H45" s="477">
        <f t="shared" si="8"/>
        <v>10735515.474217197</v>
      </c>
      <c r="I45" s="477">
        <f t="shared" si="8"/>
        <v>9481644.997244576</v>
      </c>
      <c r="J45" s="477">
        <f t="shared" si="8"/>
        <v>8574487.4414804596</v>
      </c>
      <c r="K45" s="477">
        <f>+K43+K44</f>
        <v>7910544.8744475506</v>
      </c>
      <c r="L45" s="477">
        <f>+L43+L44</f>
        <v>7420333.0921719763</v>
      </c>
      <c r="M45" s="478">
        <f>+M43+M44</f>
        <v>7056220.3013634514</v>
      </c>
    </row>
    <row r="46" spans="2:13" ht="13.5" thickBot="1" x14ac:dyDescent="0.25">
      <c r="B46" s="479" t="s">
        <v>557</v>
      </c>
      <c r="C46" s="492">
        <f>$C$45</f>
        <v>32562317.073727507</v>
      </c>
      <c r="D46" s="492">
        <f t="shared" ref="D46:M46" si="9">$C$45</f>
        <v>32562317.073727507</v>
      </c>
      <c r="E46" s="492">
        <f t="shared" si="9"/>
        <v>32562317.073727507</v>
      </c>
      <c r="F46" s="492">
        <f t="shared" si="9"/>
        <v>32562317.073727507</v>
      </c>
      <c r="G46" s="492">
        <f t="shared" si="9"/>
        <v>32562317.073727507</v>
      </c>
      <c r="H46" s="492">
        <f t="shared" si="9"/>
        <v>32562317.073727507</v>
      </c>
      <c r="I46" s="492">
        <f t="shared" si="9"/>
        <v>32562317.073727507</v>
      </c>
      <c r="J46" s="492">
        <f t="shared" si="9"/>
        <v>32562317.073727507</v>
      </c>
      <c r="K46" s="492">
        <f t="shared" si="9"/>
        <v>32562317.073727507</v>
      </c>
      <c r="L46" s="492">
        <f t="shared" si="9"/>
        <v>32562317.073727507</v>
      </c>
      <c r="M46" s="493">
        <f t="shared" si="9"/>
        <v>32562317.073727507</v>
      </c>
    </row>
    <row r="48" spans="2:13" x14ac:dyDescent="0.2">
      <c r="K48" s="130"/>
    </row>
  </sheetData>
  <pageMargins left="0.26" right="0.46" top="1.27" bottom="1" header="0" footer="0"/>
  <pageSetup paperSize="9" scale="76" fitToHeight="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VER ADRI</vt:lpstr>
      <vt:lpstr>Entrada de Datos</vt:lpstr>
      <vt:lpstr>InfoInicial</vt:lpstr>
      <vt:lpstr>E-Inv AF y Am</vt:lpstr>
      <vt:lpstr>E-Costos</vt:lpstr>
      <vt:lpstr>E-InvAT</vt:lpstr>
      <vt:lpstr>E-Cal Inv.</vt:lpstr>
      <vt:lpstr>E-IVA </vt:lpstr>
      <vt:lpstr>E-Form</vt:lpstr>
      <vt:lpstr>Detalle Cred Maq</vt:lpstr>
      <vt:lpstr>Detalle Cred Renov</vt:lpstr>
      <vt:lpstr>DF-Cred</vt:lpstr>
      <vt:lpstr>DF-CRes</vt:lpstr>
      <vt:lpstr>DF-2 Estructura</vt:lpstr>
      <vt:lpstr>DF-IVA</vt:lpstr>
      <vt:lpstr>DF- CFyU</vt:lpstr>
      <vt:lpstr>DF-Balance</vt:lpstr>
      <vt:lpstr>DF- Form</vt:lpstr>
      <vt:lpstr>'DF-Cred'!Área_de_impresión</vt:lpstr>
      <vt:lpstr>'E-Costos'!Área_de_impresión</vt:lpstr>
    </vt:vector>
  </TitlesOfParts>
  <Manager>Ing Diego Roberto Berenguer</Manager>
  <Company>Catedra de Evaluación de Proyectos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Cuadros del Dimensionamiento Economico Financiero</dc:title>
  <dc:creator>Yacovone - Rodriguez</dc:creator>
  <cp:keywords>Grupo Hojalata</cp:keywords>
  <cp:lastModifiedBy>Norberto Yacovone</cp:lastModifiedBy>
  <cp:lastPrinted>2016-09-27T04:04:48Z</cp:lastPrinted>
  <dcterms:created xsi:type="dcterms:W3CDTF">2004-09-01T03:31:20Z</dcterms:created>
  <dcterms:modified xsi:type="dcterms:W3CDTF">2016-11-05T22:33:31Z</dcterms:modified>
</cp:coreProperties>
</file>