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ilmc\Documents\MACARENA CASTILLA\Facultad\Ev. de Proyectos\"/>
    </mc:Choice>
  </mc:AlternateContent>
  <bookViews>
    <workbookView xWindow="0" yWindow="0" windowWidth="20490" windowHeight="7530" activeTab="1"/>
  </bookViews>
  <sheets>
    <sheet name="Información relevante" sheetId="1" r:id="rId1"/>
    <sheet name="InfoInicial" sheetId="2" r:id="rId2"/>
    <sheet name="E-Inv AF y Am" sheetId="3" r:id="rId3"/>
    <sheet name="E-Costos" sheetId="4" r:id="rId4"/>
    <sheet name="E-InvAT" sheetId="5" r:id="rId5"/>
    <sheet name="E-Cal Inv." sheetId="6" r:id="rId6"/>
    <sheet name="E-IVA " sheetId="7" r:id="rId7"/>
    <sheet name="E-Form" sheetId="8" r:id="rId8"/>
    <sheet name="F-Cred" sheetId="9" r:id="rId9"/>
    <sheet name="F-CRes" sheetId="10" r:id="rId10"/>
    <sheet name="F-2 Estructura" sheetId="11" r:id="rId11"/>
    <sheet name="F-IVA" sheetId="12" r:id="rId12"/>
    <sheet name="F- CFyU" sheetId="13" r:id="rId13"/>
    <sheet name="F-Balance" sheetId="14" r:id="rId14"/>
    <sheet name="F- Form" sheetId="15" r:id="rId15"/>
  </sheets>
  <calcPr calcId="171027"/>
</workbook>
</file>

<file path=xl/calcChain.xml><?xml version="1.0" encoding="utf-8"?>
<calcChain xmlns="http://schemas.openxmlformats.org/spreadsheetml/2006/main">
  <c r="D31" i="15" l="1"/>
  <c r="C28" i="15"/>
  <c r="B28" i="15"/>
  <c r="B27" i="15"/>
  <c r="C27" i="15" s="1"/>
  <c r="C26" i="15"/>
  <c r="B26" i="15"/>
  <c r="F24" i="15"/>
  <c r="B9" i="15"/>
  <c r="B8" i="15"/>
  <c r="B7" i="15"/>
  <c r="G1" i="15"/>
  <c r="C34" i="14"/>
  <c r="C28" i="14"/>
  <c r="G26" i="14"/>
  <c r="F26" i="14"/>
  <c r="E26" i="14"/>
  <c r="D26" i="14"/>
  <c r="C26" i="14"/>
  <c r="G25" i="14"/>
  <c r="G30" i="14" s="1"/>
  <c r="B25" i="14"/>
  <c r="B16" i="14"/>
  <c r="B15" i="14"/>
  <c r="G11" i="14"/>
  <c r="F11" i="14"/>
  <c r="E11" i="14"/>
  <c r="D11" i="14"/>
  <c r="C11" i="14"/>
  <c r="F9" i="14"/>
  <c r="B9" i="14"/>
  <c r="B8" i="14"/>
  <c r="E1" i="14"/>
  <c r="H20" i="13"/>
  <c r="C18" i="13"/>
  <c r="B11" i="13"/>
  <c r="B8" i="13"/>
  <c r="E1" i="13"/>
  <c r="G16" i="12"/>
  <c r="F16" i="12"/>
  <c r="E16" i="12"/>
  <c r="D16" i="12"/>
  <c r="B9" i="12"/>
  <c r="B8" i="12"/>
  <c r="B7" i="12"/>
  <c r="B6" i="12"/>
  <c r="B10" i="12" s="1"/>
  <c r="B12" i="12" s="1"/>
  <c r="B14" i="12" s="1"/>
  <c r="E1" i="12"/>
  <c r="C29" i="11"/>
  <c r="B13" i="11"/>
  <c r="D1" i="11"/>
  <c r="F1" i="10"/>
  <c r="F1" i="9"/>
  <c r="E10" i="8"/>
  <c r="K4" i="8"/>
  <c r="G1" i="8"/>
  <c r="G1" i="7"/>
  <c r="B23" i="6"/>
  <c r="B21" i="6"/>
  <c r="H8" i="6"/>
  <c r="H21" i="6" s="1"/>
  <c r="G8" i="6"/>
  <c r="F8" i="6"/>
  <c r="F21" i="6" s="1"/>
  <c r="E8" i="6"/>
  <c r="B7" i="6"/>
  <c r="B8" i="6" s="1"/>
  <c r="G1" i="6"/>
  <c r="G10" i="5"/>
  <c r="E10" i="5"/>
  <c r="C10" i="5"/>
  <c r="G7" i="5"/>
  <c r="G9" i="14" s="1"/>
  <c r="F7" i="5"/>
  <c r="E7" i="5"/>
  <c r="E9" i="14" s="1"/>
  <c r="D7" i="5"/>
  <c r="D9" i="14" s="1"/>
  <c r="C7" i="5"/>
  <c r="G6" i="5"/>
  <c r="G7" i="14" s="1"/>
  <c r="F6" i="5"/>
  <c r="G11" i="6" s="1"/>
  <c r="E6" i="5"/>
  <c r="E7" i="14" s="1"/>
  <c r="D6" i="5"/>
  <c r="C6" i="5"/>
  <c r="C7" i="14" s="1"/>
  <c r="B6" i="5"/>
  <c r="E1" i="5"/>
  <c r="F101" i="4"/>
  <c r="E101" i="4"/>
  <c r="D101" i="4"/>
  <c r="C101" i="4"/>
  <c r="B101" i="4"/>
  <c r="E91" i="4"/>
  <c r="C91" i="4"/>
  <c r="B90" i="4"/>
  <c r="C88" i="4"/>
  <c r="F87" i="4"/>
  <c r="E87" i="4"/>
  <c r="D87" i="4"/>
  <c r="C87" i="4"/>
  <c r="B87" i="4"/>
  <c r="K86" i="4"/>
  <c r="F86" i="4"/>
  <c r="D86" i="4"/>
  <c r="C86" i="4"/>
  <c r="E86" i="4" s="1"/>
  <c r="E88" i="4" s="1"/>
  <c r="B86" i="4"/>
  <c r="K85" i="4"/>
  <c r="Q76" i="4"/>
  <c r="F74" i="4"/>
  <c r="D74" i="4"/>
  <c r="C74" i="4"/>
  <c r="E74" i="4" s="1"/>
  <c r="B74" i="4"/>
  <c r="N65" i="4"/>
  <c r="N64" i="4"/>
  <c r="N63" i="4"/>
  <c r="N62" i="4"/>
  <c r="N61" i="4"/>
  <c r="N60" i="4"/>
  <c r="D57" i="4"/>
  <c r="B57" i="4"/>
  <c r="N55" i="4"/>
  <c r="N54" i="4"/>
  <c r="N53" i="4"/>
  <c r="N52" i="4"/>
  <c r="N51" i="4"/>
  <c r="C52" i="4" s="1"/>
  <c r="F31" i="4"/>
  <c r="D31" i="4"/>
  <c r="D26" i="4"/>
  <c r="B25" i="4"/>
  <c r="P22" i="4"/>
  <c r="P21" i="4"/>
  <c r="P20" i="4"/>
  <c r="P19" i="4"/>
  <c r="P18" i="4"/>
  <c r="P17" i="4"/>
  <c r="P16" i="4"/>
  <c r="P15" i="4"/>
  <c r="F14" i="4"/>
  <c r="G9" i="7" s="1"/>
  <c r="E14" i="4"/>
  <c r="F9" i="7" s="1"/>
  <c r="D14" i="4"/>
  <c r="E9" i="7" s="1"/>
  <c r="C14" i="4"/>
  <c r="D9" i="7" s="1"/>
  <c r="B14" i="4"/>
  <c r="C9" i="7" s="1"/>
  <c r="F13" i="4"/>
  <c r="G8" i="7" s="1"/>
  <c r="E13" i="4"/>
  <c r="D13" i="4"/>
  <c r="E8" i="7" s="1"/>
  <c r="C13" i="4"/>
  <c r="F11" i="4"/>
  <c r="F29" i="4" s="1"/>
  <c r="T9" i="4"/>
  <c r="T12" i="4" s="1"/>
  <c r="S14" i="4" s="1"/>
  <c r="S16" i="4" s="1"/>
  <c r="G25" i="4" s="1"/>
  <c r="K9" i="4"/>
  <c r="F8" i="4"/>
  <c r="F91" i="4" s="1"/>
  <c r="E8" i="4"/>
  <c r="E26" i="4" s="1"/>
  <c r="D8" i="4"/>
  <c r="D91" i="4" s="1"/>
  <c r="C8" i="4"/>
  <c r="C26" i="4" s="1"/>
  <c r="B8" i="4"/>
  <c r="C7" i="4"/>
  <c r="B7" i="4"/>
  <c r="C6" i="7" s="1"/>
  <c r="E3" i="4"/>
  <c r="C68" i="3"/>
  <c r="C62" i="3"/>
  <c r="C61" i="3"/>
  <c r="C60" i="3"/>
  <c r="C59" i="3"/>
  <c r="C58" i="3"/>
  <c r="C57" i="3"/>
  <c r="B56" i="3"/>
  <c r="B42" i="3"/>
  <c r="B24" i="3"/>
  <c r="B60" i="3" s="1"/>
  <c r="B16" i="3"/>
  <c r="B9" i="3"/>
  <c r="B11" i="3" s="1"/>
  <c r="B58" i="3" s="1"/>
  <c r="B7" i="3"/>
  <c r="E1" i="3"/>
  <c r="B34" i="1"/>
  <c r="B33" i="1"/>
  <c r="B32" i="1"/>
  <c r="B31" i="1"/>
  <c r="B30" i="1"/>
  <c r="F10" i="5" s="1"/>
  <c r="B29" i="1"/>
  <c r="B10" i="5" s="1"/>
  <c r="B16" i="1"/>
  <c r="B15" i="1"/>
  <c r="B14" i="1"/>
  <c r="B12" i="1"/>
  <c r="D14" i="3" s="1"/>
  <c r="B8" i="1"/>
  <c r="D22" i="3" l="1"/>
  <c r="B59" i="3"/>
  <c r="B19" i="3"/>
  <c r="B63" i="3" s="1"/>
  <c r="D31" i="3"/>
  <c r="B65" i="3" s="1"/>
  <c r="E4" i="10"/>
  <c r="F22" i="7"/>
  <c r="C14" i="6"/>
  <c r="B30" i="5"/>
  <c r="D58" i="3"/>
  <c r="H58" i="3" s="1"/>
  <c r="D60" i="3"/>
  <c r="H60" i="3" s="1"/>
  <c r="C7" i="6"/>
  <c r="B44" i="3"/>
  <c r="H56" i="3"/>
  <c r="E58" i="3"/>
  <c r="E60" i="3"/>
  <c r="C55" i="4"/>
  <c r="C31" i="4"/>
  <c r="B13" i="4"/>
  <c r="D8" i="7"/>
  <c r="F8" i="7"/>
  <c r="E31" i="4"/>
  <c r="E11" i="4"/>
  <c r="E29" i="4" s="1"/>
  <c r="C11" i="4"/>
  <c r="D32" i="4"/>
  <c r="E52" i="4"/>
  <c r="D52" i="4"/>
  <c r="C72" i="4"/>
  <c r="C75" i="4"/>
  <c r="F88" i="4"/>
  <c r="B26" i="3"/>
  <c r="B61" i="3" s="1"/>
  <c r="G14" i="6"/>
  <c r="B57" i="3"/>
  <c r="D6" i="7"/>
  <c r="C90" i="4"/>
  <c r="C25" i="4"/>
  <c r="D7" i="4"/>
  <c r="B91" i="4"/>
  <c r="D11" i="4"/>
  <c r="D29" i="4" s="1"/>
  <c r="B26" i="4"/>
  <c r="F26" i="4"/>
  <c r="B32" i="4"/>
  <c r="F32" i="4"/>
  <c r="B52" i="4"/>
  <c r="F52" i="4"/>
  <c r="E57" i="4"/>
  <c r="C57" i="4"/>
  <c r="F57" i="4"/>
  <c r="C69" i="4"/>
  <c r="B88" i="4"/>
  <c r="D88" i="4"/>
  <c r="C4" i="10"/>
  <c r="D22" i="7"/>
  <c r="B12" i="11"/>
  <c r="C11" i="6"/>
  <c r="D7" i="14"/>
  <c r="E11" i="6"/>
  <c r="C9" i="14"/>
  <c r="C13" i="11"/>
  <c r="D14" i="6"/>
  <c r="H14" i="6"/>
  <c r="F11" i="6"/>
  <c r="E21" i="6"/>
  <c r="B25" i="6"/>
  <c r="C12" i="11"/>
  <c r="F7" i="14"/>
  <c r="C6" i="6"/>
  <c r="B31" i="3"/>
  <c r="B62" i="3" s="1"/>
  <c r="B32" i="3"/>
  <c r="C32" i="4"/>
  <c r="E32" i="4"/>
  <c r="B58" i="4"/>
  <c r="B75" i="4"/>
  <c r="D10" i="5"/>
  <c r="D11" i="6"/>
  <c r="H11" i="6"/>
  <c r="G21" i="6"/>
  <c r="D29" i="11"/>
  <c r="C8" i="13"/>
  <c r="B7" i="14"/>
  <c r="H8" i="13"/>
  <c r="E14" i="6" l="1"/>
  <c r="B6" i="11"/>
  <c r="C8" i="6"/>
  <c r="I6" i="6"/>
  <c r="F14" i="6"/>
  <c r="I11" i="6"/>
  <c r="E57" i="3"/>
  <c r="D57" i="3"/>
  <c r="H57" i="3"/>
  <c r="G22" i="7"/>
  <c r="F4" i="10"/>
  <c r="F72" i="4"/>
  <c r="D72" i="4"/>
  <c r="B72" i="4"/>
  <c r="E72" i="4"/>
  <c r="C15" i="4"/>
  <c r="B46" i="3"/>
  <c r="F10" i="13"/>
  <c r="F13" i="12"/>
  <c r="D65" i="3"/>
  <c r="E65" i="3"/>
  <c r="D32" i="3"/>
  <c r="D46" i="3" s="1"/>
  <c r="B64" i="3"/>
  <c r="H30" i="3"/>
  <c r="F58" i="4"/>
  <c r="D58" i="4"/>
  <c r="E58" i="4"/>
  <c r="C58" i="4"/>
  <c r="D62" i="3"/>
  <c r="H62" i="3" s="1"/>
  <c r="E62" i="3"/>
  <c r="D12" i="11"/>
  <c r="D10" i="13"/>
  <c r="D13" i="12"/>
  <c r="E22" i="7"/>
  <c r="D4" i="10"/>
  <c r="C22" i="7"/>
  <c r="B4" i="10"/>
  <c r="E69" i="4"/>
  <c r="D69" i="4"/>
  <c r="F69" i="4"/>
  <c r="B69" i="4"/>
  <c r="F15" i="4"/>
  <c r="F33" i="4" s="1"/>
  <c r="G32" i="5" s="1"/>
  <c r="G15" i="7" s="1"/>
  <c r="G26" i="4"/>
  <c r="E6" i="7"/>
  <c r="D25" i="4"/>
  <c r="D90" i="4"/>
  <c r="E7" i="4"/>
  <c r="E61" i="3"/>
  <c r="D61" i="3"/>
  <c r="H61" i="3"/>
  <c r="F75" i="4"/>
  <c r="D75" i="4"/>
  <c r="E75" i="4"/>
  <c r="C29" i="4"/>
  <c r="B11" i="4"/>
  <c r="B29" i="4" s="1"/>
  <c r="D15" i="4"/>
  <c r="D33" i="4" s="1"/>
  <c r="C8" i="7"/>
  <c r="B31" i="4"/>
  <c r="E55" i="4"/>
  <c r="F55" i="4"/>
  <c r="B55" i="4"/>
  <c r="D55" i="4"/>
  <c r="B66" i="3"/>
  <c r="E15" i="4"/>
  <c r="E33" i="4" s="1"/>
  <c r="F32" i="5" s="1"/>
  <c r="F15" i="7" s="1"/>
  <c r="I14" i="6"/>
  <c r="H63" i="3"/>
  <c r="D63" i="3"/>
  <c r="E63" i="3"/>
  <c r="E59" i="3"/>
  <c r="D59" i="3"/>
  <c r="H59" i="3" s="1"/>
  <c r="C71" i="4" l="1"/>
  <c r="F12" i="4"/>
  <c r="D12" i="4"/>
  <c r="C12" i="4"/>
  <c r="E12" i="4"/>
  <c r="C13" i="12"/>
  <c r="G4" i="10"/>
  <c r="C10" i="13"/>
  <c r="D64" i="3"/>
  <c r="H64" i="3" s="1"/>
  <c r="H66" i="3" s="1"/>
  <c r="E64" i="3"/>
  <c r="B4" i="8"/>
  <c r="B47" i="3"/>
  <c r="B49" i="3" s="1"/>
  <c r="E66" i="3"/>
  <c r="B19" i="14"/>
  <c r="B22" i="14" s="1"/>
  <c r="C19" i="14" s="1"/>
  <c r="D6" i="11"/>
  <c r="E90" i="4"/>
  <c r="E25" i="4"/>
  <c r="F7" i="4"/>
  <c r="F6" i="7"/>
  <c r="E13" i="12"/>
  <c r="E10" i="13"/>
  <c r="D47" i="3"/>
  <c r="D49" i="3" s="1"/>
  <c r="C33" i="4"/>
  <c r="B15" i="4"/>
  <c r="B33" i="4" s="1"/>
  <c r="C32" i="5" s="1"/>
  <c r="C15" i="7" s="1"/>
  <c r="G13" i="12"/>
  <c r="G10" i="13"/>
  <c r="D66" i="3"/>
  <c r="C21" i="6"/>
  <c r="B9" i="8" l="1"/>
  <c r="D21" i="14"/>
  <c r="E21" i="14"/>
  <c r="C21" i="14"/>
  <c r="C22" i="14"/>
  <c r="D19" i="14" s="1"/>
  <c r="D22" i="14" s="1"/>
  <c r="E19" i="14" s="1"/>
  <c r="E22" i="14" s="1"/>
  <c r="F19" i="14" s="1"/>
  <c r="H10" i="13"/>
  <c r="F7" i="7"/>
  <c r="F12" i="7" s="1"/>
  <c r="E30" i="4"/>
  <c r="D7" i="7"/>
  <c r="D12" i="7" s="1"/>
  <c r="C30" i="4"/>
  <c r="B12" i="4"/>
  <c r="G7" i="7"/>
  <c r="F30" i="4"/>
  <c r="E71" i="4"/>
  <c r="F19" i="7" s="1"/>
  <c r="F8" i="12" s="1"/>
  <c r="D19" i="7"/>
  <c r="D8" i="12" s="1"/>
  <c r="F71" i="4"/>
  <c r="G19" i="7" s="1"/>
  <c r="G8" i="12" s="1"/>
  <c r="B71" i="4"/>
  <c r="C19" i="7" s="1"/>
  <c r="C8" i="12" s="1"/>
  <c r="D71" i="4"/>
  <c r="E19" i="7" s="1"/>
  <c r="E8" i="12" s="1"/>
  <c r="D32" i="5"/>
  <c r="D15" i="7" s="1"/>
  <c r="G6" i="7"/>
  <c r="G12" i="7" s="1"/>
  <c r="F90" i="4"/>
  <c r="F25" i="4"/>
  <c r="E32" i="5"/>
  <c r="E15" i="7" s="1"/>
  <c r="F21" i="14"/>
  <c r="G21" i="14"/>
  <c r="E7" i="7"/>
  <c r="E12" i="7" s="1"/>
  <c r="D30" i="4"/>
  <c r="F22" i="14" l="1"/>
  <c r="G19" i="14" s="1"/>
  <c r="G22" i="14" s="1"/>
  <c r="C7" i="7"/>
  <c r="C12" i="7" s="1"/>
  <c r="G32" i="4"/>
  <c r="G31" i="4"/>
  <c r="G30" i="4"/>
  <c r="B30" i="4"/>
  <c r="G35" i="4" l="1"/>
  <c r="C13" i="7" l="1"/>
  <c r="B41" i="4"/>
  <c r="C38" i="3" s="1"/>
  <c r="B97" i="4"/>
  <c r="D7" i="6" l="1"/>
  <c r="C44" i="3"/>
  <c r="B5" i="8" l="1"/>
  <c r="C7" i="11"/>
  <c r="C46" i="3"/>
  <c r="B68" i="3"/>
  <c r="D8" i="6"/>
  <c r="I7" i="6"/>
  <c r="D21" i="6" l="1"/>
  <c r="B5" i="9"/>
  <c r="I8" i="6"/>
  <c r="C47" i="3"/>
  <c r="C49" i="3" s="1"/>
  <c r="B11" i="8"/>
  <c r="H68" i="3"/>
  <c r="H71" i="3" s="1"/>
  <c r="D68" i="3"/>
  <c r="E68" i="3"/>
  <c r="B71" i="3"/>
  <c r="C15" i="14"/>
  <c r="C8" i="11"/>
  <c r="G16" i="14" l="1"/>
  <c r="F16" i="14"/>
  <c r="E71" i="3"/>
  <c r="D5" i="9"/>
  <c r="F5" i="9"/>
  <c r="I21" i="6"/>
  <c r="C14" i="13"/>
  <c r="C10" i="11"/>
  <c r="C25" i="11" s="1"/>
  <c r="C9" i="11"/>
  <c r="E16" i="14"/>
  <c r="B10" i="4"/>
  <c r="C10" i="4"/>
  <c r="D10" i="4"/>
  <c r="D71" i="3"/>
  <c r="J8" i="15" l="1"/>
  <c r="E25" i="13"/>
  <c r="I7" i="8"/>
  <c r="I5" i="8"/>
  <c r="D125" i="4"/>
  <c r="B125" i="4"/>
  <c r="C53" i="4"/>
  <c r="I6" i="8"/>
  <c r="C125" i="4"/>
  <c r="C28" i="4"/>
  <c r="C16" i="4"/>
  <c r="C34" i="4" s="1"/>
  <c r="J10" i="15"/>
  <c r="J9" i="15"/>
  <c r="G25" i="13"/>
  <c r="F25" i="13"/>
  <c r="I9" i="8"/>
  <c r="I8" i="8"/>
  <c r="F125" i="4"/>
  <c r="E53" i="4"/>
  <c r="F10" i="4"/>
  <c r="E125" i="4"/>
  <c r="E10" i="4"/>
  <c r="D92" i="4"/>
  <c r="D94" i="4" s="1"/>
  <c r="D28" i="4"/>
  <c r="D17" i="4"/>
  <c r="D16" i="4"/>
  <c r="D34" i="4" s="1"/>
  <c r="B28" i="4"/>
  <c r="B16" i="4"/>
  <c r="B34" i="4" s="1"/>
  <c r="B17" i="4"/>
  <c r="B6" i="15"/>
  <c r="B30" i="11"/>
  <c r="C30" i="9"/>
  <c r="E30" i="9" s="1"/>
  <c r="F18" i="13" s="1"/>
  <c r="C28" i="9"/>
  <c r="C26" i="9"/>
  <c r="B23" i="9"/>
  <c r="B16" i="9"/>
  <c r="B14" i="9"/>
  <c r="B13" i="9"/>
  <c r="C29" i="9"/>
  <c r="B22" i="9"/>
  <c r="D23" i="9" s="1"/>
  <c r="B15" i="9"/>
  <c r="C31" i="9"/>
  <c r="E32" i="9" s="1"/>
  <c r="G18" i="13" s="1"/>
  <c r="C27" i="9"/>
  <c r="D8" i="9"/>
  <c r="I13" i="9" l="1"/>
  <c r="I21" i="9" s="1"/>
  <c r="I33" i="9" s="1"/>
  <c r="D14" i="9"/>
  <c r="C33" i="9"/>
  <c r="E26" i="9"/>
  <c r="B46" i="4"/>
  <c r="B39" i="4"/>
  <c r="B20" i="4"/>
  <c r="B19" i="4"/>
  <c r="B47" i="4"/>
  <c r="C17" i="5"/>
  <c r="B35" i="4"/>
  <c r="C18" i="5"/>
  <c r="D46" i="4"/>
  <c r="D39" i="4"/>
  <c r="D19" i="4"/>
  <c r="D20" i="4"/>
  <c r="D47" i="4"/>
  <c r="E28" i="4"/>
  <c r="E16" i="4"/>
  <c r="E34" i="4" s="1"/>
  <c r="F33" i="5" s="1"/>
  <c r="F92" i="4"/>
  <c r="F94" i="4" s="1"/>
  <c r="F28" i="4"/>
  <c r="F17" i="4"/>
  <c r="F16" i="4"/>
  <c r="F34" i="4" s="1"/>
  <c r="D17" i="5"/>
  <c r="C35" i="4"/>
  <c r="D18" i="5"/>
  <c r="I11" i="8"/>
  <c r="M18" i="8" s="1"/>
  <c r="D16" i="9"/>
  <c r="I15" i="9"/>
  <c r="D15" i="9"/>
  <c r="I14" i="9"/>
  <c r="B24" i="9"/>
  <c r="D24" i="9"/>
  <c r="G24" i="9" s="1"/>
  <c r="E28" i="9"/>
  <c r="E18" i="13" s="1"/>
  <c r="B9" i="13"/>
  <c r="D30" i="11"/>
  <c r="B92" i="4"/>
  <c r="B94" i="4" s="1"/>
  <c r="E33" i="5"/>
  <c r="E17" i="5"/>
  <c r="D35" i="4"/>
  <c r="E18" i="5"/>
  <c r="F53" i="4"/>
  <c r="E70" i="4"/>
  <c r="C17" i="4"/>
  <c r="C92" i="4"/>
  <c r="C94" i="4" s="1"/>
  <c r="C70" i="4"/>
  <c r="B53" i="4"/>
  <c r="D53" i="4"/>
  <c r="H24" i="9" l="1"/>
  <c r="C9" i="12"/>
  <c r="I6" i="15"/>
  <c r="D70" i="4"/>
  <c r="B70" i="4"/>
  <c r="C76" i="4"/>
  <c r="C78" i="4" s="1"/>
  <c r="C39" i="4"/>
  <c r="C19" i="4"/>
  <c r="C46" i="4"/>
  <c r="C47" i="4"/>
  <c r="C20" i="4"/>
  <c r="E12" i="5"/>
  <c r="E16" i="7"/>
  <c r="E17" i="7" s="1"/>
  <c r="D25" i="9"/>
  <c r="F24" i="9"/>
  <c r="B25" i="9"/>
  <c r="F46" i="4"/>
  <c r="F39" i="4"/>
  <c r="F19" i="4"/>
  <c r="F47" i="4"/>
  <c r="F20" i="4"/>
  <c r="F16" i="7"/>
  <c r="F17" i="7" s="1"/>
  <c r="F17" i="5"/>
  <c r="E35" i="4"/>
  <c r="F18" i="5"/>
  <c r="C12" i="5"/>
  <c r="D16" i="6" s="1"/>
  <c r="C42" i="4"/>
  <c r="C98" i="4" s="1"/>
  <c r="C100" i="4" s="1"/>
  <c r="B42" i="4"/>
  <c r="B98" i="4" s="1"/>
  <c r="F70" i="4"/>
  <c r="E76" i="4"/>
  <c r="E78" i="4" s="1"/>
  <c r="B100" i="4"/>
  <c r="H9" i="13"/>
  <c r="B29" i="14"/>
  <c r="B28" i="14" s="1"/>
  <c r="B30" i="14" s="1"/>
  <c r="D12" i="5"/>
  <c r="E16" i="6" s="1"/>
  <c r="D42" i="4"/>
  <c r="D98" i="4" s="1"/>
  <c r="D100" i="4" s="1"/>
  <c r="G33" i="5"/>
  <c r="G17" i="5"/>
  <c r="F35" i="4"/>
  <c r="G12" i="5" s="1"/>
  <c r="G18" i="5"/>
  <c r="E17" i="4"/>
  <c r="E92" i="4"/>
  <c r="E94" i="4" s="1"/>
  <c r="D43" i="4"/>
  <c r="C17" i="11"/>
  <c r="B43" i="4"/>
  <c r="D18" i="13"/>
  <c r="H18" i="13" s="1"/>
  <c r="E33" i="9"/>
  <c r="D21" i="9"/>
  <c r="C102" i="4" l="1"/>
  <c r="E110" i="4"/>
  <c r="E9" i="10" s="1"/>
  <c r="C110" i="4"/>
  <c r="C9" i="10" s="1"/>
  <c r="C80" i="4"/>
  <c r="B129" i="4"/>
  <c r="B44" i="4"/>
  <c r="D129" i="4"/>
  <c r="D44" i="4"/>
  <c r="E39" i="4"/>
  <c r="E19" i="4"/>
  <c r="E46" i="4"/>
  <c r="E47" i="4"/>
  <c r="E20" i="4"/>
  <c r="H16" i="6"/>
  <c r="G16" i="7"/>
  <c r="G17" i="7" s="1"/>
  <c r="F76" i="4"/>
  <c r="F78" i="4" s="1"/>
  <c r="B128" i="4"/>
  <c r="D128" i="4"/>
  <c r="F12" i="5"/>
  <c r="G16" i="6" s="1"/>
  <c r="F42" i="4"/>
  <c r="F98" i="4" s="1"/>
  <c r="F100" i="4" s="1"/>
  <c r="D26" i="9"/>
  <c r="B26" i="9"/>
  <c r="G26" i="9"/>
  <c r="F16" i="6"/>
  <c r="B76" i="4"/>
  <c r="B78" i="4" s="1"/>
  <c r="G21" i="9"/>
  <c r="D17" i="11"/>
  <c r="C18" i="11"/>
  <c r="D18" i="11" s="1"/>
  <c r="D102" i="4"/>
  <c r="B102" i="4"/>
  <c r="I16" i="6"/>
  <c r="F6" i="12"/>
  <c r="C27" i="14"/>
  <c r="C25" i="14" s="1"/>
  <c r="C30" i="14" s="1"/>
  <c r="E6" i="12"/>
  <c r="E42" i="4"/>
  <c r="E98" i="4" s="1"/>
  <c r="E100" i="4" s="1"/>
  <c r="C43" i="4"/>
  <c r="D76" i="4"/>
  <c r="D78" i="4"/>
  <c r="E102" i="4" l="1"/>
  <c r="B132" i="4"/>
  <c r="B41" i="11" s="1"/>
  <c r="B110" i="4"/>
  <c r="B9" i="10" s="1"/>
  <c r="B80" i="4"/>
  <c r="B81" i="4" s="1"/>
  <c r="B133" i="4" s="1"/>
  <c r="B40" i="11" s="1"/>
  <c r="F110" i="4"/>
  <c r="F9" i="10" s="1"/>
  <c r="D133" i="4"/>
  <c r="D40" i="11" s="1"/>
  <c r="D110" i="4"/>
  <c r="D9" i="10" s="1"/>
  <c r="C129" i="4"/>
  <c r="C44" i="4"/>
  <c r="C54" i="4"/>
  <c r="I7" i="15"/>
  <c r="D9" i="12"/>
  <c r="F102" i="4"/>
  <c r="G13" i="5" s="1"/>
  <c r="D37" i="11"/>
  <c r="G6" i="12"/>
  <c r="C81" i="4"/>
  <c r="C133" i="4" s="1"/>
  <c r="C40" i="11" s="1"/>
  <c r="F80" i="4"/>
  <c r="F81" i="4" s="1"/>
  <c r="F133" i="4" s="1"/>
  <c r="F40" i="11" s="1"/>
  <c r="D80" i="4"/>
  <c r="D81" i="4" s="1"/>
  <c r="E80" i="4"/>
  <c r="C128" i="4"/>
  <c r="B105" i="4"/>
  <c r="C13" i="5"/>
  <c r="E105" i="4"/>
  <c r="E107" i="4" s="1"/>
  <c r="E13" i="5"/>
  <c r="I5" i="15"/>
  <c r="C16" i="14"/>
  <c r="C10" i="10"/>
  <c r="C42" i="11" s="1"/>
  <c r="D16" i="14"/>
  <c r="B10" i="10"/>
  <c r="B7" i="11"/>
  <c r="J6" i="15"/>
  <c r="D25" i="13"/>
  <c r="J7" i="15"/>
  <c r="C25" i="13"/>
  <c r="H25" i="13" s="1"/>
  <c r="D27" i="14"/>
  <c r="D25" i="14" s="1"/>
  <c r="D30" i="14" s="1"/>
  <c r="D27" i="9"/>
  <c r="B27" i="9"/>
  <c r="F26" i="9"/>
  <c r="F43" i="4"/>
  <c r="B37" i="11"/>
  <c r="E128" i="4"/>
  <c r="E43" i="4"/>
  <c r="D36" i="11"/>
  <c r="B36" i="11"/>
  <c r="C132" i="4"/>
  <c r="C41" i="11" s="1"/>
  <c r="D13" i="5"/>
  <c r="D105" i="4"/>
  <c r="D107" i="4" s="1"/>
  <c r="E37" i="11" l="1"/>
  <c r="B14" i="14"/>
  <c r="B17" i="14" s="1"/>
  <c r="D7" i="11"/>
  <c r="B8" i="11"/>
  <c r="L5" i="15"/>
  <c r="C105" i="4"/>
  <c r="C107" i="4" s="1"/>
  <c r="B107" i="4"/>
  <c r="E81" i="4"/>
  <c r="E133" i="4" s="1"/>
  <c r="E40" i="11" s="1"/>
  <c r="E132" i="4"/>
  <c r="E41" i="11" s="1"/>
  <c r="H26" i="9"/>
  <c r="D18" i="7"/>
  <c r="D7" i="12" s="1"/>
  <c r="E54" i="4"/>
  <c r="F54" i="4"/>
  <c r="B54" i="4"/>
  <c r="D54" i="4"/>
  <c r="D11" i="5"/>
  <c r="C59" i="4"/>
  <c r="C61" i="4" s="1"/>
  <c r="C36" i="11"/>
  <c r="F132" i="4"/>
  <c r="F41" i="11" s="1"/>
  <c r="G9" i="10"/>
  <c r="E17" i="6"/>
  <c r="D33" i="5"/>
  <c r="E129" i="4"/>
  <c r="E44" i="4"/>
  <c r="F129" i="4"/>
  <c r="F44" i="4"/>
  <c r="F128" i="4"/>
  <c r="B28" i="9"/>
  <c r="D28" i="9"/>
  <c r="G28" i="9" s="1"/>
  <c r="J12" i="15"/>
  <c r="B42" i="11"/>
  <c r="F17" i="6"/>
  <c r="D17" i="6"/>
  <c r="C33" i="5"/>
  <c r="C37" i="11"/>
  <c r="D132" i="4"/>
  <c r="D41" i="11" s="1"/>
  <c r="F13" i="5"/>
  <c r="G17" i="6" s="1"/>
  <c r="F105" i="4"/>
  <c r="F107" i="4" s="1"/>
  <c r="E9" i="12" l="1"/>
  <c r="I8" i="15"/>
  <c r="D10" i="10"/>
  <c r="C131" i="4"/>
  <c r="C130" i="4"/>
  <c r="C109" i="4"/>
  <c r="C8" i="10" s="1"/>
  <c r="M18" i="6"/>
  <c r="N18" i="6"/>
  <c r="F37" i="11"/>
  <c r="F36" i="11"/>
  <c r="E36" i="11"/>
  <c r="E18" i="7"/>
  <c r="E11" i="5"/>
  <c r="D59" i="4"/>
  <c r="D61" i="4" s="1"/>
  <c r="G18" i="7"/>
  <c r="G11" i="5"/>
  <c r="F59" i="4"/>
  <c r="F61" i="4" s="1"/>
  <c r="H17" i="6"/>
  <c r="I17" i="6" s="1"/>
  <c r="C112" i="4"/>
  <c r="C16" i="7"/>
  <c r="C17" i="7" s="1"/>
  <c r="E27" i="14"/>
  <c r="E25" i="14" s="1"/>
  <c r="E30" i="14" s="1"/>
  <c r="D29" i="9"/>
  <c r="B29" i="9"/>
  <c r="F28" i="9"/>
  <c r="D16" i="7"/>
  <c r="D17" i="7" s="1"/>
  <c r="D9" i="5"/>
  <c r="C18" i="7"/>
  <c r="C7" i="12" s="1"/>
  <c r="C11" i="5"/>
  <c r="B59" i="4"/>
  <c r="B61" i="4"/>
  <c r="F18" i="7"/>
  <c r="F11" i="5"/>
  <c r="E59" i="4"/>
  <c r="E61" i="4" s="1"/>
  <c r="B9" i="11"/>
  <c r="B14" i="13"/>
  <c r="B10" i="11"/>
  <c r="D8" i="11"/>
  <c r="C14" i="14"/>
  <c r="C17" i="14" s="1"/>
  <c r="B12" i="14"/>
  <c r="E131" i="4" l="1"/>
  <c r="E130" i="4"/>
  <c r="E109" i="4"/>
  <c r="F130" i="4"/>
  <c r="F109" i="4"/>
  <c r="F131" i="4"/>
  <c r="D130" i="4"/>
  <c r="D109" i="4"/>
  <c r="D131" i="4"/>
  <c r="C12" i="14"/>
  <c r="D14" i="14"/>
  <c r="D17" i="14" s="1"/>
  <c r="B25" i="11"/>
  <c r="D10" i="11"/>
  <c r="D9" i="11"/>
  <c r="G15" i="6"/>
  <c r="G18" i="6" s="1"/>
  <c r="F31" i="5"/>
  <c r="F34" i="5" s="1"/>
  <c r="F9" i="5"/>
  <c r="B130" i="4"/>
  <c r="B109" i="4"/>
  <c r="B131" i="4"/>
  <c r="B11" i="5"/>
  <c r="D15" i="6"/>
  <c r="D18" i="6" s="1"/>
  <c r="C31" i="5"/>
  <c r="C34" i="5" s="1"/>
  <c r="C21" i="11" s="1"/>
  <c r="C9" i="5"/>
  <c r="D10" i="14"/>
  <c r="D15" i="5"/>
  <c r="E15" i="6"/>
  <c r="E18" i="6" s="1"/>
  <c r="D6" i="12"/>
  <c r="D10" i="12" s="1"/>
  <c r="D12" i="12" s="1"/>
  <c r="D14" i="12" s="1"/>
  <c r="D21" i="7"/>
  <c r="D23" i="7" s="1"/>
  <c r="D30" i="9"/>
  <c r="B30" i="9"/>
  <c r="G7" i="12"/>
  <c r="G21" i="7"/>
  <c r="G23" i="7" s="1"/>
  <c r="E7" i="12"/>
  <c r="E10" i="12" s="1"/>
  <c r="E12" i="12" s="1"/>
  <c r="E14" i="12" s="1"/>
  <c r="E21" i="7"/>
  <c r="E23" i="7" s="1"/>
  <c r="C39" i="11"/>
  <c r="C135" i="4"/>
  <c r="D42" i="11"/>
  <c r="B5" i="15"/>
  <c r="H14" i="13"/>
  <c r="F7" i="12"/>
  <c r="F21" i="7"/>
  <c r="F23" i="7" s="1"/>
  <c r="D31" i="5"/>
  <c r="D34" i="5" s="1"/>
  <c r="G30" i="9"/>
  <c r="C6" i="12"/>
  <c r="C10" i="12" s="1"/>
  <c r="C12" i="12" s="1"/>
  <c r="C14" i="12" s="1"/>
  <c r="C21" i="7"/>
  <c r="C23" i="7" s="1"/>
  <c r="C5" i="10"/>
  <c r="C114" i="4"/>
  <c r="C116" i="4"/>
  <c r="H15" i="6"/>
  <c r="H18" i="6" s="1"/>
  <c r="G31" i="5"/>
  <c r="G34" i="5" s="1"/>
  <c r="G9" i="5"/>
  <c r="F15" i="6"/>
  <c r="F18" i="6" s="1"/>
  <c r="E31" i="5"/>
  <c r="E34" i="5" s="1"/>
  <c r="E9" i="5"/>
  <c r="C38" i="11"/>
  <c r="C134" i="4"/>
  <c r="H28" i="9"/>
  <c r="G10" i="14" l="1"/>
  <c r="G15" i="5"/>
  <c r="H25" i="6"/>
  <c r="H22" i="6"/>
  <c r="H23" i="6" s="1"/>
  <c r="G26" i="7" s="1"/>
  <c r="I9" i="15"/>
  <c r="F9" i="12"/>
  <c r="E10" i="10"/>
  <c r="F10" i="12"/>
  <c r="F12" i="12" s="1"/>
  <c r="F14" i="12" s="1"/>
  <c r="C10" i="14"/>
  <c r="C15" i="5"/>
  <c r="D22" i="6"/>
  <c r="D23" i="6" s="1"/>
  <c r="C26" i="7" s="1"/>
  <c r="D25" i="6"/>
  <c r="B38" i="11"/>
  <c r="B134" i="4"/>
  <c r="B39" i="11"/>
  <c r="B135" i="4"/>
  <c r="E14" i="14"/>
  <c r="E17" i="14" s="1"/>
  <c r="D12" i="14"/>
  <c r="D38" i="11"/>
  <c r="D134" i="4"/>
  <c r="D39" i="11"/>
  <c r="D135" i="4"/>
  <c r="F8" i="10"/>
  <c r="F112" i="4"/>
  <c r="E8" i="10"/>
  <c r="E112" i="4"/>
  <c r="E38" i="11"/>
  <c r="E134" i="4"/>
  <c r="E135" i="4" s="1"/>
  <c r="E10" i="14"/>
  <c r="E15" i="5"/>
  <c r="C7" i="8"/>
  <c r="F25" i="6"/>
  <c r="F22" i="6"/>
  <c r="F23" i="6" s="1"/>
  <c r="E26" i="7" s="1"/>
  <c r="H6" i="8"/>
  <c r="C117" i="4"/>
  <c r="E6" i="8" s="1"/>
  <c r="D16" i="13"/>
  <c r="C6" i="10"/>
  <c r="C11" i="10" s="1"/>
  <c r="B10" i="15"/>
  <c r="C43" i="11"/>
  <c r="C44" i="11"/>
  <c r="F27" i="14"/>
  <c r="F25" i="14" s="1"/>
  <c r="F30" i="14" s="1"/>
  <c r="D31" i="9"/>
  <c r="B31" i="9"/>
  <c r="F30" i="9"/>
  <c r="H30" i="9" s="1"/>
  <c r="E22" i="6"/>
  <c r="E23" i="6" s="1"/>
  <c r="D26" i="7" s="1"/>
  <c r="C15" i="6"/>
  <c r="B31" i="5"/>
  <c r="B34" i="5" s="1"/>
  <c r="B21" i="11" s="1"/>
  <c r="B9" i="5"/>
  <c r="B8" i="10"/>
  <c r="B112" i="4"/>
  <c r="F10" i="14"/>
  <c r="F15" i="5"/>
  <c r="G22" i="6"/>
  <c r="G23" i="6" s="1"/>
  <c r="F26" i="7" s="1"/>
  <c r="C8" i="8"/>
  <c r="G25" i="6"/>
  <c r="D25" i="11"/>
  <c r="D8" i="10"/>
  <c r="D112" i="4"/>
  <c r="F38" i="11"/>
  <c r="F134" i="4"/>
  <c r="F39" i="11"/>
  <c r="F135" i="4"/>
  <c r="E39" i="11"/>
  <c r="E43" i="11" l="1"/>
  <c r="F43" i="11"/>
  <c r="F24" i="5"/>
  <c r="B5" i="10"/>
  <c r="B114" i="4"/>
  <c r="B116" i="4"/>
  <c r="B10" i="14"/>
  <c r="B14" i="11"/>
  <c r="B15" i="5"/>
  <c r="I15" i="6"/>
  <c r="C22" i="6"/>
  <c r="C18" i="6"/>
  <c r="D17" i="12"/>
  <c r="D6" i="8"/>
  <c r="D28" i="7"/>
  <c r="B12" i="15"/>
  <c r="L25" i="15" s="1"/>
  <c r="E24" i="5"/>
  <c r="E5" i="10"/>
  <c r="E114" i="4"/>
  <c r="E116" i="4"/>
  <c r="F5" i="10"/>
  <c r="F114" i="4"/>
  <c r="F116" i="4"/>
  <c r="C17" i="12"/>
  <c r="D5" i="8"/>
  <c r="C14" i="11"/>
  <c r="C15" i="11" s="1"/>
  <c r="D5" i="10"/>
  <c r="D114" i="4"/>
  <c r="D116" i="4"/>
  <c r="F17" i="12"/>
  <c r="D8" i="8"/>
  <c r="F28" i="7"/>
  <c r="G8" i="10"/>
  <c r="D21" i="11"/>
  <c r="E25" i="6"/>
  <c r="D32" i="9"/>
  <c r="D33" i="9" s="1"/>
  <c r="B32" i="9"/>
  <c r="F32" i="9" s="1"/>
  <c r="F33" i="9" s="1"/>
  <c r="C13" i="10"/>
  <c r="C12" i="10"/>
  <c r="H7" i="15"/>
  <c r="C118" i="4"/>
  <c r="F6" i="8" s="1"/>
  <c r="C120" i="4"/>
  <c r="E28" i="7"/>
  <c r="E17" i="12"/>
  <c r="D7" i="8"/>
  <c r="D43" i="11"/>
  <c r="D44" i="11" s="1"/>
  <c r="E12" i="14"/>
  <c r="F14" i="14"/>
  <c r="F17" i="14" s="1"/>
  <c r="B43" i="11"/>
  <c r="B44" i="11"/>
  <c r="D24" i="5"/>
  <c r="E42" i="11"/>
  <c r="E44" i="11" s="1"/>
  <c r="G17" i="12"/>
  <c r="D9" i="8"/>
  <c r="G28" i="7"/>
  <c r="C10" i="15"/>
  <c r="G24" i="5"/>
  <c r="G15" i="13" s="1"/>
  <c r="G14" i="14" l="1"/>
  <c r="G17" i="14" s="1"/>
  <c r="G12" i="14" s="1"/>
  <c r="F12" i="14"/>
  <c r="D8" i="15"/>
  <c r="E21" i="13"/>
  <c r="E19" i="12"/>
  <c r="E21" i="12"/>
  <c r="C124" i="4"/>
  <c r="C126" i="4" s="1"/>
  <c r="C121" i="4"/>
  <c r="D19" i="5" s="1"/>
  <c r="D22" i="5" s="1"/>
  <c r="F7" i="15"/>
  <c r="D17" i="13"/>
  <c r="H7" i="8"/>
  <c r="D118" i="4"/>
  <c r="F7" i="8" s="1"/>
  <c r="D117" i="4"/>
  <c r="D120" i="4"/>
  <c r="E16" i="13"/>
  <c r="D6" i="10"/>
  <c r="D11" i="10" s="1"/>
  <c r="C22" i="11"/>
  <c r="D6" i="15"/>
  <c r="C21" i="13"/>
  <c r="H8" i="8"/>
  <c r="E117" i="4"/>
  <c r="E9" i="8" s="1"/>
  <c r="E118" i="4"/>
  <c r="F8" i="8" s="1"/>
  <c r="F16" i="13"/>
  <c r="E6" i="10"/>
  <c r="E11" i="10" s="1"/>
  <c r="C8" i="15"/>
  <c r="E15" i="13"/>
  <c r="B29" i="15"/>
  <c r="C29" i="15" s="1"/>
  <c r="J6" i="8"/>
  <c r="K6" i="8" s="1"/>
  <c r="D30" i="7"/>
  <c r="D21" i="13"/>
  <c r="D7" i="15"/>
  <c r="D19" i="12"/>
  <c r="D21" i="12"/>
  <c r="I22" i="6"/>
  <c r="C23" i="6"/>
  <c r="B24" i="5"/>
  <c r="B22" i="5"/>
  <c r="J9" i="8"/>
  <c r="G30" i="7"/>
  <c r="D10" i="15"/>
  <c r="G21" i="13"/>
  <c r="G19" i="12"/>
  <c r="C7" i="15"/>
  <c r="D15" i="13"/>
  <c r="D13" i="13" s="1"/>
  <c r="C24" i="5"/>
  <c r="J7" i="8"/>
  <c r="E30" i="7"/>
  <c r="E7" i="15"/>
  <c r="D19" i="13"/>
  <c r="C14" i="10"/>
  <c r="D33" i="14" s="1"/>
  <c r="J8" i="8"/>
  <c r="F30" i="7"/>
  <c r="F21" i="13"/>
  <c r="D9" i="15"/>
  <c r="F19" i="12"/>
  <c r="F21" i="12"/>
  <c r="H9" i="8"/>
  <c r="F117" i="4"/>
  <c r="F6" i="10"/>
  <c r="G32" i="9"/>
  <c r="G6" i="8"/>
  <c r="C4" i="8"/>
  <c r="B6" i="9"/>
  <c r="I18" i="6"/>
  <c r="C25" i="6"/>
  <c r="I25" i="6" s="1"/>
  <c r="C5" i="8"/>
  <c r="D14" i="11"/>
  <c r="D15" i="11" s="1"/>
  <c r="B15" i="11"/>
  <c r="B22" i="11" s="1"/>
  <c r="H5" i="8"/>
  <c r="B117" i="4"/>
  <c r="E5" i="8" s="1"/>
  <c r="C16" i="13"/>
  <c r="G5" i="10"/>
  <c r="G6" i="10" s="1"/>
  <c r="B6" i="10"/>
  <c r="B11" i="10" s="1"/>
  <c r="C9" i="15"/>
  <c r="F15" i="13"/>
  <c r="H6" i="15" l="1"/>
  <c r="B12" i="10"/>
  <c r="B13" i="10"/>
  <c r="H11" i="8"/>
  <c r="F6" i="9"/>
  <c r="B8" i="9"/>
  <c r="F118" i="4"/>
  <c r="F9" i="8" s="1"/>
  <c r="G11" i="13"/>
  <c r="K10" i="15"/>
  <c r="C5" i="15"/>
  <c r="B15" i="13"/>
  <c r="K7" i="15"/>
  <c r="L7" i="15" s="1"/>
  <c r="M7" i="15" s="1"/>
  <c r="D11" i="13"/>
  <c r="L6" i="8"/>
  <c r="E12" i="10"/>
  <c r="H9" i="15"/>
  <c r="E120" i="4"/>
  <c r="H8" i="15"/>
  <c r="D12" i="10"/>
  <c r="D121" i="4"/>
  <c r="E19" i="5" s="1"/>
  <c r="E22" i="5" s="1"/>
  <c r="E25" i="5" s="1"/>
  <c r="E36" i="5" s="1"/>
  <c r="D124" i="4"/>
  <c r="D126" i="4" s="1"/>
  <c r="K8" i="15"/>
  <c r="E11" i="13"/>
  <c r="B118" i="4"/>
  <c r="D22" i="11"/>
  <c r="C9" i="8"/>
  <c r="G9" i="8" s="1"/>
  <c r="I10" i="15"/>
  <c r="I12" i="15" s="1"/>
  <c r="F10" i="10"/>
  <c r="G9" i="12"/>
  <c r="G10" i="12" s="1"/>
  <c r="G12" i="12" s="1"/>
  <c r="G14" i="12" s="1"/>
  <c r="G21" i="12" s="1"/>
  <c r="G33" i="9"/>
  <c r="K9" i="8"/>
  <c r="L9" i="8" s="1"/>
  <c r="K9" i="15"/>
  <c r="F11" i="13"/>
  <c r="C6" i="15"/>
  <c r="C15" i="13"/>
  <c r="G7" i="15"/>
  <c r="B20" i="11"/>
  <c r="B25" i="5"/>
  <c r="B36" i="5" s="1"/>
  <c r="I23" i="6"/>
  <c r="B27" i="7"/>
  <c r="B26" i="7"/>
  <c r="B7" i="9"/>
  <c r="K8" i="8"/>
  <c r="E7" i="8"/>
  <c r="G7" i="8" s="1"/>
  <c r="E8" i="8"/>
  <c r="G8" i="8" s="1"/>
  <c r="K7" i="8"/>
  <c r="L7" i="8" s="1"/>
  <c r="B17" i="12" l="1"/>
  <c r="C25" i="7"/>
  <c r="C28" i="7" s="1"/>
  <c r="D4" i="8"/>
  <c r="B23" i="11"/>
  <c r="F5" i="8"/>
  <c r="B120" i="4"/>
  <c r="E8" i="15"/>
  <c r="E19" i="13"/>
  <c r="D13" i="10"/>
  <c r="E124" i="4"/>
  <c r="E126" i="4" s="1"/>
  <c r="E121" i="4"/>
  <c r="F19" i="5" s="1"/>
  <c r="F22" i="5" s="1"/>
  <c r="F25" i="5" s="1"/>
  <c r="F36" i="5" s="1"/>
  <c r="E9" i="15"/>
  <c r="F19" i="13"/>
  <c r="C12" i="15"/>
  <c r="L27" i="15" s="1"/>
  <c r="C5" i="9"/>
  <c r="G5" i="9"/>
  <c r="E8" i="9"/>
  <c r="C6" i="9"/>
  <c r="F6" i="15"/>
  <c r="C17" i="13"/>
  <c r="B14" i="10"/>
  <c r="F120" i="4"/>
  <c r="L8" i="8"/>
  <c r="C7" i="9"/>
  <c r="F7" i="9"/>
  <c r="G7" i="9" s="1"/>
  <c r="G6" i="15"/>
  <c r="F42" i="11"/>
  <c r="F44" i="11" s="1"/>
  <c r="G10" i="10"/>
  <c r="G11" i="10" s="1"/>
  <c r="G16" i="13"/>
  <c r="C11" i="8"/>
  <c r="M20" i="8" s="1"/>
  <c r="E11" i="8"/>
  <c r="D14" i="10"/>
  <c r="E33" i="14" s="1"/>
  <c r="L8" i="15"/>
  <c r="L9" i="15"/>
  <c r="E13" i="10"/>
  <c r="H15" i="13"/>
  <c r="F11" i="10"/>
  <c r="G6" i="9"/>
  <c r="F8" i="9"/>
  <c r="G8" i="9" s="1"/>
  <c r="E6" i="15"/>
  <c r="C19" i="13"/>
  <c r="H10" i="15" l="1"/>
  <c r="F12" i="10"/>
  <c r="F13" i="10"/>
  <c r="F121" i="4"/>
  <c r="G19" i="5" s="1"/>
  <c r="G22" i="5" s="1"/>
  <c r="G25" i="5" s="1"/>
  <c r="G36" i="5" s="1"/>
  <c r="F124" i="4"/>
  <c r="F126" i="4" s="1"/>
  <c r="C8" i="9"/>
  <c r="F8" i="15"/>
  <c r="E17" i="13"/>
  <c r="E13" i="13" s="1"/>
  <c r="G8" i="15"/>
  <c r="F11" i="8"/>
  <c r="G5" i="8"/>
  <c r="B26" i="11"/>
  <c r="D11" i="8"/>
  <c r="G4" i="8"/>
  <c r="D5" i="15"/>
  <c r="B21" i="13"/>
  <c r="B18" i="12"/>
  <c r="F9" i="15"/>
  <c r="F17" i="13"/>
  <c r="F13" i="13" s="1"/>
  <c r="M8" i="15"/>
  <c r="H16" i="13"/>
  <c r="C33" i="14"/>
  <c r="D34" i="14" s="1"/>
  <c r="E34" i="14" s="1"/>
  <c r="F34" i="14" s="1"/>
  <c r="C19" i="11"/>
  <c r="G13" i="10"/>
  <c r="E14" i="10"/>
  <c r="F33" i="14" s="1"/>
  <c r="G9" i="15"/>
  <c r="M9" i="15" s="1"/>
  <c r="B121" i="4"/>
  <c r="C19" i="5" s="1"/>
  <c r="C22" i="5" s="1"/>
  <c r="B124" i="4"/>
  <c r="B126" i="4" s="1"/>
  <c r="C13" i="13"/>
  <c r="J5" i="8"/>
  <c r="C30" i="7"/>
  <c r="J11" i="8" l="1"/>
  <c r="K5" i="8"/>
  <c r="B11" i="14"/>
  <c r="B5" i="14" s="1"/>
  <c r="B24" i="14" s="1"/>
  <c r="C16" i="12"/>
  <c r="D12" i="15"/>
  <c r="G5" i="15"/>
  <c r="M19" i="8"/>
  <c r="B27" i="11"/>
  <c r="F10" i="15"/>
  <c r="G10" i="15" s="1"/>
  <c r="G17" i="13"/>
  <c r="F14" i="10"/>
  <c r="G33" i="14" s="1"/>
  <c r="D13" i="8"/>
  <c r="C25" i="5"/>
  <c r="C36" i="5" s="1"/>
  <c r="D25" i="5"/>
  <c r="D36" i="5" s="1"/>
  <c r="G34" i="14"/>
  <c r="D19" i="11"/>
  <c r="C20" i="11"/>
  <c r="H21" i="13"/>
  <c r="F15" i="11"/>
  <c r="B13" i="13"/>
  <c r="G11" i="8"/>
  <c r="L4" i="8"/>
  <c r="E10" i="15"/>
  <c r="E12" i="15" s="1"/>
  <c r="G19" i="13"/>
  <c r="H19" i="13" s="1"/>
  <c r="G12" i="10"/>
  <c r="G14" i="10" s="1"/>
  <c r="L10" i="15"/>
  <c r="M10" i="15" s="1"/>
  <c r="H12" i="15"/>
  <c r="M4" i="8" l="1"/>
  <c r="H13" i="13"/>
  <c r="C23" i="11"/>
  <c r="D20" i="11"/>
  <c r="G12" i="15"/>
  <c r="M5" i="15"/>
  <c r="C19" i="12"/>
  <c r="C21" i="12"/>
  <c r="L5" i="8"/>
  <c r="M5" i="8" s="1"/>
  <c r="M6" i="8" s="1"/>
  <c r="M7" i="8" s="1"/>
  <c r="M8" i="8" s="1"/>
  <c r="M9" i="8" s="1"/>
  <c r="K11" i="8"/>
  <c r="F12" i="15"/>
  <c r="G13" i="13"/>
  <c r="H17" i="13"/>
  <c r="B31" i="11"/>
  <c r="B32" i="14" l="1"/>
  <c r="B31" i="14" s="1"/>
  <c r="B35" i="14" s="1"/>
  <c r="B7" i="13"/>
  <c r="B32" i="11"/>
  <c r="K6" i="15"/>
  <c r="C11" i="13"/>
  <c r="H11" i="13" s="1"/>
  <c r="D14" i="8"/>
  <c r="D14" i="15"/>
  <c r="N5" i="15"/>
  <c r="C26" i="11"/>
  <c r="D23" i="11"/>
  <c r="L11" i="8"/>
  <c r="M21" i="8" s="1"/>
  <c r="D15" i="8"/>
  <c r="C27" i="11" l="1"/>
  <c r="D26" i="11"/>
  <c r="B24" i="15"/>
  <c r="B5" i="13"/>
  <c r="B24" i="13" s="1"/>
  <c r="K12" i="15"/>
  <c r="L26" i="15" s="1"/>
  <c r="L6" i="15"/>
  <c r="B38" i="14"/>
  <c r="C24" i="15" l="1"/>
  <c r="L9" i="9"/>
  <c r="C31" i="11"/>
  <c r="D27" i="11"/>
  <c r="M6" i="15"/>
  <c r="L12" i="15"/>
  <c r="M12" i="15" l="1"/>
  <c r="D16" i="15"/>
  <c r="N6" i="15"/>
  <c r="C7" i="13"/>
  <c r="C32" i="11"/>
  <c r="D31" i="11"/>
  <c r="C32" i="14"/>
  <c r="G24" i="15"/>
  <c r="D32" i="11" l="1"/>
  <c r="B25" i="15"/>
  <c r="C5" i="13"/>
  <c r="H7" i="13"/>
  <c r="H24" i="15"/>
  <c r="C31" i="14"/>
  <c r="C35" i="14" s="1"/>
  <c r="D32" i="14"/>
  <c r="D15" i="15"/>
  <c r="N7" i="15"/>
  <c r="N8" i="15" s="1"/>
  <c r="N9" i="15" s="1"/>
  <c r="N10" i="15" s="1"/>
  <c r="L28" i="15" s="1"/>
  <c r="E32" i="14" l="1"/>
  <c r="D31" i="14"/>
  <c r="D35" i="14" s="1"/>
  <c r="C24" i="13"/>
  <c r="E32" i="11"/>
  <c r="E29" i="11"/>
  <c r="E30" i="11"/>
  <c r="C25" i="15"/>
  <c r="C31" i="15" s="1"/>
  <c r="B31" i="15"/>
  <c r="E31" i="11"/>
  <c r="C28" i="13" l="1"/>
  <c r="C27" i="13"/>
  <c r="E31" i="14"/>
  <c r="E35" i="14" s="1"/>
  <c r="F32" i="14"/>
  <c r="G32" i="14" l="1"/>
  <c r="G31" i="14" s="1"/>
  <c r="G35" i="14" s="1"/>
  <c r="F31" i="14"/>
  <c r="F35" i="14" s="1"/>
  <c r="C8" i="14"/>
  <c r="C5" i="14" s="1"/>
  <c r="C24" i="14" s="1"/>
  <c r="C38" i="14" s="1"/>
  <c r="D6" i="13"/>
  <c r="D5" i="13" s="1"/>
  <c r="E25" i="15"/>
  <c r="D24" i="13" l="1"/>
  <c r="D27" i="13" s="1"/>
  <c r="F25" i="15"/>
  <c r="G25" i="15" l="1"/>
  <c r="E6" i="13"/>
  <c r="E5" i="13" s="1"/>
  <c r="D28" i="13"/>
  <c r="D8" i="14"/>
  <c r="D5" i="14" s="1"/>
  <c r="D24" i="14" s="1"/>
  <c r="D38" i="14" s="1"/>
  <c r="E26" i="15" l="1"/>
  <c r="E24" i="13"/>
  <c r="E27" i="13" s="1"/>
  <c r="H25" i="15"/>
  <c r="E8" i="14" l="1"/>
  <c r="E5" i="14" s="1"/>
  <c r="E24" i="14" s="1"/>
  <c r="E38" i="14" s="1"/>
  <c r="E28" i="13"/>
  <c r="F6" i="13"/>
  <c r="F5" i="13" s="1"/>
  <c r="F26" i="15"/>
  <c r="F24" i="13" l="1"/>
  <c r="F27" i="13" s="1"/>
  <c r="G26" i="15"/>
  <c r="E27" i="15"/>
  <c r="F27" i="15" l="1"/>
  <c r="D35" i="15"/>
  <c r="H26" i="15"/>
  <c r="G6" i="13"/>
  <c r="G5" i="13" s="1"/>
  <c r="F8" i="14"/>
  <c r="F5" i="14" s="1"/>
  <c r="F24" i="14" s="1"/>
  <c r="F38" i="14" s="1"/>
  <c r="F28" i="13"/>
  <c r="E28" i="15" l="1"/>
  <c r="G24" i="13"/>
  <c r="G27" i="13" s="1"/>
  <c r="H5" i="13"/>
  <c r="H24" i="13" s="1"/>
  <c r="G27" i="15"/>
  <c r="G8" i="14" l="1"/>
  <c r="G5" i="14" s="1"/>
  <c r="G24" i="14" s="1"/>
  <c r="G28" i="13"/>
  <c r="H27" i="13"/>
  <c r="F28" i="15"/>
  <c r="G28" i="15" s="1"/>
  <c r="H27" i="15"/>
  <c r="H28" i="15" s="1"/>
  <c r="E29" i="15" l="1"/>
  <c r="H28" i="13"/>
  <c r="G38" i="14"/>
  <c r="L36" i="15"/>
  <c r="F29" i="15" l="1"/>
  <c r="E31" i="15"/>
  <c r="G29" i="15" l="1"/>
  <c r="F31" i="15"/>
  <c r="D36" i="15" l="1"/>
  <c r="G31" i="15"/>
  <c r="H29" i="15"/>
  <c r="D34" i="15" l="1"/>
  <c r="L33" i="15"/>
  <c r="L30" i="15"/>
  <c r="L32" i="15"/>
  <c r="L34" i="15"/>
  <c r="L31" i="15"/>
</calcChain>
</file>

<file path=xl/sharedStrings.xml><?xml version="1.0" encoding="utf-8"?>
<sst xmlns="http://schemas.openxmlformats.org/spreadsheetml/2006/main" count="879" uniqueCount="592">
  <si>
    <t>Activo Fijo</t>
  </si>
  <si>
    <t>Input</t>
  </si>
  <si>
    <t>ESTA PLANILLA PUEDE SER UTILIZADA SOLAMENTE PARA EL TRABAJO PRACTICO</t>
  </si>
  <si>
    <t>ESTA PLANILLA PUEDE SER UTILIZADA SOLAMENTE PARA EL TRABAJO PRACTICO:</t>
  </si>
  <si>
    <t>Valor</t>
  </si>
  <si>
    <t>Unidad</t>
  </si>
  <si>
    <t>Cálculo</t>
  </si>
  <si>
    <t>Fuente</t>
  </si>
  <si>
    <t>Tamaño del terreno:</t>
  </si>
  <si>
    <t>m2</t>
  </si>
  <si>
    <t>Calculado en el Dim Técnico</t>
  </si>
  <si>
    <t>Valor del metro cuadrado:</t>
  </si>
  <si>
    <t>US$</t>
  </si>
  <si>
    <t>Valor promedio</t>
  </si>
  <si>
    <t>https://mapa.buenosaires.gob.ar/mapas/?lat=-34.593120&amp;lng=-58.425272&amp;zl=15&amp;modo=transporte&amp;map=precios_de_terrenos</t>
  </si>
  <si>
    <t>Reglas y consideraciones a tener en cuenta antes de entregar para corregir</t>
  </si>
  <si>
    <t>Mejoras Terreno</t>
  </si>
  <si>
    <t>$</t>
  </si>
  <si>
    <t>Estimación</t>
  </si>
  <si>
    <t>Edificio y Obras</t>
  </si>
  <si>
    <t>Se estimo a partir de valores de edificios en la zona de la fábrica</t>
  </si>
  <si>
    <t>Inversión Inicial en Activo Fijo</t>
  </si>
  <si>
    <t>Balanza</t>
  </si>
  <si>
    <t>https://articulo.mercadolibre.com.ar/MLA-616159887-balanza-gancho-pilon-digital-colgante-500-kg-electronica-_JM</t>
  </si>
  <si>
    <t>Mezcladora de Concentrados x4</t>
  </si>
  <si>
    <t>Gasto interno (en $)</t>
  </si>
  <si>
    <t>Al no encontrar el precio de la maquina especifica que se utilizo en el Dim Tecnico, se calculó un valor basado en máquinas similares de otras marcas. Y se lo multiplico por 4, que es la cantidad necesaria de mezcladoras.</t>
  </si>
  <si>
    <t>https://www.alibaba.com/trade/search?IndexArea=product_en&amp;CatId=&amp;fsb=y&amp;SearchText=powder+mixer</t>
  </si>
  <si>
    <t>Mezcladora Batch</t>
  </si>
  <si>
    <t>Al no encontrar el precio de la maquina especifica que se utilizo en el Dim Tecnico, se calculó un valor basado en máquinas similares de otras marcas.</t>
  </si>
  <si>
    <t>https://www.alibaba.com/trade/search?f0=y&amp;IndexArea=product_en&amp;CatId=&amp;SearchText=mixer+machines&amp;viewtype=&amp;refine_attr_value=139-7771</t>
  </si>
  <si>
    <t>Pasteurizadora</t>
  </si>
  <si>
    <t>Gasto Externo (en $)</t>
  </si>
  <si>
    <t>https://www.alibaba.com/trade/search?fsb=y&amp;IndexArea=product_en&amp;CatId=&amp;SearchText=pasteurizer+for+ice+cream</t>
  </si>
  <si>
    <t>Homogeneizador</t>
  </si>
  <si>
    <t>https://www.alibaba.com/trade/search?fsb=y&amp;IndexArea=product_en&amp;CatId=&amp;SearchText=homogenizer+for+ice+cream&amp;viewtype=</t>
  </si>
  <si>
    <t>Tanque de enfriamento</t>
  </si>
  <si>
    <t>Año 0</t>
  </si>
  <si>
    <t>Al no encontrar el precio de la maquina especifica que se utilizo en el Dim Tecnico, se calculó un valor basado en máquinas similares de otras marcas. Y se lo multiplico por 9, que es la cantidad necesaria de tanques.</t>
  </si>
  <si>
    <t>https://www.alibaba.com/trade/search?IndexArea=product_en&amp;CatId=100006959&amp;fsb=y&amp;SearchText=cooling+tank</t>
  </si>
  <si>
    <t>Autoelevador</t>
  </si>
  <si>
    <t>Año 1</t>
  </si>
  <si>
    <t>https://vehiculo.mercadolibre.com.ar/MLA-705125027-autoelevador-lonking-lg25dt-triple-torre-45m-levante-25tn-_JM</t>
  </si>
  <si>
    <t>Inodoro</t>
  </si>
  <si>
    <t>https://articulo.mercadolibre.com.ar/MLA-677903441-inodoro-deposito-tapa-mochila-dual-moderno-diseno-_JM</t>
  </si>
  <si>
    <t>Lavamanos</t>
  </si>
  <si>
    <t>https://articulo.mercadolibre.com.ar/MLA-731639145-lavatorio-bacha-roca-ibis-bano-lavamanos-lado-izquierdo-1-ag-_JM</t>
  </si>
  <si>
    <t>Silla y mesa</t>
  </si>
  <si>
    <t>https://articulo.mercadolibre.com.ar/MLA-633659349-juego-de-mesa-2-sillones-aluminio-simil-ratan-chocolate-_JM#reco_item_pos=1&amp;reco_backend=machinalis-seller-items&amp;reco_backend_type=low_level&amp;reco_client=vip-seller_items-above&amp;reco_id=1314a7db-87e0-45e0-907b-4a3c5ee7437b</t>
  </si>
  <si>
    <t>Muebles decorativos local</t>
  </si>
  <si>
    <t>Freezer heladeria</t>
  </si>
  <si>
    <t>https://articulo.mercadolibre.com.ar/MLA-630901801-freezer-conservadora-de-helados-fam-30-baldes-heladeria-_JM</t>
  </si>
  <si>
    <t>Camara frigorifica + equipos</t>
  </si>
  <si>
    <t>Tasa porcentual de IVA</t>
  </si>
  <si>
    <t>http://www.camarasfrigorificass.es/XS-500-500-1020-1-C-150-19-827</t>
  </si>
  <si>
    <t>Plan de ventas</t>
  </si>
  <si>
    <t>Año 2</t>
  </si>
  <si>
    <t>Año 3</t>
  </si>
  <si>
    <t>Año 4</t>
  </si>
  <si>
    <t>Año 5</t>
  </si>
  <si>
    <t>Monto</t>
  </si>
  <si>
    <t>Cantidad</t>
  </si>
  <si>
    <r>
      <rPr>
        <sz val="10"/>
        <color rgb="FFFFFFFF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</si>
  <si>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Stock de MP</t>
  </si>
  <si>
    <t>Precio</t>
  </si>
  <si>
    <t>a) Bienes de Uso</t>
  </si>
  <si>
    <t>Terreno y sus mejoras</t>
  </si>
  <si>
    <t>Tasa porcentual de Impuesto a las Ganancias</t>
  </si>
  <si>
    <t>540m2*US$1227*$40+$500000</t>
  </si>
  <si>
    <t>Honorarios al Directorio</t>
  </si>
  <si>
    <t>Variable sobre Utilidad económica antes de HD e IG</t>
  </si>
  <si>
    <t>Edificio y obras complementarias</t>
  </si>
  <si>
    <t>Tiempo de Amortización Activos Fijos:</t>
  </si>
  <si>
    <t>Se considera una depreciación lineal y un valor residual nulo</t>
  </si>
  <si>
    <t>430m2*US$881*$40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</si>
  <si>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</si>
  <si>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>Instalaciones industriales</t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</si>
  <si>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</si>
  <si>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</si>
  <si>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</si>
  <si>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</si>
  <si>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>$15153200*0,8</t>
  </si>
  <si>
    <t>Máquinas operativas</t>
  </si>
  <si>
    <t xml:space="preserve">    importadas, valor FOB, con repuestos</t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</si>
  <si>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</si>
  <si>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</si>
  <si>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>COSTO TOTAL DE PRODUCCION</t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</si>
  <si>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</si>
  <si>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</si>
  <si>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</si>
  <si>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</si>
  <si>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</si>
  <si>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</si>
  <si>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Costo MP</t>
  </si>
  <si>
    <t>/kg</t>
  </si>
  <si>
    <t>Nombre del Producto</t>
  </si>
  <si>
    <t>Helados Artesanales</t>
  </si>
  <si>
    <t>Gastos en el Area de Producción</t>
  </si>
  <si>
    <t>Bienes de uso correpondientes a producción:</t>
  </si>
  <si>
    <t>Rubros</t>
  </si>
  <si>
    <t>Consumo real de materia prima = 523.351 kg</t>
  </si>
  <si>
    <t>Materia prima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</si>
  <si>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</si>
  <si>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</si>
  <si>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</si>
  <si>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</si>
  <si>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</si>
  <si>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</si>
  <si>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</si>
  <si>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</si>
  <si>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</si>
  <si>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</si>
  <si>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</si>
  <si>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</si>
  <si>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</si>
  <si>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</si>
  <si>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</si>
  <si>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</si>
  <si>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</si>
  <si>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64,07</t>
  </si>
  <si>
    <t xml:space="preserve">    nacionales, precio en fábrica del proveedor</t>
  </si>
  <si>
    <t>anual</t>
  </si>
  <si>
    <t>Año 6</t>
  </si>
  <si>
    <t>Rubro a financiar</t>
  </si>
  <si>
    <t>Gastronomico</t>
  </si>
  <si>
    <t>Gastos conexos a la importación de maquinaria</t>
  </si>
  <si>
    <t xml:space="preserve">Producción programada = </t>
  </si>
  <si>
    <t>PUESTA EN MARCHA</t>
  </si>
  <si>
    <t>Mano de obra directa</t>
  </si>
  <si>
    <t>% sobre el total del Rubro</t>
  </si>
  <si>
    <t>Dias de Financiación de Proveedores</t>
  </si>
  <si>
    <t>% sobre Compras</t>
  </si>
  <si>
    <t>Tasa de financiación</t>
  </si>
  <si>
    <t>HOLA</t>
  </si>
  <si>
    <t>$5006400*0.10</t>
  </si>
  <si>
    <t>Transporte y montaje de la maquinaria</t>
  </si>
  <si>
    <t>Produccion Año 1</t>
  </si>
  <si>
    <t>kg mp</t>
  </si>
  <si>
    <t>Rodados y equipos auxiliares</t>
  </si>
  <si>
    <t>Gastos de fabricación:</t>
  </si>
  <si>
    <t>Compra de Autoelevador= US$18.000*$40</t>
  </si>
  <si>
    <t>Muebles y útiles</t>
  </si>
  <si>
    <t>Consumo específico =</t>
  </si>
  <si>
    <t>kg M.P /kg PT</t>
  </si>
  <si>
    <t>523351/472115</t>
  </si>
  <si>
    <t>INVERSIONES EN ACTIVO DE TRABAJO</t>
  </si>
  <si>
    <t>Consumo específico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</si>
  <si>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</si>
  <si>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>Amortizaciones</t>
  </si>
  <si>
    <r>
      <t xml:space="preserve">   a) Disponibilidad Mínima en Caja y Bancos:
</t>
    </r>
    <r>
      <rPr>
        <sz val="7"/>
        <rFont val="Arial"/>
        <family val="2"/>
      </rPr>
      <t>2% de las ventas del año 2 al 5
80% De la disp del año 2 al 5</t>
    </r>
  </si>
  <si>
    <t>Infraestructura en predio propio</t>
  </si>
  <si>
    <t>consumo mp 1 año</t>
  </si>
  <si>
    <t>Personal indirecto</t>
  </si>
  <si>
    <t xml:space="preserve">   b) Crédito por Ventas</t>
  </si>
  <si>
    <t>Se tomó una aprox. de Imprevistos con valor del 6.6% del total</t>
  </si>
  <si>
    <t>Total Bienes de uso</t>
  </si>
  <si>
    <t>Mano de Obra</t>
  </si>
  <si>
    <t>b) Gastos asimilables o cargos diferidos</t>
  </si>
  <si>
    <t>$/h sin cargas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</si>
  <si>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</si>
  <si>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</si>
  <si>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</si>
  <si>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</si>
  <si>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 xml:space="preserve">   c) Bienes de cambio:</t>
  </si>
  <si>
    <t>Patentes y Licencias</t>
  </si>
  <si>
    <t>Infraestructura en predio ajeno</t>
  </si>
  <si>
    <t xml:space="preserve">    Stock de materias prima:</t>
  </si>
  <si>
    <t>Total gastos asimilables o cargos diferidos</t>
  </si>
  <si>
    <t>Cargas sociales</t>
  </si>
  <si>
    <t xml:space="preserve">   Stock de materiales:</t>
  </si>
  <si>
    <t>c) Total Inversiones iniciales Activo Fijo, sin IVA</t>
  </si>
  <si>
    <t xml:space="preserve">volumen produccion año 1 </t>
  </si>
  <si>
    <t>Materiales</t>
  </si>
  <si>
    <t xml:space="preserve">d) IVA </t>
  </si>
  <si>
    <t>e) TOTAL INVERSIONES INICIALES ACTIVO FIJO</t>
  </si>
  <si>
    <t xml:space="preserve">   Mercadería en curso y semielaborada</t>
  </si>
  <si>
    <t xml:space="preserve">   Stock de elaborados</t>
  </si>
  <si>
    <t>MOD</t>
  </si>
  <si>
    <t>Horas</t>
  </si>
  <si>
    <t>Rubro</t>
  </si>
  <si>
    <t>348544* 1.108</t>
  </si>
  <si>
    <t xml:space="preserve">   d) Total Activo de Trabajo, sin IVA:</t>
  </si>
  <si>
    <t>Energía eléctrica</t>
  </si>
  <si>
    <t>Inversión</t>
  </si>
  <si>
    <t>Coeficiente</t>
  </si>
  <si>
    <t>Alícuotas de amortización</t>
  </si>
  <si>
    <t>2. Menos:</t>
  </si>
  <si>
    <t xml:space="preserve">    Amortizaciones en Mercadería en proceso</t>
  </si>
  <si>
    <t>Valor residual</t>
  </si>
  <si>
    <t xml:space="preserve">    Amortizaciones en Stock de elaborado</t>
  </si>
  <si>
    <t>original</t>
  </si>
  <si>
    <t>Años 1/3</t>
  </si>
  <si>
    <t>Años 4/5</t>
  </si>
  <si>
    <t>Bienes de Uso</t>
  </si>
  <si>
    <t>Consumo se y pt</t>
  </si>
  <si>
    <t>Combustibles</t>
  </si>
  <si>
    <t>MOI</t>
  </si>
  <si>
    <t>Sueldo($)</t>
  </si>
  <si>
    <t>Gasto anual</t>
  </si>
  <si>
    <t>Exceso debido a puesta en marcha</t>
  </si>
  <si>
    <t>Tasas e impuestos</t>
  </si>
  <si>
    <t xml:space="preserve">    Utilidades en Crédito por ventas</t>
  </si>
  <si>
    <t xml:space="preserve">    Amortizaciones en Crédito por ventas</t>
  </si>
  <si>
    <t>3. Inversiones en Activo de Trabajo, sin IVA</t>
  </si>
  <si>
    <t>Gerente general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</si>
  <si>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</si>
  <si>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</si>
  <si>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</si>
  <si>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</si>
  <si>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</si>
  <si>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</si>
  <si>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</si>
  <si>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</si>
  <si>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>Gerente de producción</t>
  </si>
  <si>
    <t xml:space="preserve">               Stock de elaborados</t>
  </si>
  <si>
    <t>Gastos Total de Producción</t>
  </si>
  <si>
    <t>Gastos conexos a importacion de maquinaria</t>
  </si>
  <si>
    <t>Transporte y montaje de maquinaria</t>
  </si>
  <si>
    <t>Encargado de mantenimiento</t>
  </si>
  <si>
    <t>Subtotal</t>
  </si>
  <si>
    <t xml:space="preserve">   Total incrementos IVA sobre inversiones</t>
  </si>
  <si>
    <t>Responsable de calidad</t>
  </si>
  <si>
    <t xml:space="preserve">Cargos Diferidos </t>
  </si>
  <si>
    <t>% Gasto Constante</t>
  </si>
  <si>
    <t>Responsable de compras</t>
  </si>
  <si>
    <t>% Gasto Variable</t>
  </si>
  <si>
    <t>6. Incrementos Inversiones en Activo de Trabajo</t>
  </si>
  <si>
    <t>Responsable de ventas</t>
  </si>
  <si>
    <t xml:space="preserve">Gerente de administración y finanzas </t>
  </si>
  <si>
    <t>Gastos a activar</t>
  </si>
  <si>
    <t>Encargado de limpieza</t>
  </si>
  <si>
    <t>Totales, s/IVA</t>
  </si>
  <si>
    <t>Mercadería en Curso y Semielaborada</t>
  </si>
  <si>
    <t>Puesta en marcha</t>
  </si>
  <si>
    <t>horas extra</t>
  </si>
  <si>
    <t>operarios</t>
  </si>
  <si>
    <t>veces al año</t>
  </si>
  <si>
    <t>(admin, prod y comer)</t>
  </si>
  <si>
    <t>Gasto anual mantenimiento</t>
  </si>
  <si>
    <t>% respecto al año 1 del año 2 para MOI y repuestos</t>
  </si>
  <si>
    <t>Producción</t>
  </si>
  <si>
    <t>MC&amp;SE</t>
  </si>
  <si>
    <t>Para materiales</t>
  </si>
  <si>
    <t>Año 2 a 5</t>
  </si>
  <si>
    <t xml:space="preserve">  Energía eléctrica</t>
  </si>
  <si>
    <t>Mantenimiento</t>
  </si>
  <si>
    <t>s/repuestos</t>
  </si>
  <si>
    <t>Flete respuesto</t>
  </si>
  <si>
    <t>Importación</t>
  </si>
  <si>
    <t xml:space="preserve">  Combustibles</t>
  </si>
  <si>
    <t>Respuestos</t>
  </si>
  <si>
    <t>anual de maq</t>
  </si>
  <si>
    <t xml:space="preserve">  Tasas e impuestos</t>
  </si>
  <si>
    <t xml:space="preserve">  Imprevistos</t>
  </si>
  <si>
    <t>Personal</t>
  </si>
  <si>
    <t>Total gastos a activar</t>
  </si>
  <si>
    <t>Costo en el Area de Producción</t>
  </si>
  <si>
    <t>Servicios</t>
  </si>
  <si>
    <t>Consumo</t>
  </si>
  <si>
    <t>unidad</t>
  </si>
  <si>
    <t>Cargo fijo</t>
  </si>
  <si>
    <t>Consumo año 1 respecto al 2</t>
  </si>
  <si>
    <t>consumo producción</t>
  </si>
  <si>
    <t>Mantenimiento (W)</t>
  </si>
  <si>
    <t>Electricidad</t>
  </si>
  <si>
    <t>W</t>
  </si>
  <si>
    <t>Gas</t>
  </si>
  <si>
    <t>m3</t>
  </si>
  <si>
    <t>Menos:</t>
  </si>
  <si>
    <t>Gasto de puesta en marcha</t>
  </si>
  <si>
    <t>Variación Mercadería en proceso</t>
  </si>
  <si>
    <t>Impuestos</t>
  </si>
  <si>
    <t>% producción</t>
  </si>
  <si>
    <t>Costo de producción anual</t>
  </si>
  <si>
    <t>Tasa municipal anual</t>
  </si>
  <si>
    <t>Costo de prod. Unitario Promedio</t>
  </si>
  <si>
    <t>Impuesto inmobiliario</t>
  </si>
  <si>
    <t>Personal administrativo</t>
  </si>
  <si>
    <t>Gastos en el Area de Administración</t>
  </si>
  <si>
    <t>Puesto</t>
  </si>
  <si>
    <t>Sueldo ($)</t>
  </si>
  <si>
    <t>Mantenimiento(s/bienes uso)</t>
  </si>
  <si>
    <t>Jefe administrativo</t>
  </si>
  <si>
    <t>Bienes de uso</t>
  </si>
  <si>
    <t>Amortizaciones de A. Fijo</t>
  </si>
  <si>
    <t>Encargado de RRHH</t>
  </si>
  <si>
    <t>Papelería y útiles</t>
  </si>
  <si>
    <t>Empleado administrativo</t>
  </si>
  <si>
    <t>Limpieza</t>
  </si>
  <si>
    <t>Combustible</t>
  </si>
  <si>
    <t>Gastos varios de administración</t>
  </si>
  <si>
    <t>Varios</t>
  </si>
  <si>
    <t>Personal comercial</t>
  </si>
  <si>
    <t>Honorarios profesionales</t>
  </si>
  <si>
    <t>Gastos de representación</t>
  </si>
  <si>
    <t>Viajes y becas</t>
  </si>
  <si>
    <t>Costo total de Admistración</t>
  </si>
  <si>
    <t>Gastos de oficina</t>
  </si>
  <si>
    <t>Vendedor</t>
  </si>
  <si>
    <t>Comprador</t>
  </si>
  <si>
    <t>Gastos en el Area de Comercialización</t>
  </si>
  <si>
    <t>El gasto en personal en el año 1 respecto del año 2, tanto para comercial como para administración.</t>
  </si>
  <si>
    <t>Porcentaje correspondiente de amortización tanto para comercial como para administración</t>
  </si>
  <si>
    <t>Gasto en materiales en el año 1 respecto del año 2 para administración y comercial es de</t>
  </si>
  <si>
    <t>Gasto de energía eléctrica en el año 1 respecto del año 2 para administración es de</t>
  </si>
  <si>
    <t>Porcentaje de absorción de la tasa municipal del área de administración</t>
  </si>
  <si>
    <t>Consumo de energía eléctrica del área de administración</t>
  </si>
  <si>
    <t>Porcentaje de absorción del impuesto inmobiliario del área de administración</t>
  </si>
  <si>
    <t>Energía Eléctrica</t>
  </si>
  <si>
    <t>Consumo de energía eléctrica del área de comercialización</t>
  </si>
  <si>
    <t>Impuesto a los sellos del área de administración</t>
  </si>
  <si>
    <t>Gasto en combustible en el año 1 respecto del año 2 para el área de administración</t>
  </si>
  <si>
    <t>Tasa bancaria</t>
  </si>
  <si>
    <t>Gasto en combustible en el año1 respecto del año 2 para el área de comercialización</t>
  </si>
  <si>
    <t>Gasto de energía eléctrica en el año 1 respecto del año 2 para comercialización es de</t>
  </si>
  <si>
    <t>Ventas en regimen</t>
  </si>
  <si>
    <t>Costo total de Comercialización</t>
  </si>
  <si>
    <t>Gastos varios de comercialización</t>
  </si>
  <si>
    <t>Materiales comercialización</t>
  </si>
  <si>
    <t>Unidades por pallet</t>
  </si>
  <si>
    <t>Representación</t>
  </si>
  <si>
    <t>Pasajes y gastos de estadía</t>
  </si>
  <si>
    <t>Limpieza (sobre sueldos)</t>
  </si>
  <si>
    <t>COSTO TOTAL Y RESULTADO A NIVEL ECONOMICO</t>
  </si>
  <si>
    <t>Gastos de oficina varios</t>
  </si>
  <si>
    <t>Papelería y útiles(s/ventas)</t>
  </si>
  <si>
    <t>Flete régimen</t>
  </si>
  <si>
    <t>Embalaje (s/ventas)</t>
  </si>
  <si>
    <t>Venta anual, en Unidades Producto 1</t>
  </si>
  <si>
    <t>Flete año 1</t>
  </si>
  <si>
    <t>Precio de venta Producto 1</t>
  </si>
  <si>
    <t>Publicidad especializada</t>
  </si>
  <si>
    <t>VENTAS ANUALES</t>
  </si>
  <si>
    <t>Porcentaje de absorción de la tasa municipal del área de comercialización</t>
  </si>
  <si>
    <t>Porcentaje de absorción del impuesto inmobiliario del área comercial</t>
  </si>
  <si>
    <t xml:space="preserve">Consumo de materia prima </t>
  </si>
  <si>
    <t>Impuesto automotor correspondiente a comercialización</t>
  </si>
  <si>
    <t>% de participación</t>
  </si>
  <si>
    <t>Impuesto a los ingresos brutos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</si>
  <si>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</si>
  <si>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</si>
  <si>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</si>
  <si>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</si>
  <si>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</si>
  <si>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</si>
  <si>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</si>
  <si>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</si>
  <si>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</si>
  <si>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</si>
  <si>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</si>
  <si>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</si>
  <si>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</si>
  <si>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</si>
  <si>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</si>
  <si>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</si>
  <si>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</si>
  <si>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</si>
  <si>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</si>
  <si>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</si>
  <si>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</si>
  <si>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</si>
  <si>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</si>
  <si>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</si>
  <si>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</si>
  <si>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</si>
  <si>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</si>
  <si>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</si>
  <si>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</si>
  <si>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</si>
  <si>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</si>
  <si>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</si>
  <si>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</si>
  <si>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</si>
  <si>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</si>
  <si>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</si>
  <si>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</si>
  <si>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</si>
  <si>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</si>
  <si>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</si>
  <si>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</si>
  <si>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</si>
  <si>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>IVA plan de Explotación, Cancelación del Credito Fiscal y pago al Fisco por IVA</t>
  </si>
  <si>
    <t xml:space="preserve">     Mercadería en proceso</t>
  </si>
  <si>
    <t>-</t>
  </si>
  <si>
    <t xml:space="preserve">     Stock de Elaborados</t>
  </si>
  <si>
    <t>TOTALES PARA LAS TRES AREAS</t>
  </si>
  <si>
    <t>Rubros que abonan IVA</t>
  </si>
  <si>
    <t xml:space="preserve">    Subtotal Activo Trabajo</t>
  </si>
  <si>
    <t>Materia Prima</t>
  </si>
  <si>
    <t>Incrementos</t>
  </si>
  <si>
    <t>IVA:</t>
  </si>
  <si>
    <t xml:space="preserve">    por inversión A. Fijo</t>
  </si>
  <si>
    <t xml:space="preserve">    por inversión A. T.</t>
  </si>
  <si>
    <t xml:space="preserve">   Subtotal IVA Inversión</t>
  </si>
  <si>
    <t>Seguros</t>
  </si>
  <si>
    <t>Inversiones Totales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</si>
  <si>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</si>
  <si>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</si>
  <si>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</si>
  <si>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</si>
  <si>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</si>
  <si>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</si>
  <si>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</si>
  <si>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</si>
  <si>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</si>
  <si>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</si>
  <si>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</si>
  <si>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</si>
  <si>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</si>
  <si>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</si>
  <si>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</si>
  <si>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</si>
  <si>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</si>
  <si>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</si>
  <si>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</si>
  <si>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</si>
  <si>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</si>
  <si>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</si>
  <si>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</si>
  <si>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</si>
  <si>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</si>
  <si>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</si>
  <si>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</si>
  <si>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</si>
  <si>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PRIMERA ESTRUCTURA FINANCIERA</t>
  </si>
  <si>
    <t>Total Inversión</t>
  </si>
  <si>
    <t>CréditoS</t>
  </si>
  <si>
    <t>Capital Propio</t>
  </si>
  <si>
    <t>Beneficio Neto</t>
  </si>
  <si>
    <t>Interes semestral</t>
  </si>
  <si>
    <t>monto</t>
  </si>
  <si>
    <t>%</t>
  </si>
  <si>
    <t>Gasto Bancario</t>
  </si>
  <si>
    <t xml:space="preserve">Activo Fijo </t>
  </si>
  <si>
    <t>Periodo de Recupero de la Inversión</t>
  </si>
  <si>
    <t>en años</t>
  </si>
  <si>
    <t xml:space="preserve">Activo de Trabajo </t>
  </si>
  <si>
    <t>TIR</t>
  </si>
  <si>
    <t xml:space="preserve">IVA </t>
  </si>
  <si>
    <t>Verificaciones</t>
  </si>
  <si>
    <t>Set A</t>
  </si>
  <si>
    <t>IVA</t>
  </si>
  <si>
    <t>AT</t>
  </si>
  <si>
    <t>CUADRO RESUMEN DE CREDITOS</t>
  </si>
  <si>
    <t>BN Proyecto</t>
  </si>
  <si>
    <t>día/mes/año</t>
  </si>
  <si>
    <t>deuda</t>
  </si>
  <si>
    <t>CUADRO DE RESULTADOS PROFORMA</t>
  </si>
  <si>
    <t>amortización</t>
  </si>
  <si>
    <t>interés</t>
  </si>
  <si>
    <t xml:space="preserve">deuda </t>
  </si>
  <si>
    <t>gasto</t>
  </si>
  <si>
    <t>Ventas netas</t>
  </si>
  <si>
    <t>semestral</t>
  </si>
  <si>
    <t>(-) Costo de producción de lo Vendido</t>
  </si>
  <si>
    <t>prom. anual</t>
  </si>
  <si>
    <t>kd</t>
  </si>
  <si>
    <t>bancario</t>
  </si>
  <si>
    <t>1/5/-1</t>
  </si>
  <si>
    <t>Resultado operativo</t>
  </si>
  <si>
    <t>Gastos de Administración</t>
  </si>
  <si>
    <t>1/8/-1</t>
  </si>
  <si>
    <t>Gastos de Comercialización</t>
  </si>
  <si>
    <t>1/11/-1</t>
  </si>
  <si>
    <t>31/12/-1</t>
  </si>
  <si>
    <t>Gastos Financieros</t>
  </si>
  <si>
    <t>RESULTADO (a/Hon. e Imp.)</t>
  </si>
  <si>
    <t>Menos: Honorarios al Direct.</t>
  </si>
  <si>
    <t>Gastos preoperativos</t>
  </si>
  <si>
    <t>Menos: Impuesto a la Ganancia</t>
  </si>
  <si>
    <t>RESULTADO (d/Hon. e Imp.)</t>
  </si>
  <si>
    <t xml:space="preserve">Gastos preoperativos diferidos a travez de </t>
  </si>
  <si>
    <t>30/6/1</t>
  </si>
  <si>
    <t>alicuotas de amortizacion iguales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</si>
  <si>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</si>
  <si>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</si>
  <si>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</si>
  <si>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</si>
  <si>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</si>
  <si>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</si>
  <si>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</si>
  <si>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</si>
  <si>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31/12/5</t>
  </si>
  <si>
    <t>Totales:</t>
  </si>
  <si>
    <t>SEGUNDA ESTRUCTURA FINANCIERA</t>
  </si>
  <si>
    <t>a) Inversión y calendario de activo fijo: incrementos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</si>
  <si>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</si>
  <si>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</si>
  <si>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</si>
  <si>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</si>
  <si>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</si>
  <si>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</si>
  <si>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</si>
  <si>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</si>
  <si>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</si>
  <si>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</si>
  <si>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</si>
  <si>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</si>
  <si>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</si>
  <si>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</si>
  <si>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</si>
  <si>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</si>
  <si>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</si>
  <si>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</si>
  <si>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</si>
  <si>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</si>
  <si>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</si>
  <si>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</si>
  <si>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</si>
  <si>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</si>
  <si>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a) IVA pagado en el Costo Total de lo Vendido:</t>
  </si>
  <si>
    <t xml:space="preserve">   Total pagado en el Area de Producción</t>
  </si>
  <si>
    <t>PUNTO DE EQUILIBRIO ECONOMICO FINANCIERO</t>
  </si>
  <si>
    <t xml:space="preserve">  Total pagado en el Area Administrativa</t>
  </si>
  <si>
    <t>CUADRO DE FUENTES Y USOS</t>
  </si>
  <si>
    <t>FUENTES: Totales</t>
  </si>
  <si>
    <t xml:space="preserve">  Total pagado en el Area Comercial </t>
  </si>
  <si>
    <t>Saldo ejercicio anterior</t>
  </si>
  <si>
    <t xml:space="preserve">  Total pagado por Financiación</t>
  </si>
  <si>
    <t>Aporte de capital propio</t>
  </si>
  <si>
    <t>Gasto Financiero</t>
  </si>
  <si>
    <t xml:space="preserve">  IVA abonado en Costo Total de lo Vendido:</t>
  </si>
  <si>
    <t xml:space="preserve">Créditos renovables </t>
  </si>
  <si>
    <t xml:space="preserve">Créditos no renovables </t>
  </si>
  <si>
    <t xml:space="preserve">Ventas del ejercicio </t>
  </si>
  <si>
    <t>HACER DIAGRAMA DE PUNTO DE EQUILIBRIO PARA EL AÑO 1 Y PARA EL AÑO 10</t>
  </si>
  <si>
    <t>Recupero Crédito Fiscal</t>
  </si>
  <si>
    <t>b) IVA diferencia</t>
  </si>
  <si>
    <t>USOS: Totales</t>
  </si>
  <si>
    <t>c) Crédito Fiscal Anterior (incrementado)</t>
  </si>
  <si>
    <t>d) Crédito Fiscal del Año (incrementado)</t>
  </si>
  <si>
    <t>e) Crédito Fiscal Final Año</t>
  </si>
  <si>
    <t>f) Recupero Credito Fiscal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</si>
  <si>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</si>
  <si>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</si>
  <si>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</si>
  <si>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</si>
  <si>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</si>
  <si>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</si>
  <si>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</si>
  <si>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</si>
  <si>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</si>
  <si>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</si>
  <si>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</si>
  <si>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</si>
  <si>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</si>
  <si>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</si>
  <si>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</si>
  <si>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</si>
  <si>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</si>
  <si>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Formulación del Proyecto a Nivel Financiero</t>
  </si>
  <si>
    <t>Bienes de cambio</t>
  </si>
  <si>
    <t>Activo de Trabajo</t>
  </si>
  <si>
    <t>Utilidad  Antes  HD e IG</t>
  </si>
  <si>
    <t>Intereses Pagados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</si>
  <si>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</si>
  <si>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</si>
  <si>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</si>
  <si>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</si>
  <si>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</si>
  <si>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</si>
  <si>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</si>
  <si>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</si>
  <si>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</si>
  <si>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</si>
  <si>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</si>
  <si>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</si>
  <si>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</si>
  <si>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</si>
  <si>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</si>
  <si>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</si>
  <si>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</si>
  <si>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</si>
  <si>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</si>
  <si>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</si>
  <si>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TIR modificada</t>
  </si>
  <si>
    <t>PASIVO + PATRIMONIO NETO</t>
  </si>
  <si>
    <t>Verificación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</si>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</sst>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&quot;$&quot;#,##0.00"/>
    <numFmt numFmtId="165" formatCode="_(\$* #,##0.00_);_(\$* \(#,##0.00\);_(\$* \-??_);_(@_)"/>
    <numFmt numFmtId="166" formatCode="0.00\ %"/>
    <numFmt numFmtId="167" formatCode="&quot;$&quot;#,##0"/>
    <numFmt numFmtId="168" formatCode="0.000"/>
    <numFmt numFmtId="169" formatCode="&quot;$&quot;#,##0.000"/>
    <numFmt numFmtId="170" formatCode="_(&quot;$&quot;* #,##0.00_);_(&quot;$&quot;* \(#,##0.00\);_(&quot;$&quot;* &quot;-&quot;??_);_(@_)"/>
    <numFmt numFmtId="171" formatCode="_(\$* #,##0.00_);_(\$* \(#,##0.00\);_(\$* \-??.0_);_(@_)"/>
    <numFmt numFmtId="172" formatCode="_(\$* #,##0.0_);_(\$* \(#,##0.0\);_(\$* \-??.0_);_(@_)"/>
    <numFmt numFmtId="173" formatCode="[$$]#,##0.00"/>
    <numFmt numFmtId="174" formatCode="0.0"/>
    <numFmt numFmtId="175" formatCode="0.0%"/>
    <numFmt numFmtId="176" formatCode="_(* #,##0.00_);_(* \(#,##0.00\);_(* \-??_);_(@_)"/>
    <numFmt numFmtId="177" formatCode="d&quot; de &quot;mmm&quot; de &quot;yy"/>
    <numFmt numFmtId="178" formatCode="_(\$* #,##0_);_(\$* \(#,##0\);_(\$* \-??_);_(@_)"/>
    <numFmt numFmtId="179" formatCode="_(\$* #,##0.0000000000_);_(\$* \(#,##0.0000000000\);_(\$* \-??.00000000_);_(@_)"/>
    <numFmt numFmtId="180" formatCode="_(\$* #,##0.000000000_);_(\$* \(#,##0.000000000\);_(\$* \-??.0000000_);_(@_)"/>
  </numFmts>
  <fonts count="22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Roboto"/>
    </font>
    <font>
      <sz val="10"/>
      <color rgb="FFFFFFFF"/>
      <name val="Arial"/>
      <family val="2"/>
    </font>
    <font>
      <i/>
      <sz val="8"/>
      <color rgb="FFC0C0C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rgb="FF000000"/>
      <name val="Sans-serif"/>
    </font>
    <font>
      <sz val="11"/>
      <color rgb="FF000000"/>
      <name val="Arial"/>
      <family val="2"/>
    </font>
    <font>
      <sz val="11"/>
      <name val="Inconsolata"/>
    </font>
    <font>
      <sz val="10"/>
      <color rgb="FF000000"/>
      <name val="Arial"/>
      <family val="2"/>
    </font>
    <font>
      <sz val="11"/>
      <color rgb="FF000000"/>
      <name val="Inconsolata"/>
    </font>
    <font>
      <sz val="12"/>
      <name val="Noto Sans Symbols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420E"/>
        <bgColor rgb="FFFF420E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9F9F9"/>
        <bgColor rgb="FFF9F9F9"/>
      </patternFill>
    </fill>
  </fills>
  <borders count="93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000000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000000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000000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000000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000000"/>
      </right>
      <top style="hair">
        <color rgb="FF3C3C3C"/>
      </top>
      <bottom/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thin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000000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/>
      <diagonal/>
    </border>
    <border>
      <left style="medium">
        <color rgb="FF000000"/>
      </left>
      <right style="thin">
        <color rgb="FF3C3C3C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8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/>
    <xf numFmtId="0" fontId="5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3" xfId="0" applyFont="1" applyBorder="1" applyAlignment="1"/>
    <xf numFmtId="0" fontId="10" fillId="4" borderId="0" xfId="0" applyFont="1" applyFill="1" applyAlignment="1"/>
    <xf numFmtId="0" fontId="9" fillId="0" borderId="7" xfId="0" applyFont="1" applyBorder="1" applyAlignment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4" fillId="5" borderId="1" xfId="0" applyNumberFormat="1" applyFont="1" applyFill="1" applyBorder="1" applyAlignment="1"/>
    <xf numFmtId="9" fontId="1" fillId="0" borderId="0" xfId="0" applyNumberFormat="1" applyFont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1" fillId="6" borderId="0" xfId="0" applyFont="1" applyFill="1" applyAlignment="1"/>
    <xf numFmtId="0" fontId="4" fillId="0" borderId="14" xfId="0" applyFont="1" applyBorder="1" applyAlignment="1"/>
    <xf numFmtId="0" fontId="7" fillId="0" borderId="15" xfId="0" applyFont="1" applyBorder="1" applyAlignment="1"/>
    <xf numFmtId="0" fontId="7" fillId="0" borderId="14" xfId="0" applyFont="1" applyBorder="1" applyAlignment="1"/>
    <xf numFmtId="165" fontId="7" fillId="0" borderId="15" xfId="0" applyNumberFormat="1" applyFont="1" applyBorder="1" applyAlignment="1"/>
    <xf numFmtId="0" fontId="12" fillId="0" borderId="14" xfId="0" applyFont="1" applyBorder="1" applyAlignment="1"/>
    <xf numFmtId="0" fontId="7" fillId="0" borderId="0" xfId="0" applyFont="1" applyAlignment="1">
      <alignment horizontal="right"/>
    </xf>
    <xf numFmtId="0" fontId="4" fillId="5" borderId="1" xfId="0" applyFont="1" applyFill="1" applyBorder="1" applyAlignment="1">
      <alignment horizontal="center"/>
    </xf>
    <xf numFmtId="165" fontId="7" fillId="0" borderId="20" xfId="0" applyNumberFormat="1" applyFont="1" applyBorder="1" applyAlignment="1"/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0" xfId="0" applyFont="1" applyAlignment="1"/>
    <xf numFmtId="166" fontId="4" fillId="5" borderId="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8" borderId="28" xfId="0" applyFont="1" applyFill="1" applyBorder="1" applyAlignment="1"/>
    <xf numFmtId="0" fontId="7" fillId="8" borderId="29" xfId="0" applyFont="1" applyFill="1" applyBorder="1" applyAlignment="1"/>
    <xf numFmtId="9" fontId="14" fillId="0" borderId="0" xfId="0" applyNumberFormat="1" applyFont="1" applyAlignment="1">
      <alignment horizontal="left"/>
    </xf>
    <xf numFmtId="0" fontId="7" fillId="8" borderId="30" xfId="0" applyFont="1" applyFill="1" applyBorder="1" applyAlignment="1"/>
    <xf numFmtId="0" fontId="7" fillId="8" borderId="1" xfId="0" applyFont="1" applyFill="1" applyBorder="1" applyAlignment="1"/>
    <xf numFmtId="165" fontId="7" fillId="0" borderId="13" xfId="0" applyNumberFormat="1" applyFont="1" applyBorder="1" applyAlignment="1"/>
    <xf numFmtId="0" fontId="4" fillId="0" borderId="0" xfId="0" applyFont="1" applyAlignment="1"/>
    <xf numFmtId="0" fontId="7" fillId="8" borderId="31" xfId="0" applyFont="1" applyFill="1" applyBorder="1" applyAlignment="1"/>
    <xf numFmtId="165" fontId="7" fillId="0" borderId="13" xfId="0" applyNumberFormat="1" applyFont="1" applyBorder="1" applyAlignment="1">
      <alignment horizontal="center"/>
    </xf>
    <xf numFmtId="167" fontId="12" fillId="0" borderId="14" xfId="0" applyNumberFormat="1" applyFont="1" applyBorder="1" applyAlignment="1">
      <alignment horizontal="left"/>
    </xf>
    <xf numFmtId="0" fontId="11" fillId="0" borderId="0" xfId="0" applyFont="1" applyAlignment="1"/>
    <xf numFmtId="165" fontId="7" fillId="0" borderId="32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8" borderId="36" xfId="0" applyFont="1" applyFill="1" applyBorder="1" applyAlignment="1"/>
    <xf numFmtId="165" fontId="7" fillId="4" borderId="13" xfId="0" applyNumberFormat="1" applyFont="1" applyFill="1" applyBorder="1" applyAlignment="1">
      <alignment horizontal="center"/>
    </xf>
    <xf numFmtId="0" fontId="7" fillId="8" borderId="1" xfId="0" applyFont="1" applyFill="1" applyBorder="1" applyAlignment="1"/>
    <xf numFmtId="0" fontId="7" fillId="0" borderId="14" xfId="0" applyFont="1" applyBorder="1" applyAlignment="1">
      <alignment horizontal="left"/>
    </xf>
    <xf numFmtId="164" fontId="7" fillId="0" borderId="20" xfId="0" applyNumberFormat="1" applyFont="1" applyBorder="1" applyAlignment="1">
      <alignment horizontal="center" vertical="center"/>
    </xf>
    <xf numFmtId="165" fontId="7" fillId="4" borderId="32" xfId="0" applyNumberFormat="1" applyFont="1" applyFill="1" applyBorder="1" applyAlignment="1"/>
    <xf numFmtId="0" fontId="7" fillId="0" borderId="37" xfId="0" applyFont="1" applyBorder="1" applyAlignment="1"/>
    <xf numFmtId="0" fontId="7" fillId="0" borderId="38" xfId="0" applyFont="1" applyBorder="1" applyAlignment="1"/>
    <xf numFmtId="0" fontId="1" fillId="0" borderId="38" xfId="0" applyFont="1" applyBorder="1"/>
    <xf numFmtId="0" fontId="7" fillId="0" borderId="38" xfId="0" applyFont="1" applyBorder="1" applyAlignment="1"/>
    <xf numFmtId="0" fontId="7" fillId="0" borderId="39" xfId="0" applyFont="1" applyBorder="1" applyAlignment="1"/>
    <xf numFmtId="165" fontId="7" fillId="7" borderId="15" xfId="0" applyNumberFormat="1" applyFont="1" applyFill="1" applyBorder="1" applyAlignment="1">
      <alignment horizontal="center"/>
    </xf>
    <xf numFmtId="165" fontId="7" fillId="7" borderId="27" xfId="0" applyNumberFormat="1" applyFont="1" applyFill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4" fillId="0" borderId="42" xfId="0" applyFont="1" applyBorder="1" applyAlignment="1"/>
    <xf numFmtId="165" fontId="7" fillId="0" borderId="15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44" xfId="0" applyNumberFormat="1" applyFont="1" applyBorder="1" applyAlignment="1">
      <alignment horizontal="center"/>
    </xf>
    <xf numFmtId="0" fontId="4" fillId="0" borderId="42" xfId="0" applyFont="1" applyBorder="1" applyAlignment="1"/>
    <xf numFmtId="165" fontId="7" fillId="0" borderId="46" xfId="0" applyNumberFormat="1" applyFont="1" applyBorder="1" applyAlignment="1">
      <alignment horizontal="center"/>
    </xf>
    <xf numFmtId="164" fontId="7" fillId="0" borderId="45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/>
    </xf>
    <xf numFmtId="168" fontId="4" fillId="0" borderId="40" xfId="0" applyNumberFormat="1" applyFont="1" applyBorder="1" applyAlignment="1">
      <alignment horizontal="center"/>
    </xf>
    <xf numFmtId="165" fontId="7" fillId="0" borderId="47" xfId="0" applyNumberFormat="1" applyFont="1" applyBorder="1" applyAlignment="1">
      <alignment horizontal="center"/>
    </xf>
    <xf numFmtId="164" fontId="7" fillId="0" borderId="0" xfId="0" applyNumberFormat="1" applyFont="1" applyAlignment="1"/>
    <xf numFmtId="164" fontId="7" fillId="0" borderId="46" xfId="0" applyNumberFormat="1" applyFont="1" applyBorder="1" applyAlignment="1">
      <alignment horizontal="center"/>
    </xf>
    <xf numFmtId="165" fontId="4" fillId="0" borderId="15" xfId="0" applyNumberFormat="1" applyFont="1" applyBorder="1" applyAlignment="1"/>
    <xf numFmtId="0" fontId="14" fillId="0" borderId="37" xfId="0" applyFont="1" applyBorder="1" applyAlignment="1"/>
    <xf numFmtId="0" fontId="7" fillId="0" borderId="42" xfId="0" applyFont="1" applyBorder="1" applyAlignment="1"/>
    <xf numFmtId="165" fontId="7" fillId="0" borderId="15" xfId="0" applyNumberFormat="1" applyFont="1" applyBorder="1" applyAlignment="1"/>
    <xf numFmtId="0" fontId="1" fillId="0" borderId="40" xfId="0" applyFont="1" applyBorder="1"/>
    <xf numFmtId="165" fontId="0" fillId="0" borderId="15" xfId="0" applyNumberFormat="1" applyFont="1" applyBorder="1" applyAlignment="1"/>
    <xf numFmtId="165" fontId="7" fillId="4" borderId="15" xfId="0" applyNumberFormat="1" applyFont="1" applyFill="1" applyBorder="1" applyAlignment="1">
      <alignment horizontal="center"/>
    </xf>
    <xf numFmtId="165" fontId="7" fillId="4" borderId="47" xfId="0" applyNumberFormat="1" applyFont="1" applyFill="1" applyBorder="1" applyAlignment="1">
      <alignment horizontal="center"/>
    </xf>
    <xf numFmtId="169" fontId="7" fillId="0" borderId="45" xfId="0" applyNumberFormat="1" applyFont="1" applyBorder="1" applyAlignment="1">
      <alignment horizontal="center" vertical="center"/>
    </xf>
    <xf numFmtId="0" fontId="14" fillId="0" borderId="38" xfId="0" applyFont="1" applyBorder="1" applyAlignment="1"/>
    <xf numFmtId="0" fontId="14" fillId="0" borderId="39" xfId="0" applyFont="1" applyBorder="1" applyAlignment="1"/>
    <xf numFmtId="0" fontId="14" fillId="0" borderId="0" xfId="0" applyFont="1" applyAlignment="1"/>
    <xf numFmtId="168" fontId="15" fillId="9" borderId="40" xfId="0" applyNumberFormat="1" applyFont="1" applyFill="1" applyBorder="1" applyAlignment="1"/>
    <xf numFmtId="170" fontId="7" fillId="0" borderId="15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7" fillId="0" borderId="8" xfId="0" applyNumberFormat="1" applyFont="1" applyBorder="1" applyAlignment="1"/>
    <xf numFmtId="0" fontId="14" fillId="0" borderId="48" xfId="0" applyFont="1" applyBorder="1" applyAlignment="1"/>
    <xf numFmtId="0" fontId="14" fillId="0" borderId="49" xfId="0" applyFont="1" applyBorder="1" applyAlignment="1">
      <alignment horizontal="right"/>
    </xf>
    <xf numFmtId="0" fontId="14" fillId="0" borderId="50" xfId="0" applyFont="1" applyBorder="1" applyAlignment="1">
      <alignment horizontal="right"/>
    </xf>
    <xf numFmtId="0" fontId="14" fillId="0" borderId="0" xfId="0" applyFont="1" applyAlignment="1">
      <alignment horizontal="left"/>
    </xf>
    <xf numFmtId="168" fontId="16" fillId="9" borderId="40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/>
    <xf numFmtId="0" fontId="4" fillId="0" borderId="7" xfId="0" applyFont="1" applyBorder="1" applyAlignment="1"/>
    <xf numFmtId="165" fontId="7" fillId="0" borderId="46" xfId="0" applyNumberFormat="1" applyFont="1" applyBorder="1" applyAlignment="1">
      <alignment horizontal="center"/>
    </xf>
    <xf numFmtId="0" fontId="4" fillId="0" borderId="10" xfId="0" applyFont="1" applyBorder="1" applyAlignment="1"/>
    <xf numFmtId="165" fontId="7" fillId="0" borderId="15" xfId="0" applyNumberFormat="1" applyFont="1" applyBorder="1" applyAlignment="1">
      <alignment horizontal="center"/>
    </xf>
    <xf numFmtId="168" fontId="7" fillId="0" borderId="40" xfId="0" applyNumberFormat="1" applyFont="1" applyBorder="1" applyAlignment="1">
      <alignment horizontal="center"/>
    </xf>
    <xf numFmtId="0" fontId="4" fillId="0" borderId="3" xfId="0" applyFont="1" applyBorder="1" applyAlignment="1"/>
    <xf numFmtId="165" fontId="7" fillId="0" borderId="51" xfId="0" applyNumberFormat="1" applyFont="1" applyBorder="1" applyAlignment="1"/>
    <xf numFmtId="0" fontId="7" fillId="0" borderId="51" xfId="0" applyFont="1" applyBorder="1" applyAlignment="1">
      <alignment horizontal="center"/>
    </xf>
    <xf numFmtId="165" fontId="7" fillId="0" borderId="47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165" fontId="14" fillId="0" borderId="53" xfId="0" applyNumberFormat="1" applyFont="1" applyBorder="1" applyAlignment="1">
      <alignment horizontal="center"/>
    </xf>
    <xf numFmtId="168" fontId="7" fillId="0" borderId="40" xfId="0" applyNumberFormat="1" applyFont="1" applyBorder="1" applyAlignment="1">
      <alignment horizontal="center"/>
    </xf>
    <xf numFmtId="165" fontId="14" fillId="0" borderId="54" xfId="0" applyNumberFormat="1" applyFont="1" applyBorder="1" applyAlignment="1">
      <alignment horizontal="center"/>
    </xf>
    <xf numFmtId="0" fontId="7" fillId="0" borderId="52" xfId="0" applyFont="1" applyBorder="1" applyAlignment="1"/>
    <xf numFmtId="0" fontId="4" fillId="0" borderId="12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32" xfId="0" applyFont="1" applyBorder="1" applyAlignment="1"/>
    <xf numFmtId="165" fontId="7" fillId="0" borderId="27" xfId="0" applyNumberFormat="1" applyFont="1" applyBorder="1" applyAlignment="1"/>
    <xf numFmtId="0" fontId="14" fillId="0" borderId="0" xfId="0" applyFont="1" applyAlignment="1">
      <alignment horizontal="right"/>
    </xf>
    <xf numFmtId="2" fontId="7" fillId="0" borderId="0" xfId="0" applyNumberFormat="1" applyFont="1" applyAlignment="1"/>
    <xf numFmtId="0" fontId="14" fillId="0" borderId="41" xfId="0" applyFont="1" applyBorder="1" applyAlignment="1">
      <alignment horizontal="right"/>
    </xf>
    <xf numFmtId="168" fontId="7" fillId="0" borderId="48" xfId="0" applyNumberFormat="1" applyFont="1" applyBorder="1" applyAlignment="1">
      <alignment horizontal="center"/>
    </xf>
    <xf numFmtId="171" fontId="7" fillId="0" borderId="15" xfId="0" applyNumberFormat="1" applyFont="1" applyBorder="1" applyAlignment="1"/>
    <xf numFmtId="0" fontId="7" fillId="0" borderId="49" xfId="0" applyFont="1" applyBorder="1" applyAlignment="1"/>
    <xf numFmtId="0" fontId="7" fillId="0" borderId="50" xfId="0" applyFont="1" applyBorder="1" applyAlignment="1"/>
    <xf numFmtId="172" fontId="7" fillId="0" borderId="27" xfId="0" applyNumberFormat="1" applyFont="1" applyBorder="1" applyAlignment="1"/>
    <xf numFmtId="0" fontId="7" fillId="0" borderId="14" xfId="0" applyFont="1" applyBorder="1" applyAlignment="1">
      <alignment horizontal="left"/>
    </xf>
    <xf numFmtId="170" fontId="7" fillId="0" borderId="15" xfId="0" applyNumberFormat="1" applyFont="1" applyBorder="1" applyAlignment="1">
      <alignment horizontal="center"/>
    </xf>
    <xf numFmtId="0" fontId="7" fillId="0" borderId="55" xfId="0" applyFont="1" applyBorder="1" applyAlignment="1"/>
    <xf numFmtId="0" fontId="4" fillId="0" borderId="14" xfId="0" applyFont="1" applyBorder="1" applyAlignment="1">
      <alignment horizontal="left"/>
    </xf>
    <xf numFmtId="173" fontId="7" fillId="0" borderId="56" xfId="0" applyNumberFormat="1" applyFont="1" applyBorder="1" applyAlignment="1">
      <alignment horizontal="center"/>
    </xf>
    <xf numFmtId="174" fontId="7" fillId="0" borderId="15" xfId="0" applyNumberFormat="1" applyFont="1" applyBorder="1" applyAlignment="1">
      <alignment horizontal="center"/>
    </xf>
    <xf numFmtId="174" fontId="7" fillId="0" borderId="20" xfId="0" applyNumberFormat="1" applyFont="1" applyBorder="1" applyAlignment="1">
      <alignment horizontal="center"/>
    </xf>
    <xf numFmtId="174" fontId="7" fillId="0" borderId="57" xfId="0" applyNumberFormat="1" applyFont="1" applyBorder="1" applyAlignment="1"/>
    <xf numFmtId="0" fontId="7" fillId="0" borderId="15" xfId="0" applyFont="1" applyBorder="1" applyAlignment="1">
      <alignment horizontal="center"/>
    </xf>
    <xf numFmtId="174" fontId="7" fillId="0" borderId="15" xfId="0" applyNumberFormat="1" applyFont="1" applyBorder="1" applyAlignment="1"/>
    <xf numFmtId="173" fontId="7" fillId="0" borderId="20" xfId="0" applyNumberFormat="1" applyFont="1" applyBorder="1" applyAlignment="1">
      <alignment horizontal="center"/>
    </xf>
    <xf numFmtId="0" fontId="4" fillId="0" borderId="55" xfId="0" applyFont="1" applyBorder="1" applyAlignment="1"/>
    <xf numFmtId="173" fontId="7" fillId="0" borderId="58" xfId="0" applyNumberFormat="1" applyFont="1" applyBorder="1" applyAlignment="1">
      <alignment horizontal="center"/>
    </xf>
    <xf numFmtId="10" fontId="7" fillId="0" borderId="20" xfId="0" applyNumberFormat="1" applyFont="1" applyBorder="1" applyAlignment="1">
      <alignment horizontal="center"/>
    </xf>
    <xf numFmtId="174" fontId="4" fillId="0" borderId="15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174" fontId="7" fillId="0" borderId="56" xfId="0" applyNumberFormat="1" applyFont="1" applyBorder="1" applyAlignment="1">
      <alignment horizontal="center"/>
    </xf>
    <xf numFmtId="174" fontId="7" fillId="0" borderId="58" xfId="0" applyNumberFormat="1" applyFont="1" applyBorder="1" applyAlignment="1"/>
    <xf numFmtId="10" fontId="7" fillId="0" borderId="8" xfId="0" applyNumberFormat="1" applyFont="1" applyBorder="1" applyAlignment="1">
      <alignment horizontal="center"/>
    </xf>
    <xf numFmtId="0" fontId="4" fillId="0" borderId="59" xfId="0" applyFont="1" applyBorder="1" applyAlignment="1"/>
    <xf numFmtId="174" fontId="7" fillId="0" borderId="0" xfId="0" applyNumberFormat="1" applyFont="1" applyAlignment="1"/>
    <xf numFmtId="165" fontId="7" fillId="0" borderId="60" xfId="0" applyNumberFormat="1" applyFont="1" applyBorder="1" applyAlignment="1">
      <alignment horizontal="center"/>
    </xf>
    <xf numFmtId="0" fontId="7" fillId="0" borderId="3" xfId="0" applyFont="1" applyBorder="1" applyAlignment="1"/>
    <xf numFmtId="165" fontId="7" fillId="0" borderId="8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65" fontId="7" fillId="0" borderId="61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17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5" fontId="7" fillId="7" borderId="15" xfId="0" applyNumberFormat="1" applyFont="1" applyFill="1" applyBorder="1" applyAlignment="1"/>
    <xf numFmtId="165" fontId="7" fillId="0" borderId="27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168" fontId="4" fillId="0" borderId="51" xfId="0" applyNumberFormat="1" applyFont="1" applyBorder="1" applyAlignment="1">
      <alignment horizontal="center"/>
    </xf>
    <xf numFmtId="168" fontId="4" fillId="0" borderId="52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0" xfId="0" applyFont="1" applyBorder="1" applyAlignment="1"/>
    <xf numFmtId="9" fontId="14" fillId="0" borderId="0" xfId="0" applyNumberFormat="1" applyFont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9" fontId="14" fillId="0" borderId="49" xfId="0" applyNumberFormat="1" applyFont="1" applyBorder="1" applyAlignment="1">
      <alignment horizontal="center"/>
    </xf>
    <xf numFmtId="0" fontId="14" fillId="0" borderId="50" xfId="0" applyFont="1" applyBorder="1" applyAlignment="1"/>
    <xf numFmtId="10" fontId="14" fillId="0" borderId="0" xfId="0" applyNumberFormat="1" applyFont="1" applyAlignment="1">
      <alignment horizontal="right"/>
    </xf>
    <xf numFmtId="165" fontId="7" fillId="0" borderId="20" xfId="0" applyNumberFormat="1" applyFont="1" applyBorder="1" applyAlignment="1">
      <alignment horizontal="center"/>
    </xf>
    <xf numFmtId="165" fontId="7" fillId="0" borderId="57" xfId="0" applyNumberFormat="1" applyFont="1" applyBorder="1" applyAlignment="1">
      <alignment horizontal="center"/>
    </xf>
    <xf numFmtId="9" fontId="14" fillId="0" borderId="49" xfId="0" applyNumberFormat="1" applyFont="1" applyBorder="1" applyAlignment="1">
      <alignment horizontal="right"/>
    </xf>
    <xf numFmtId="0" fontId="14" fillId="0" borderId="3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14" fillId="0" borderId="39" xfId="0" applyNumberFormat="1" applyFont="1" applyBorder="1" applyAlignment="1">
      <alignment horizontal="right"/>
    </xf>
    <xf numFmtId="165" fontId="7" fillId="0" borderId="51" xfId="0" applyNumberFormat="1" applyFont="1" applyBorder="1" applyAlignment="1">
      <alignment horizontal="center"/>
    </xf>
    <xf numFmtId="165" fontId="7" fillId="0" borderId="52" xfId="0" applyNumberFormat="1" applyFont="1" applyBorder="1" applyAlignment="1">
      <alignment horizontal="center"/>
    </xf>
    <xf numFmtId="9" fontId="14" fillId="0" borderId="41" xfId="0" applyNumberFormat="1" applyFont="1" applyBorder="1" applyAlignment="1">
      <alignment horizontal="right"/>
    </xf>
    <xf numFmtId="10" fontId="14" fillId="0" borderId="41" xfId="0" applyNumberFormat="1" applyFont="1" applyBorder="1" applyAlignment="1">
      <alignment horizontal="right"/>
    </xf>
    <xf numFmtId="9" fontId="14" fillId="0" borderId="50" xfId="0" applyNumberFormat="1" applyFont="1" applyBorder="1" applyAlignment="1">
      <alignment horizontal="right"/>
    </xf>
    <xf numFmtId="0" fontId="14" fillId="0" borderId="50" xfId="0" applyFont="1" applyBorder="1" applyAlignment="1">
      <alignment horizontal="center"/>
    </xf>
    <xf numFmtId="0" fontId="14" fillId="0" borderId="39" xfId="0" applyFont="1" applyBorder="1" applyAlignment="1">
      <alignment horizontal="right"/>
    </xf>
    <xf numFmtId="174" fontId="7" fillId="0" borderId="27" xfId="0" applyNumberFormat="1" applyFont="1" applyBorder="1" applyAlignment="1"/>
    <xf numFmtId="9" fontId="7" fillId="0" borderId="15" xfId="0" applyNumberFormat="1" applyFont="1" applyBorder="1" applyAlignment="1">
      <alignment horizontal="center"/>
    </xf>
    <xf numFmtId="9" fontId="7" fillId="0" borderId="27" xfId="0" applyNumberFormat="1" applyFon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10" fontId="14" fillId="0" borderId="0" xfId="0" applyNumberFormat="1" applyFont="1" applyAlignment="1">
      <alignment horizontal="left"/>
    </xf>
    <xf numFmtId="9" fontId="7" fillId="0" borderId="15" xfId="0" applyNumberFormat="1" applyFont="1" applyBorder="1" applyAlignment="1">
      <alignment horizontal="center"/>
    </xf>
    <xf numFmtId="9" fontId="7" fillId="0" borderId="27" xfId="0" applyNumberFormat="1" applyFon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10" fontId="14" fillId="0" borderId="50" xfId="0" applyNumberFormat="1" applyFont="1" applyBorder="1" applyAlignment="1">
      <alignment horizontal="right"/>
    </xf>
    <xf numFmtId="176" fontId="7" fillId="0" borderId="15" xfId="0" applyNumberFormat="1" applyFont="1" applyBorder="1" applyAlignment="1">
      <alignment horizontal="center"/>
    </xf>
    <xf numFmtId="176" fontId="7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9" fontId="7" fillId="0" borderId="15" xfId="0" applyNumberFormat="1" applyFont="1" applyBorder="1" applyAlignment="1"/>
    <xf numFmtId="9" fontId="7" fillId="0" borderId="27" xfId="0" applyNumberFormat="1" applyFont="1" applyBorder="1" applyAlignment="1"/>
    <xf numFmtId="170" fontId="7" fillId="0" borderId="15" xfId="0" applyNumberFormat="1" applyFont="1" applyBorder="1" applyAlignment="1"/>
    <xf numFmtId="170" fontId="7" fillId="0" borderId="27" xfId="0" applyNumberFormat="1" applyFont="1" applyBorder="1" applyAlignment="1"/>
    <xf numFmtId="10" fontId="7" fillId="0" borderId="8" xfId="0" applyNumberFormat="1" applyFont="1" applyBorder="1" applyAlignment="1"/>
    <xf numFmtId="0" fontId="9" fillId="0" borderId="0" xfId="0" applyFont="1" applyAlignment="1"/>
    <xf numFmtId="0" fontId="4" fillId="0" borderId="8" xfId="0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165" fontId="7" fillId="0" borderId="63" xfId="0" applyNumberFormat="1" applyFont="1" applyBorder="1" applyAlignment="1">
      <alignment horizontal="center"/>
    </xf>
    <xf numFmtId="165" fontId="7" fillId="0" borderId="64" xfId="0" applyNumberFormat="1" applyFont="1" applyBorder="1" applyAlignment="1">
      <alignment horizontal="center"/>
    </xf>
    <xf numFmtId="165" fontId="7" fillId="0" borderId="64" xfId="0" applyNumberFormat="1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65" xfId="0" applyFont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165" fontId="1" fillId="0" borderId="0" xfId="0" applyNumberFormat="1" applyFont="1"/>
    <xf numFmtId="0" fontId="4" fillId="0" borderId="55" xfId="0" applyFont="1" applyBorder="1" applyAlignment="1">
      <alignment horizontal="center"/>
    </xf>
    <xf numFmtId="0" fontId="4" fillId="0" borderId="67" xfId="0" applyFont="1" applyBorder="1" applyAlignment="1"/>
    <xf numFmtId="165" fontId="7" fillId="0" borderId="68" xfId="0" applyNumberFormat="1" applyFont="1" applyBorder="1" applyAlignment="1">
      <alignment horizontal="center"/>
    </xf>
    <xf numFmtId="0" fontId="7" fillId="0" borderId="69" xfId="0" applyFont="1" applyBorder="1" applyAlignment="1"/>
    <xf numFmtId="165" fontId="7" fillId="0" borderId="0" xfId="0" applyNumberFormat="1" applyFont="1" applyAlignment="1"/>
    <xf numFmtId="165" fontId="7" fillId="0" borderId="53" xfId="0" applyNumberFormat="1" applyFont="1" applyBorder="1" applyAlignment="1">
      <alignment horizontal="center"/>
    </xf>
    <xf numFmtId="0" fontId="4" fillId="0" borderId="69" xfId="0" applyFont="1" applyBorder="1" applyAlignment="1"/>
    <xf numFmtId="165" fontId="4" fillId="0" borderId="8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69" xfId="0" applyFont="1" applyBorder="1" applyAlignment="1">
      <alignment horizontal="left"/>
    </xf>
    <xf numFmtId="0" fontId="4" fillId="0" borderId="70" xfId="0" applyFont="1" applyBorder="1" applyAlignment="1"/>
    <xf numFmtId="165" fontId="7" fillId="0" borderId="71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67" xfId="0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165" fontId="17" fillId="4" borderId="0" xfId="0" applyNumberFormat="1" applyFont="1" applyFill="1"/>
    <xf numFmtId="4" fontId="14" fillId="0" borderId="72" xfId="0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7" fillId="0" borderId="1" xfId="0" applyFont="1" applyBorder="1" applyAlignment="1"/>
    <xf numFmtId="0" fontId="9" fillId="0" borderId="3" xfId="0" applyFont="1" applyBorder="1" applyAlignment="1">
      <alignment horizontal="left"/>
    </xf>
    <xf numFmtId="0" fontId="4" fillId="0" borderId="64" xfId="0" applyFont="1" applyBorder="1" applyAlignment="1">
      <alignment horizontal="center"/>
    </xf>
    <xf numFmtId="165" fontId="7" fillId="0" borderId="62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" xfId="0" applyNumberFormat="1" applyFont="1" applyBorder="1" applyAlignment="1"/>
    <xf numFmtId="2" fontId="7" fillId="0" borderId="1" xfId="0" applyNumberFormat="1" applyFont="1" applyBorder="1" applyAlignment="1"/>
    <xf numFmtId="0" fontId="7" fillId="0" borderId="0" xfId="0" applyFont="1" applyAlignment="1">
      <alignment horizontal="center"/>
    </xf>
    <xf numFmtId="9" fontId="7" fillId="0" borderId="1" xfId="0" applyNumberFormat="1" applyFont="1" applyBorder="1" applyAlignment="1"/>
    <xf numFmtId="10" fontId="4" fillId="0" borderId="8" xfId="0" applyNumberFormat="1" applyFont="1" applyBorder="1" applyAlignment="1">
      <alignment horizontal="center"/>
    </xf>
    <xf numFmtId="0" fontId="13" fillId="3" borderId="73" xfId="0" applyFont="1" applyFill="1" applyBorder="1" applyAlignment="1"/>
    <xf numFmtId="9" fontId="4" fillId="0" borderId="8" xfId="0" applyNumberFormat="1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10" fontId="4" fillId="0" borderId="7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0" borderId="75" xfId="0" applyFont="1" applyBorder="1" applyAlignment="1">
      <alignment horizontal="left"/>
    </xf>
    <xf numFmtId="0" fontId="9" fillId="0" borderId="76" xfId="0" applyFont="1" applyBorder="1" applyAlignment="1">
      <alignment horizontal="left"/>
    </xf>
    <xf numFmtId="0" fontId="9" fillId="0" borderId="77" xfId="0" applyFont="1" applyBorder="1" applyAlignment="1">
      <alignment horizontal="left"/>
    </xf>
    <xf numFmtId="0" fontId="4" fillId="0" borderId="78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7" fillId="0" borderId="3" xfId="0" applyFont="1" applyBorder="1" applyAlignment="1"/>
    <xf numFmtId="9" fontId="7" fillId="0" borderId="51" xfId="0" applyNumberFormat="1" applyFont="1" applyBorder="1" applyAlignment="1"/>
    <xf numFmtId="0" fontId="7" fillId="0" borderId="14" xfId="0" applyFont="1" applyBorder="1" applyAlignment="1"/>
    <xf numFmtId="177" fontId="7" fillId="0" borderId="14" xfId="0" applyNumberFormat="1" applyFont="1" applyBorder="1" applyAlignment="1"/>
    <xf numFmtId="177" fontId="7" fillId="0" borderId="55" xfId="0" applyNumberFormat="1" applyFont="1" applyBorder="1" applyAlignment="1"/>
    <xf numFmtId="9" fontId="7" fillId="0" borderId="20" xfId="0" applyNumberFormat="1" applyFont="1" applyBorder="1" applyAlignment="1"/>
    <xf numFmtId="0" fontId="4" fillId="0" borderId="83" xfId="0" applyFont="1" applyBorder="1" applyAlignment="1">
      <alignment horizontal="right"/>
    </xf>
    <xf numFmtId="9" fontId="7" fillId="0" borderId="83" xfId="0" applyNumberFormat="1" applyFont="1" applyBorder="1" applyAlignment="1"/>
    <xf numFmtId="0" fontId="7" fillId="0" borderId="0" xfId="0" applyFont="1" applyAlignment="1">
      <alignment horizontal="left"/>
    </xf>
    <xf numFmtId="165" fontId="4" fillId="0" borderId="83" xfId="0" applyNumberFormat="1" applyFont="1" applyBorder="1" applyAlignment="1">
      <alignment horizontal="center"/>
    </xf>
    <xf numFmtId="177" fontId="7" fillId="0" borderId="12" xfId="0" applyNumberFormat="1" applyFont="1" applyBorder="1" applyAlignment="1"/>
    <xf numFmtId="165" fontId="7" fillId="0" borderId="84" xfId="0" applyNumberFormat="1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165" fontId="7" fillId="0" borderId="66" xfId="0" applyNumberFormat="1" applyFont="1" applyBorder="1" applyAlignment="1">
      <alignment horizontal="center"/>
    </xf>
    <xf numFmtId="0" fontId="7" fillId="0" borderId="86" xfId="0" applyFont="1" applyBorder="1" applyAlignment="1"/>
    <xf numFmtId="165" fontId="4" fillId="0" borderId="32" xfId="0" applyNumberFormat="1" applyFont="1" applyBorder="1" applyAlignment="1">
      <alignment horizontal="center"/>
    </xf>
    <xf numFmtId="165" fontId="7" fillId="0" borderId="68" xfId="0" applyNumberFormat="1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6" fontId="7" fillId="0" borderId="15" xfId="0" applyNumberFormat="1" applyFont="1" applyBorder="1" applyAlignment="1">
      <alignment horizontal="center"/>
    </xf>
    <xf numFmtId="0" fontId="7" fillId="0" borderId="69" xfId="0" applyFont="1" applyBorder="1" applyAlignment="1">
      <alignment horizontal="left"/>
    </xf>
    <xf numFmtId="176" fontId="7" fillId="0" borderId="27" xfId="0" applyNumberFormat="1" applyFont="1" applyBorder="1" applyAlignment="1">
      <alignment horizontal="center"/>
    </xf>
    <xf numFmtId="176" fontId="7" fillId="0" borderId="15" xfId="0" applyNumberFormat="1" applyFont="1" applyBorder="1" applyAlignment="1"/>
    <xf numFmtId="165" fontId="18" fillId="0" borderId="0" xfId="0" applyNumberFormat="1" applyFont="1"/>
    <xf numFmtId="176" fontId="7" fillId="0" borderId="15" xfId="0" applyNumberFormat="1" applyFont="1" applyBorder="1" applyAlignment="1"/>
    <xf numFmtId="176" fontId="7" fillId="0" borderId="64" xfId="0" applyNumberFormat="1" applyFont="1" applyBorder="1" applyAlignment="1"/>
    <xf numFmtId="176" fontId="7" fillId="0" borderId="27" xfId="0" applyNumberFormat="1" applyFont="1" applyBorder="1" applyAlignment="1"/>
    <xf numFmtId="165" fontId="7" fillId="0" borderId="53" xfId="0" applyNumberFormat="1" applyFont="1" applyBorder="1" applyAlignment="1">
      <alignment horizontal="center"/>
    </xf>
    <xf numFmtId="164" fontId="7" fillId="0" borderId="15" xfId="0" applyNumberFormat="1" applyFont="1" applyBorder="1" applyAlignment="1"/>
    <xf numFmtId="164" fontId="7" fillId="0" borderId="27" xfId="0" applyNumberFormat="1" applyFont="1" applyBorder="1" applyAlignment="1"/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64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5" fontId="7" fillId="0" borderId="87" xfId="0" applyNumberFormat="1" applyFont="1" applyBorder="1" applyAlignment="1">
      <alignment horizontal="center"/>
    </xf>
    <xf numFmtId="164" fontId="7" fillId="0" borderId="8" xfId="0" applyNumberFormat="1" applyFont="1" applyBorder="1" applyAlignment="1"/>
    <xf numFmtId="164" fontId="7" fillId="0" borderId="62" xfId="0" applyNumberFormat="1" applyFont="1" applyBorder="1" applyAlignment="1"/>
    <xf numFmtId="164" fontId="7" fillId="0" borderId="10" xfId="0" applyNumberFormat="1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165" fontId="7" fillId="0" borderId="89" xfId="0" applyNumberFormat="1" applyFont="1" applyBorder="1" applyAlignment="1">
      <alignment horizontal="center"/>
    </xf>
    <xf numFmtId="165" fontId="7" fillId="0" borderId="90" xfId="0" applyNumberFormat="1" applyFont="1" applyBorder="1" applyAlignment="1">
      <alignment horizontal="center"/>
    </xf>
    <xf numFmtId="165" fontId="7" fillId="0" borderId="90" xfId="0" applyNumberFormat="1" applyFont="1" applyBorder="1" applyAlignment="1"/>
    <xf numFmtId="176" fontId="7" fillId="0" borderId="90" xfId="0" applyNumberFormat="1" applyFont="1" applyBorder="1" applyAlignment="1">
      <alignment horizontal="center"/>
    </xf>
    <xf numFmtId="165" fontId="7" fillId="0" borderId="90" xfId="0" applyNumberFormat="1" applyFont="1" applyBorder="1" applyAlignment="1">
      <alignment horizontal="center"/>
    </xf>
    <xf numFmtId="178" fontId="7" fillId="0" borderId="90" xfId="0" applyNumberFormat="1" applyFont="1" applyBorder="1" applyAlignment="1">
      <alignment horizontal="center"/>
    </xf>
    <xf numFmtId="176" fontId="7" fillId="0" borderId="90" xfId="0" applyNumberFormat="1" applyFont="1" applyBorder="1" applyAlignment="1"/>
    <xf numFmtId="165" fontId="7" fillId="0" borderId="20" xfId="0" applyNumberFormat="1" applyFont="1" applyBorder="1" applyAlignment="1">
      <alignment horizontal="center"/>
    </xf>
    <xf numFmtId="165" fontId="7" fillId="0" borderId="91" xfId="0" applyNumberFormat="1" applyFont="1" applyBorder="1" applyAlignment="1">
      <alignment horizontal="center"/>
    </xf>
    <xf numFmtId="0" fontId="4" fillId="0" borderId="92" xfId="0" applyFont="1" applyBorder="1" applyAlignment="1"/>
    <xf numFmtId="165" fontId="7" fillId="0" borderId="7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74" fontId="7" fillId="0" borderId="0" xfId="0" applyNumberFormat="1" applyFont="1" applyAlignment="1">
      <alignment horizontal="center"/>
    </xf>
    <xf numFmtId="174" fontId="7" fillId="0" borderId="0" xfId="0" applyNumberFormat="1" applyFont="1" applyAlignment="1">
      <alignment horizontal="center"/>
    </xf>
    <xf numFmtId="174" fontId="19" fillId="0" borderId="0" xfId="0" applyNumberFormat="1" applyFont="1"/>
    <xf numFmtId="0" fontId="13" fillId="3" borderId="73" xfId="0" applyFont="1" applyFill="1" applyBorder="1" applyAlignment="1">
      <alignment horizontal="center"/>
    </xf>
    <xf numFmtId="0" fontId="20" fillId="0" borderId="0" xfId="0" applyFont="1" applyAlignment="1"/>
    <xf numFmtId="1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79" fontId="7" fillId="0" borderId="0" xfId="0" applyNumberFormat="1" applyFont="1" applyAlignment="1"/>
    <xf numFmtId="180" fontId="7" fillId="0" borderId="0" xfId="0" applyNumberFormat="1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6" fillId="3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/>
    <xf numFmtId="0" fontId="11" fillId="3" borderId="16" xfId="0" applyFont="1" applyFill="1" applyBorder="1" applyAlignment="1">
      <alignment horizontal="left"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3" fillId="3" borderId="16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/>
    </xf>
    <xf numFmtId="0" fontId="7" fillId="8" borderId="33" xfId="0" applyFont="1" applyFill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164" fontId="7" fillId="7" borderId="20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7" fillId="0" borderId="20" xfId="0" applyNumberFormat="1" applyFont="1" applyBorder="1" applyAlignment="1">
      <alignment horizontal="center" vertical="center"/>
    </xf>
    <xf numFmtId="0" fontId="1" fillId="0" borderId="45" xfId="0" applyFont="1" applyBorder="1"/>
    <xf numFmtId="0" fontId="1" fillId="0" borderId="26" xfId="0" applyFont="1" applyBorder="1"/>
    <xf numFmtId="0" fontId="14" fillId="0" borderId="4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48" xfId="0" applyFont="1" applyBorder="1" applyAlignment="1">
      <alignment horizontal="left"/>
    </xf>
    <xf numFmtId="0" fontId="1" fillId="0" borderId="49" xfId="0" applyFont="1" applyBorder="1"/>
    <xf numFmtId="0" fontId="14" fillId="0" borderId="0" xfId="0" applyFont="1" applyAlignment="1"/>
    <xf numFmtId="0" fontId="14" fillId="0" borderId="38" xfId="0" applyFont="1" applyBorder="1" applyAlignment="1">
      <alignment horizontal="center"/>
    </xf>
    <xf numFmtId="0" fontId="1" fillId="0" borderId="38" xfId="0" applyFont="1" applyBorder="1"/>
    <xf numFmtId="9" fontId="14" fillId="0" borderId="0" xfId="0" applyNumberFormat="1" applyFont="1" applyAlignment="1">
      <alignment horizontal="center"/>
    </xf>
    <xf numFmtId="9" fontId="14" fillId="0" borderId="49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48" xfId="0" applyFont="1" applyBorder="1" applyAlignment="1"/>
    <xf numFmtId="0" fontId="13" fillId="3" borderId="2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1" fillId="0" borderId="53" xfId="0" applyFont="1" applyBorder="1"/>
    <xf numFmtId="0" fontId="1" fillId="0" borderId="66" xfId="0" applyFont="1" applyBorder="1"/>
    <xf numFmtId="0" fontId="13" fillId="3" borderId="2" xfId="0" applyFont="1" applyFill="1" applyBorder="1" applyAlignment="1">
      <alignment horizontal="center"/>
    </xf>
  </cellXfs>
  <cellStyles count="1">
    <cellStyle name="Normal" xfId="0" builtinId="0"/>
  </cellStyles>
  <dxfs count="42"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baba.com/trade/search?IndexArea=product_en&amp;CatId=100006959&amp;fsb=y&amp;SearchText=cooling+tank" TargetMode="External"/><Relationship Id="rId13" Type="http://schemas.openxmlformats.org/officeDocument/2006/relationships/hyperlink" Target="https://articulo.mercadolibre.com.ar/MLA-630901801-freezer-conservadora-de-helados-fam-30-baldes-heladeria-_JM" TargetMode="External"/><Relationship Id="rId3" Type="http://schemas.openxmlformats.org/officeDocument/2006/relationships/hyperlink" Target="https://articulo.mercadolibre.com.ar/MLA-616159887-balanza-gancho-pilon-digital-colgante-500-kg-electronica-_JM" TargetMode="External"/><Relationship Id="rId7" Type="http://schemas.openxmlformats.org/officeDocument/2006/relationships/hyperlink" Target="https://www.alibaba.com/trade/search?fsb=y&amp;IndexArea=product_en&amp;CatId=&amp;SearchText=homogenizer+for+ice+cream&amp;viewtype=" TargetMode="External"/><Relationship Id="rId12" Type="http://schemas.openxmlformats.org/officeDocument/2006/relationships/hyperlink" Target="https://articulo.mercadolibre.com.ar/MLA-633659349-juego-de-mesa-2-sillones-aluminio-simil-ratan-chocolate-_JM" TargetMode="External"/><Relationship Id="rId2" Type="http://schemas.openxmlformats.org/officeDocument/2006/relationships/hyperlink" Target="https://mapa.buenosaires.gob.ar/mapas/?lat=-34.593120&amp;lng=-58.425272&amp;zl=15&amp;modo=transporte&amp;map=precios_de_terrenos" TargetMode="External"/><Relationship Id="rId1" Type="http://schemas.openxmlformats.org/officeDocument/2006/relationships/hyperlink" Target="https://mapa.buenosaires.gob.ar/mapas/?lat=-34.593120&amp;lng=-58.425272&amp;zl=15&amp;modo=transporte&amp;map=precios_de_terrenos" TargetMode="External"/><Relationship Id="rId6" Type="http://schemas.openxmlformats.org/officeDocument/2006/relationships/hyperlink" Target="https://www.alibaba.com/trade/search?fsb=y&amp;IndexArea=product_en&amp;CatId=&amp;SearchText=pasteurizer+for+ice+cream" TargetMode="External"/><Relationship Id="rId11" Type="http://schemas.openxmlformats.org/officeDocument/2006/relationships/hyperlink" Target="https://articulo.mercadolibre.com.ar/MLA-731639145-lavatorio-bacha-roca-ibis-bano-lavamanos-lado-izquierdo-1-ag-_JM" TargetMode="External"/><Relationship Id="rId5" Type="http://schemas.openxmlformats.org/officeDocument/2006/relationships/hyperlink" Target="https://www.alibaba.com/trade/search?f0=y&amp;IndexArea=product_en&amp;CatId=&amp;SearchText=mixer+machines&amp;viewtype=&amp;refine_attr_value=139-7771" TargetMode="External"/><Relationship Id="rId10" Type="http://schemas.openxmlformats.org/officeDocument/2006/relationships/hyperlink" Target="https://articulo.mercadolibre.com.ar/MLA-677903441-inodoro-deposito-tapa-mochila-dual-moderno-diseno-_JM" TargetMode="External"/><Relationship Id="rId4" Type="http://schemas.openxmlformats.org/officeDocument/2006/relationships/hyperlink" Target="https://www.alibaba.com/trade/search?IndexArea=product_en&amp;CatId=&amp;fsb=y&amp;SearchText=powder+mixer" TargetMode="External"/><Relationship Id="rId9" Type="http://schemas.openxmlformats.org/officeDocument/2006/relationships/hyperlink" Target="https://vehiculo.mercadolibre.com.ar/MLA-705125027-autoelevador-lonking-lg25dt-triple-torre-45m-levante-25tn-_JM" TargetMode="External"/><Relationship Id="rId14" Type="http://schemas.openxmlformats.org/officeDocument/2006/relationships/hyperlink" Target="http://www.camarasfrigorificass.es/XS-500-500-1020-1-C-150-19-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4"/>
  <sheetViews>
    <sheetView workbookViewId="0">
      <selection sqref="A1:F1"/>
    </sheetView>
  </sheetViews>
  <sheetFormatPr baseColWidth="10" defaultColWidth="14.42578125" defaultRowHeight="15" customHeight="1"/>
  <cols>
    <col min="1" max="1" width="22.5703125" customWidth="1"/>
    <col min="4" max="4" width="14.85546875" customWidth="1"/>
  </cols>
  <sheetData>
    <row r="1" spans="1:6" ht="12.75">
      <c r="A1" s="343" t="s">
        <v>0</v>
      </c>
      <c r="B1" s="344"/>
      <c r="C1" s="344"/>
      <c r="D1" s="344"/>
      <c r="E1" s="344"/>
      <c r="F1" s="344"/>
    </row>
    <row r="2" spans="1:6" ht="12.75">
      <c r="A2" s="1" t="s">
        <v>1</v>
      </c>
      <c r="B2" s="1" t="s">
        <v>4</v>
      </c>
      <c r="C2" s="1" t="s">
        <v>5</v>
      </c>
      <c r="D2" s="1" t="s">
        <v>6</v>
      </c>
      <c r="E2" s="1" t="s">
        <v>7</v>
      </c>
    </row>
    <row r="3" spans="1:6" ht="25.5">
      <c r="A3" s="3" t="s">
        <v>8</v>
      </c>
      <c r="B3" s="4">
        <v>540</v>
      </c>
      <c r="C3" s="4" t="s">
        <v>9</v>
      </c>
      <c r="D3" s="5" t="s">
        <v>10</v>
      </c>
    </row>
    <row r="4" spans="1:6" ht="12.75">
      <c r="A4" s="3" t="s">
        <v>11</v>
      </c>
      <c r="B4" s="4">
        <v>1227</v>
      </c>
      <c r="C4" s="4" t="s">
        <v>12</v>
      </c>
      <c r="D4" s="5" t="s">
        <v>13</v>
      </c>
      <c r="E4" s="7" t="s">
        <v>14</v>
      </c>
    </row>
    <row r="5" spans="1:6" ht="12.75">
      <c r="A5" s="3" t="s">
        <v>16</v>
      </c>
      <c r="B5" s="4">
        <v>500000</v>
      </c>
      <c r="C5" s="4" t="s">
        <v>17</v>
      </c>
      <c r="D5" s="5" t="s">
        <v>18</v>
      </c>
    </row>
    <row r="6" spans="1:6" ht="27.75" customHeight="1">
      <c r="A6" s="8" t="s">
        <v>19</v>
      </c>
      <c r="B6" s="4">
        <v>881</v>
      </c>
      <c r="C6" s="4" t="s">
        <v>12</v>
      </c>
      <c r="D6" s="5" t="s">
        <v>20</v>
      </c>
      <c r="E6" s="10" t="s">
        <v>14</v>
      </c>
    </row>
    <row r="7" spans="1:6" ht="12.75">
      <c r="A7" s="3" t="s">
        <v>22</v>
      </c>
      <c r="B7" s="3">
        <v>9050</v>
      </c>
      <c r="C7" s="3" t="s">
        <v>17</v>
      </c>
      <c r="D7" s="5"/>
      <c r="E7" s="7" t="s">
        <v>23</v>
      </c>
    </row>
    <row r="8" spans="1:6" ht="204">
      <c r="A8" s="3" t="s">
        <v>24</v>
      </c>
      <c r="B8" s="3">
        <f>4500*4</f>
        <v>18000</v>
      </c>
      <c r="C8" s="3" t="s">
        <v>12</v>
      </c>
      <c r="D8" s="5" t="s">
        <v>26</v>
      </c>
      <c r="E8" s="7" t="s">
        <v>27</v>
      </c>
    </row>
    <row r="9" spans="1:6" ht="140.25">
      <c r="A9" s="3" t="s">
        <v>28</v>
      </c>
      <c r="B9" s="3">
        <v>10500</v>
      </c>
      <c r="C9" s="3" t="s">
        <v>12</v>
      </c>
      <c r="D9" s="5" t="s">
        <v>29</v>
      </c>
      <c r="E9" s="7" t="s">
        <v>30</v>
      </c>
    </row>
    <row r="10" spans="1:6" ht="12.75">
      <c r="A10" s="3" t="s">
        <v>31</v>
      </c>
      <c r="B10" s="3">
        <v>13000</v>
      </c>
      <c r="C10" s="3" t="s">
        <v>12</v>
      </c>
      <c r="D10" s="12" t="s">
        <v>29</v>
      </c>
      <c r="E10" s="7" t="s">
        <v>33</v>
      </c>
    </row>
    <row r="11" spans="1:6" ht="12.75">
      <c r="A11" s="3" t="s">
        <v>34</v>
      </c>
      <c r="B11" s="3">
        <v>12500</v>
      </c>
      <c r="C11" s="3" t="s">
        <v>12</v>
      </c>
      <c r="D11" s="12" t="s">
        <v>29</v>
      </c>
      <c r="E11" s="7" t="s">
        <v>35</v>
      </c>
    </row>
    <row r="12" spans="1:6" ht="12.75">
      <c r="A12" s="3" t="s">
        <v>36</v>
      </c>
      <c r="B12" s="3">
        <f>1500*9</f>
        <v>13500</v>
      </c>
      <c r="C12" s="3" t="s">
        <v>12</v>
      </c>
      <c r="D12" s="12" t="s">
        <v>38</v>
      </c>
      <c r="E12" s="7" t="s">
        <v>39</v>
      </c>
    </row>
    <row r="13" spans="1:6" ht="12.75">
      <c r="A13" s="3" t="s">
        <v>40</v>
      </c>
      <c r="B13" s="3">
        <v>1950</v>
      </c>
      <c r="C13" s="3" t="s">
        <v>12</v>
      </c>
      <c r="E13" s="7" t="s">
        <v>42</v>
      </c>
    </row>
    <row r="14" spans="1:6" ht="12.75">
      <c r="A14" s="3" t="s">
        <v>43</v>
      </c>
      <c r="B14">
        <f>3890*4</f>
        <v>15560</v>
      </c>
      <c r="C14" s="3" t="s">
        <v>17</v>
      </c>
      <c r="E14" s="7" t="s">
        <v>44</v>
      </c>
    </row>
    <row r="15" spans="1:6" ht="12.75">
      <c r="A15" s="3" t="s">
        <v>45</v>
      </c>
      <c r="B15">
        <f>800*4</f>
        <v>3200</v>
      </c>
      <c r="C15" s="3" t="s">
        <v>17</v>
      </c>
      <c r="E15" s="7" t="s">
        <v>46</v>
      </c>
    </row>
    <row r="16" spans="1:6" ht="12.75">
      <c r="A16" s="3" t="s">
        <v>47</v>
      </c>
      <c r="B16">
        <f>5495*4</f>
        <v>21980</v>
      </c>
      <c r="C16" s="3" t="s">
        <v>17</v>
      </c>
      <c r="E16" s="7" t="s">
        <v>48</v>
      </c>
    </row>
    <row r="17" spans="1:6" ht="12.75">
      <c r="A17" s="3" t="s">
        <v>49</v>
      </c>
      <c r="B17" s="3">
        <v>7000</v>
      </c>
      <c r="C17" s="3" t="s">
        <v>17</v>
      </c>
    </row>
    <row r="18" spans="1:6" ht="12.75">
      <c r="A18" s="3" t="s">
        <v>50</v>
      </c>
      <c r="B18" s="3">
        <v>31888</v>
      </c>
      <c r="C18" s="3" t="s">
        <v>17</v>
      </c>
      <c r="E18" s="7" t="s">
        <v>51</v>
      </c>
    </row>
    <row r="19" spans="1:6" ht="12.75">
      <c r="A19" s="3" t="s">
        <v>52</v>
      </c>
      <c r="B19" s="3">
        <v>194058225</v>
      </c>
      <c r="C19" s="3" t="s">
        <v>17</v>
      </c>
      <c r="E19" s="7" t="s">
        <v>54</v>
      </c>
    </row>
    <row r="22" spans="1:6" ht="12.75">
      <c r="A22" s="343" t="s">
        <v>55</v>
      </c>
      <c r="B22" s="344"/>
      <c r="C22" s="344"/>
      <c r="D22" s="344"/>
      <c r="E22" s="344"/>
      <c r="F22" s="344"/>
    </row>
    <row r="23" spans="1:6" ht="12.75">
      <c r="A23" s="18"/>
      <c r="B23" s="19" t="s">
        <v>41</v>
      </c>
      <c r="C23" s="19" t="s">
        <v>56</v>
      </c>
      <c r="D23" s="19" t="s">
        <v>57</v>
      </c>
      <c r="E23" s="19" t="s">
        <v>58</v>
      </c>
      <c r="F23" s="19" t="s">
        <v>59</v>
      </c>
    </row>
    <row r="24" spans="1:6" ht="12.75">
      <c r="A24" s="19" t="s">
        <v>60</v>
      </c>
      <c r="B24" s="19">
        <v>17352021</v>
      </c>
      <c r="C24" s="19">
        <v>52709043</v>
      </c>
      <c r="D24" s="19">
        <v>52709043</v>
      </c>
      <c r="E24" s="19">
        <v>52709043</v>
      </c>
      <c r="F24" s="19">
        <v>52709043</v>
      </c>
    </row>
    <row r="25" spans="1:6" ht="12.75">
      <c r="A25" s="19" t="s">
        <v>61</v>
      </c>
      <c r="B25" s="19">
        <v>146333</v>
      </c>
      <c r="C25" s="19">
        <v>472115</v>
      </c>
      <c r="D25" s="19">
        <v>472115</v>
      </c>
      <c r="E25" s="19">
        <v>472115</v>
      </c>
      <c r="F25" s="19">
        <v>472115</v>
      </c>
    </row>
    <row r="27" spans="1:6" ht="12.75">
      <c r="B27" s="21"/>
    </row>
    <row r="28" spans="1:6" ht="12.75">
      <c r="A28" s="3" t="s">
        <v>63</v>
      </c>
      <c r="C28" s="3" t="s">
        <v>64</v>
      </c>
    </row>
    <row r="29" spans="1:6" ht="12.75">
      <c r="A29" s="3" t="s">
        <v>37</v>
      </c>
      <c r="B29" s="3">
        <f>147300/6</f>
        <v>24550</v>
      </c>
      <c r="C29" s="24">
        <v>25</v>
      </c>
    </row>
    <row r="30" spans="1:6" ht="12.75">
      <c r="A30" s="3" t="s">
        <v>41</v>
      </c>
      <c r="B30" s="3">
        <f t="shared" ref="B30:B34" si="0">28443/6</f>
        <v>4740.5</v>
      </c>
      <c r="C30" s="24">
        <v>25</v>
      </c>
    </row>
    <row r="31" spans="1:6" ht="12.75">
      <c r="A31" s="3" t="s">
        <v>56</v>
      </c>
      <c r="B31" s="3">
        <f t="shared" si="0"/>
        <v>4740.5</v>
      </c>
      <c r="C31" s="24">
        <v>25</v>
      </c>
    </row>
    <row r="32" spans="1:6" ht="12.75">
      <c r="A32" s="3" t="s">
        <v>57</v>
      </c>
      <c r="B32" s="3">
        <f t="shared" si="0"/>
        <v>4740.5</v>
      </c>
      <c r="C32" s="24">
        <v>25</v>
      </c>
    </row>
    <row r="33" spans="1:3" ht="12.75">
      <c r="A33" s="3" t="s">
        <v>58</v>
      </c>
      <c r="B33" s="3">
        <f t="shared" si="0"/>
        <v>4740.5</v>
      </c>
      <c r="C33" s="24">
        <v>25</v>
      </c>
    </row>
    <row r="34" spans="1:3" ht="12.75">
      <c r="A34" s="3" t="s">
        <v>59</v>
      </c>
      <c r="B34" s="3">
        <f t="shared" si="0"/>
        <v>4740.5</v>
      </c>
      <c r="C34" s="24">
        <v>25</v>
      </c>
    </row>
  </sheetData>
  <mergeCells count="2">
    <mergeCell ref="A22:F22"/>
    <mergeCell ref="A1:F1"/>
  </mergeCells>
  <hyperlinks>
    <hyperlink ref="E4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 location="reco_item_pos=1&amp;reco_backend=machinalis-seller-items&amp;reco_backend_type=low_level&amp;reco_client=vip-seller_items-above&amp;reco_id=1314a7db-87e0-45e0-907b-4a3c5ee7437b"/>
    <hyperlink ref="E18" r:id="rId13"/>
    <hyperlink ref="E1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2" customWidth="1"/>
    <col min="2" max="6" width="16.42578125" customWidth="1"/>
    <col min="7" max="7" width="18.140625" customWidth="1"/>
    <col min="8" max="26" width="9" customWidth="1"/>
  </cols>
  <sheetData>
    <row r="1" spans="1:26" ht="14.25" customHeight="1">
      <c r="A1" s="2" t="s">
        <v>3</v>
      </c>
      <c r="E1" s="254"/>
      <c r="F1" s="6">
        <f>InfoInicial!E1</f>
        <v>13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>
      <c r="A2" s="228" t="s">
        <v>447</v>
      </c>
      <c r="B2" s="34"/>
      <c r="C2" s="34"/>
      <c r="D2" s="34"/>
      <c r="E2" s="34"/>
      <c r="F2" s="34"/>
      <c r="G2" s="3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38" t="s">
        <v>99</v>
      </c>
      <c r="B3" s="14" t="s">
        <v>41</v>
      </c>
      <c r="C3" s="14" t="s">
        <v>56</v>
      </c>
      <c r="D3" s="14" t="s">
        <v>57</v>
      </c>
      <c r="E3" s="14" t="s">
        <v>58</v>
      </c>
      <c r="F3" s="224" t="s">
        <v>59</v>
      </c>
      <c r="G3" s="15" t="s">
        <v>370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>
      <c r="A4" s="9" t="s">
        <v>452</v>
      </c>
      <c r="B4" s="70">
        <f>'E-Costos'!B88</f>
        <v>224052400</v>
      </c>
      <c r="C4" s="70">
        <f>'E-Costos'!C88</f>
        <v>306874750</v>
      </c>
      <c r="D4" s="70">
        <f>'E-Costos'!D88</f>
        <v>306874750</v>
      </c>
      <c r="E4" s="70">
        <f>'E-Costos'!E88</f>
        <v>306874750</v>
      </c>
      <c r="F4" s="70">
        <f>'E-Costos'!F88</f>
        <v>306874750</v>
      </c>
      <c r="G4" s="76">
        <f t="shared" ref="G4:G5" si="0">SUM(B4:F4)</f>
        <v>1451551400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9" t="s">
        <v>454</v>
      </c>
      <c r="B5" s="70">
        <f>'E-Costos'!B112</f>
        <v>101826851.32856968</v>
      </c>
      <c r="C5" s="70">
        <f>'E-Costos'!C112</f>
        <v>127980556.04033543</v>
      </c>
      <c r="D5" s="70">
        <f>'E-Costos'!D112</f>
        <v>128082402.2725234</v>
      </c>
      <c r="E5" s="70">
        <f>'E-Costos'!E112</f>
        <v>128121521.19354594</v>
      </c>
      <c r="F5" s="70">
        <f>'E-Costos'!F112</f>
        <v>128121525.70157027</v>
      </c>
      <c r="G5" s="76">
        <f t="shared" si="0"/>
        <v>614132856.5365448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A6" s="9" t="s">
        <v>459</v>
      </c>
      <c r="B6" s="70">
        <f t="shared" ref="B6:G6" si="1">B4-B5</f>
        <v>122225548.67143032</v>
      </c>
      <c r="C6" s="70">
        <f t="shared" si="1"/>
        <v>178894193.95966458</v>
      </c>
      <c r="D6" s="70">
        <f t="shared" si="1"/>
        <v>178792347.7274766</v>
      </c>
      <c r="E6" s="70">
        <f t="shared" si="1"/>
        <v>178753228.80645406</v>
      </c>
      <c r="F6" s="70">
        <f t="shared" si="1"/>
        <v>178753224.29842973</v>
      </c>
      <c r="G6" s="70">
        <f t="shared" si="1"/>
        <v>837418543.4634552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9" t="s">
        <v>268</v>
      </c>
      <c r="B7" s="70"/>
      <c r="C7" s="70"/>
      <c r="D7" s="70"/>
      <c r="E7" s="70"/>
      <c r="F7" s="227"/>
      <c r="G7" s="7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9" t="s">
        <v>460</v>
      </c>
      <c r="B8" s="70">
        <f>'E-Costos'!B109</f>
        <v>15390700.410294108</v>
      </c>
      <c r="C8" s="70">
        <f>'E-Costos'!C109</f>
        <v>16049805.240813209</v>
      </c>
      <c r="D8" s="70">
        <f>'E-Costos'!D109</f>
        <v>16049805.240813209</v>
      </c>
      <c r="E8" s="70">
        <f>'E-Costos'!E109</f>
        <v>16051879.617117211</v>
      </c>
      <c r="F8" s="70">
        <f>'E-Costos'!F109</f>
        <v>16051879.617117211</v>
      </c>
      <c r="G8" s="76">
        <f t="shared" ref="G8:G9" si="2">SUM(B8:F8)</f>
        <v>79594070.126154959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9" t="s">
        <v>462</v>
      </c>
      <c r="B9" s="70">
        <f>'E-Costos'!B110</f>
        <v>37088347.277638584</v>
      </c>
      <c r="C9" s="70">
        <f>'E-Costos'!C110</f>
        <v>47386846.640833706</v>
      </c>
      <c r="D9" s="70">
        <f>'E-Costos'!D110</f>
        <v>47386846.640833706</v>
      </c>
      <c r="E9" s="70">
        <f>'E-Costos'!E110</f>
        <v>47388921.017137699</v>
      </c>
      <c r="F9" s="70">
        <f>'E-Costos'!F110</f>
        <v>47388921.017137699</v>
      </c>
      <c r="G9" s="76">
        <f t="shared" si="2"/>
        <v>226639882.59358141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9" t="s">
        <v>465</v>
      </c>
      <c r="B10" s="70">
        <f>(('F-Cred'!G21+'F-Cred'!I21)/C16 )+'F-Cred'!G24</f>
        <v>43837674.149199031</v>
      </c>
      <c r="C10" s="70">
        <f>(('F-Cred'!G21+'F-Cred'!I21)/C16)+'F-Cred'!G26</f>
        <v>43837674.149199031</v>
      </c>
      <c r="D10" s="70">
        <f>'F-Cred'!G28</f>
        <v>23911458.626835831</v>
      </c>
      <c r="E10" s="70">
        <f>'F-Cred'!G30</f>
        <v>13284143.681575462</v>
      </c>
      <c r="F10" s="227">
        <f>'F-Cred'!G32</f>
        <v>2656828.7363150925</v>
      </c>
      <c r="G10" s="76">
        <f>SUM(B10:F10)</f>
        <v>127527779.34312445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47" t="s">
        <v>466</v>
      </c>
      <c r="B11" s="70">
        <f t="shared" ref="B11:G11" si="3">B6-B8-B9-B10</f>
        <v>25908826.834298588</v>
      </c>
      <c r="C11" s="70">
        <f t="shared" si="3"/>
        <v>71619867.928818643</v>
      </c>
      <c r="D11" s="70">
        <f t="shared" si="3"/>
        <v>91444237.218993872</v>
      </c>
      <c r="E11" s="70">
        <f t="shared" si="3"/>
        <v>102028284.49062367</v>
      </c>
      <c r="F11" s="70">
        <f t="shared" si="3"/>
        <v>112655594.92785971</v>
      </c>
      <c r="G11" s="70">
        <f t="shared" si="3"/>
        <v>403656811.40059441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9" t="s">
        <v>467</v>
      </c>
      <c r="B12" s="70">
        <f>B11*InfoInicial!$B$5</f>
        <v>2849970.9517728449</v>
      </c>
      <c r="C12" s="70">
        <f>C11*InfoInicial!$B$5</f>
        <v>7878185.4721700512</v>
      </c>
      <c r="D12" s="70">
        <f>D11*InfoInicial!$B$5</f>
        <v>10058866.094089326</v>
      </c>
      <c r="E12" s="70">
        <f>E11*InfoInicial!$B$5</f>
        <v>11223111.293968603</v>
      </c>
      <c r="F12" s="70">
        <f>F11*InfoInicial!$B$5</f>
        <v>12392115.442064568</v>
      </c>
      <c r="G12" s="76">
        <f t="shared" ref="G12:G13" si="4">SUM(B12:F12)</f>
        <v>44402249.254065394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>
      <c r="A13" s="286" t="s">
        <v>469</v>
      </c>
      <c r="B13" s="70">
        <f>(B11-B12)*InfoInicial!$B$4</f>
        <v>8070599.5588840088</v>
      </c>
      <c r="C13" s="70">
        <f>(C11-C12)*InfoInicial!$B$4</f>
        <v>22309588.859827004</v>
      </c>
      <c r="D13" s="70">
        <f>(D11-D12)*InfoInicial!$B$4</f>
        <v>28484879.893716589</v>
      </c>
      <c r="E13" s="70">
        <f>(E11-E12)*InfoInicial!$B$4</f>
        <v>31781810.618829269</v>
      </c>
      <c r="F13" s="70">
        <f>(F11-F12)*InfoInicial!$B$4</f>
        <v>35092217.820028298</v>
      </c>
      <c r="G13" s="76">
        <f t="shared" si="4"/>
        <v>125739096.75128517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152" t="s">
        <v>470</v>
      </c>
      <c r="B14" s="156">
        <f t="shared" ref="B14:G14" si="5">B11-B12-B13</f>
        <v>14988256.323641732</v>
      </c>
      <c r="C14" s="156">
        <f t="shared" si="5"/>
        <v>41432093.596821584</v>
      </c>
      <c r="D14" s="156">
        <f t="shared" si="5"/>
        <v>52900491.231187955</v>
      </c>
      <c r="E14" s="156">
        <f t="shared" si="5"/>
        <v>59023362.5778258</v>
      </c>
      <c r="F14" s="156">
        <f t="shared" si="5"/>
        <v>65171261.665766843</v>
      </c>
      <c r="G14" s="156">
        <f t="shared" si="5"/>
        <v>233515465.39524385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36" t="s">
        <v>471</v>
      </c>
      <c r="B16" s="9"/>
      <c r="C16" s="290">
        <v>2</v>
      </c>
      <c r="D16" s="36" t="s">
        <v>473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" sqref="B1"/>
    </sheetView>
  </sheetViews>
  <sheetFormatPr baseColWidth="10" defaultColWidth="14.42578125" defaultRowHeight="15" customHeight="1"/>
  <cols>
    <col min="1" max="1" width="54.28515625" customWidth="1"/>
    <col min="2" max="4" width="15.85546875" bestFit="1" customWidth="1"/>
    <col min="5" max="5" width="20.85546875" customWidth="1"/>
    <col min="6" max="6" width="11.28515625" customWidth="1"/>
    <col min="7" max="26" width="9" customWidth="1"/>
  </cols>
  <sheetData>
    <row r="1" spans="1:26" ht="14.25" customHeight="1">
      <c r="A1" s="2" t="s">
        <v>3</v>
      </c>
      <c r="D1">
        <f>InfoInicial!E1</f>
        <v>13</v>
      </c>
      <c r="E1" s="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>
      <c r="A2" s="228" t="s">
        <v>484</v>
      </c>
      <c r="B2" s="34"/>
      <c r="C2" s="34"/>
      <c r="D2" s="3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>
      <c r="A3" s="15" t="s">
        <v>99</v>
      </c>
      <c r="B3" s="15" t="s">
        <v>37</v>
      </c>
      <c r="C3" s="15" t="s">
        <v>41</v>
      </c>
      <c r="D3" s="15" t="s">
        <v>370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>
      <c r="A4" s="47" t="s">
        <v>485</v>
      </c>
      <c r="B4" s="70"/>
      <c r="C4" s="70"/>
      <c r="D4" s="76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9"/>
      <c r="B5" s="70"/>
      <c r="C5" s="70"/>
      <c r="D5" s="76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A6" s="9" t="s">
        <v>283</v>
      </c>
      <c r="B6" s="70">
        <f>'E-Inv AF y Am'!B32+'E-Inv AF y Am'!D32</f>
        <v>433843177.63799995</v>
      </c>
      <c r="C6" s="70"/>
      <c r="D6" s="76">
        <f t="shared" ref="D6:D10" si="0">SUM(B6:C6)</f>
        <v>433843177.63799995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9" t="s">
        <v>486</v>
      </c>
      <c r="B7" s="70">
        <f>'E-Inv AF y Am'!B44+'F-Cred'!G21+'F-Cred'!I21</f>
        <v>24113998.626835834</v>
      </c>
      <c r="C7" s="70">
        <f>'E-Inv AF y Am'!C44</f>
        <v>8759071.7478488944</v>
      </c>
      <c r="D7" s="76">
        <f t="shared" si="0"/>
        <v>32873070.374684729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47" t="s">
        <v>487</v>
      </c>
      <c r="B8" s="70">
        <f t="shared" ref="B8:C8" si="1">SUM(B6:B7)</f>
        <v>457957176.26483577</v>
      </c>
      <c r="C8" s="70">
        <f t="shared" si="1"/>
        <v>8759071.7478488944</v>
      </c>
      <c r="D8" s="76">
        <f t="shared" si="0"/>
        <v>466716248.01268464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286" t="s">
        <v>488</v>
      </c>
      <c r="B9" s="70">
        <f>B8*InfoInicial!B3</f>
        <v>96171007.015615508</v>
      </c>
      <c r="C9" s="70">
        <f>C8*InfoInicial!B3</f>
        <v>1839405.0670482677</v>
      </c>
      <c r="D9" s="76">
        <f t="shared" si="0"/>
        <v>98010412.082663774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47" t="s">
        <v>489</v>
      </c>
      <c r="B10" s="70">
        <f t="shared" ref="B10:C10" si="2">SUM(B8:B9)</f>
        <v>554128183.2804513</v>
      </c>
      <c r="C10" s="70">
        <f t="shared" si="2"/>
        <v>10598476.814897163</v>
      </c>
      <c r="D10" s="76">
        <f t="shared" si="0"/>
        <v>564726660.09534848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47" t="s">
        <v>490</v>
      </c>
      <c r="B11" s="70"/>
      <c r="C11" s="70"/>
      <c r="D11" s="7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286" t="s">
        <v>491</v>
      </c>
      <c r="B12" s="70">
        <f>'E-InvAT'!B6</f>
        <v>489996</v>
      </c>
      <c r="C12" s="70">
        <f>'E-InvAT'!C6-'E-InvAT'!B6</f>
        <v>122499</v>
      </c>
      <c r="D12" s="76">
        <f>SUM(B12:C12)</f>
        <v>612495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>
      <c r="A13" s="9" t="s">
        <v>492</v>
      </c>
      <c r="B13" s="70">
        <f>'E-InvAT'!B7</f>
        <v>0</v>
      </c>
      <c r="C13" s="70">
        <f>'E-InvAT'!C7</f>
        <v>0</v>
      </c>
      <c r="D13" s="7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9" t="s">
        <v>493</v>
      </c>
      <c r="B14" s="70">
        <f>'E-InvAT'!B9</f>
        <v>1441625.8719331627</v>
      </c>
      <c r="C14" s="70">
        <f>'E-InvAT'!C9-'E-InvAT'!B9</f>
        <v>917447.33996446058</v>
      </c>
      <c r="D14" s="76">
        <f>SUM(B14:C14)</f>
        <v>2359073.2118976233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>
      <c r="A15" s="47" t="s">
        <v>494</v>
      </c>
      <c r="B15" s="70">
        <f t="shared" ref="B15:D15" si="3">SUM(B12:B14)</f>
        <v>1931621.8719331627</v>
      </c>
      <c r="C15" s="70">
        <f t="shared" si="3"/>
        <v>1039946.3399644606</v>
      </c>
      <c r="D15" s="70">
        <f t="shared" si="3"/>
        <v>2971568.2118976233</v>
      </c>
      <c r="E15" s="9"/>
      <c r="F15" s="237">
        <f>B9+B21-'F- CFyU'!B21</f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9" t="s">
        <v>268</v>
      </c>
      <c r="B16" s="70"/>
      <c r="C16" s="70"/>
      <c r="D16" s="7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9" t="s">
        <v>495</v>
      </c>
      <c r="B17" s="108">
        <v>0</v>
      </c>
      <c r="C17" s="70">
        <f>'E-InvAT'!C17+'E-InvAT'!C18</f>
        <v>616504.3401905963</v>
      </c>
      <c r="D17" s="76">
        <f t="shared" ref="D17:D23" si="4">B17+C17</f>
        <v>616504.3401905963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9" t="s">
        <v>496</v>
      </c>
      <c r="B18" s="108">
        <v>0</v>
      </c>
      <c r="C18" s="70">
        <f>+('E-Inv AF y Am'!D71-'F-2 Estructura'!C17)*30/365</f>
        <v>2516238.386601029</v>
      </c>
      <c r="D18" s="76">
        <f t="shared" si="4"/>
        <v>2516238.386601029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9" t="s">
        <v>497</v>
      </c>
      <c r="B19" s="108">
        <v>0</v>
      </c>
      <c r="C19" s="70">
        <f>+'F-CRes'!B14/'E-Costos'!B88*'E-InvAT'!C7</f>
        <v>0</v>
      </c>
      <c r="D19" s="76">
        <f t="shared" si="4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47" t="s">
        <v>498</v>
      </c>
      <c r="B20" s="70">
        <f>+'E-InvAT'!B22</f>
        <v>1931621.8719331627</v>
      </c>
      <c r="C20" s="70">
        <f>+C15-C17-C18-C19</f>
        <v>-2092796.3868271648</v>
      </c>
      <c r="D20" s="76">
        <f t="shared" si="4"/>
        <v>-161174.51489400212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9" t="s">
        <v>441</v>
      </c>
      <c r="B21" s="108">
        <f>'E-InvAT'!B34</f>
        <v>302741.43310596416</v>
      </c>
      <c r="C21" s="70">
        <f>+'E-InvAT'!C34</f>
        <v>181129.35835246224</v>
      </c>
      <c r="D21" s="76">
        <f t="shared" si="4"/>
        <v>483870.79145842639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>
      <c r="A22" s="47" t="s">
        <v>499</v>
      </c>
      <c r="B22" s="70">
        <f t="shared" ref="B22:C22" si="5">+B15+B21</f>
        <v>2234363.3050391269</v>
      </c>
      <c r="C22" s="70">
        <f t="shared" si="5"/>
        <v>1221075.6983169229</v>
      </c>
      <c r="D22" s="76">
        <f t="shared" si="4"/>
        <v>3455439.0033560498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>
      <c r="A23" s="47" t="s">
        <v>500</v>
      </c>
      <c r="B23" s="70">
        <f t="shared" ref="B23:C23" si="6">B20+B21</f>
        <v>2234363.3050391269</v>
      </c>
      <c r="C23" s="70">
        <f t="shared" si="6"/>
        <v>-1911667.0284747025</v>
      </c>
      <c r="D23" s="76">
        <f t="shared" si="4"/>
        <v>322696.27656442439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>
      <c r="A24" s="47" t="s">
        <v>501</v>
      </c>
      <c r="B24" s="70"/>
      <c r="C24" s="70"/>
      <c r="D24" s="7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9" t="s">
        <v>502</v>
      </c>
      <c r="B25" s="70">
        <f t="shared" ref="B25:C25" si="7">B10</f>
        <v>554128183.2804513</v>
      </c>
      <c r="C25" s="70">
        <f t="shared" si="7"/>
        <v>10598476.814897163</v>
      </c>
      <c r="D25" s="76">
        <f t="shared" ref="D25:D27" si="8">B25+C25</f>
        <v>564726660.09534848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9" t="s">
        <v>503</v>
      </c>
      <c r="B26" s="108">
        <f t="shared" ref="B26:C26" si="9">B23</f>
        <v>2234363.3050391269</v>
      </c>
      <c r="C26" s="70">
        <f t="shared" si="9"/>
        <v>-1911667.0284747025</v>
      </c>
      <c r="D26" s="76">
        <f t="shared" si="8"/>
        <v>322696.27656442439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>
      <c r="A27" s="47" t="s">
        <v>504</v>
      </c>
      <c r="B27" s="70">
        <f t="shared" ref="B27:C27" si="10">B25+B26</f>
        <v>556362546.58549047</v>
      </c>
      <c r="C27" s="70">
        <f t="shared" si="10"/>
        <v>8686809.7864224613</v>
      </c>
      <c r="D27" s="76">
        <f t="shared" si="8"/>
        <v>565049356.37191296</v>
      </c>
      <c r="E27" s="292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47" t="s">
        <v>505</v>
      </c>
      <c r="B28" s="70"/>
      <c r="C28" s="70"/>
      <c r="D28" s="76"/>
      <c r="E28" s="293" t="s">
        <v>506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>
      <c r="A29" s="47" t="s">
        <v>507</v>
      </c>
      <c r="B29" s="108">
        <v>0</v>
      </c>
      <c r="C29" s="70">
        <f>+'F-Cred'!D6</f>
        <v>0</v>
      </c>
      <c r="D29" s="76">
        <f t="shared" ref="D29:D30" si="11">B29+C29</f>
        <v>0</v>
      </c>
      <c r="E29" s="204">
        <f>D29/+D32</f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>
      <c r="A30" s="47" t="s">
        <v>508</v>
      </c>
      <c r="B30" s="108">
        <f>'F-Cred'!D5</f>
        <v>265682873.63150927</v>
      </c>
      <c r="C30" s="108">
        <v>0</v>
      </c>
      <c r="D30" s="76">
        <f t="shared" si="11"/>
        <v>265682873.63150927</v>
      </c>
      <c r="E30" s="204">
        <f>D30/+D32</f>
        <v>0.47019410010023621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>
      <c r="A31" s="47" t="s">
        <v>509</v>
      </c>
      <c r="B31" s="108">
        <f>B27-B30</f>
        <v>290679672.95398116</v>
      </c>
      <c r="C31" s="108">
        <f>C27-C29</f>
        <v>8686809.7864224613</v>
      </c>
      <c r="D31" s="227">
        <f>+B31+C31</f>
        <v>299366482.74040365</v>
      </c>
      <c r="E31" s="204">
        <f>D31/+D32</f>
        <v>0.52980589989976379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>
      <c r="A32" s="152" t="s">
        <v>370</v>
      </c>
      <c r="B32" s="156">
        <f t="shared" ref="B32:D32" si="12">SUM(B29:B31)</f>
        <v>556362546.58549047</v>
      </c>
      <c r="C32" s="156">
        <f t="shared" si="12"/>
        <v>8686809.7864224613</v>
      </c>
      <c r="D32" s="156">
        <f t="shared" si="12"/>
        <v>565049356.37191296</v>
      </c>
      <c r="E32" s="295">
        <f>D32/D32</f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6.5" customHeight="1">
      <c r="A34" s="228" t="s">
        <v>512</v>
      </c>
      <c r="B34" s="34"/>
      <c r="C34" s="34"/>
      <c r="D34" s="34"/>
      <c r="E34" s="34"/>
      <c r="F34" s="34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38" t="s">
        <v>99</v>
      </c>
      <c r="B35" s="14" t="s">
        <v>41</v>
      </c>
      <c r="C35" s="14" t="s">
        <v>56</v>
      </c>
      <c r="D35" s="14" t="s">
        <v>57</v>
      </c>
      <c r="E35" s="14" t="s">
        <v>58</v>
      </c>
      <c r="F35" s="14" t="s">
        <v>59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>
      <c r="A36" s="25" t="s">
        <v>359</v>
      </c>
      <c r="B36" s="28">
        <f>+'E-Costos'!B129</f>
        <v>12097237.931541976</v>
      </c>
      <c r="C36" s="28">
        <f>+'E-Costos'!C129</f>
        <v>17997007.268805385</v>
      </c>
      <c r="D36" s="28">
        <f>+'E-Costos'!D129</f>
        <v>17961467</v>
      </c>
      <c r="E36" s="28">
        <f>+'E-Costos'!E129</f>
        <v>17961390.204471834</v>
      </c>
      <c r="F36" s="28">
        <f>+'E-Costos'!F129</f>
        <v>17961467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>
      <c r="A37" s="136" t="s">
        <v>358</v>
      </c>
      <c r="B37" s="28">
        <f>+'E-Costos'!B128</f>
        <v>37801457.939956903</v>
      </c>
      <c r="C37" s="28">
        <f>+'E-Costos'!C128</f>
        <v>46777702.011033431</v>
      </c>
      <c r="D37" s="28">
        <f>+'E-Costos'!D128</f>
        <v>46685325.979911193</v>
      </c>
      <c r="E37" s="28">
        <f>+'E-Costos'!E128</f>
        <v>46719056.061805971</v>
      </c>
      <c r="F37" s="28">
        <f>+'E-Costos'!F128</f>
        <v>46719255.813303195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>
      <c r="A38" s="25" t="s">
        <v>361</v>
      </c>
      <c r="B38" s="28">
        <f>+'E-Costos'!B131</f>
        <v>0</v>
      </c>
      <c r="C38" s="28">
        <f>+'E-Costos'!C131</f>
        <v>0</v>
      </c>
      <c r="D38" s="28">
        <f>+'E-Costos'!D131</f>
        <v>0</v>
      </c>
      <c r="E38" s="28">
        <f>+'E-Costos'!E131</f>
        <v>0</v>
      </c>
      <c r="F38" s="28">
        <f>+'E-Costos'!F131</f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>
      <c r="A39" s="136" t="s">
        <v>360</v>
      </c>
      <c r="B39" s="28">
        <f>+'E-Costos'!B130</f>
        <v>15390700.410294108</v>
      </c>
      <c r="C39" s="28">
        <f>+'E-Costos'!C130</f>
        <v>16049805.240813209</v>
      </c>
      <c r="D39" s="28">
        <f>+'E-Costos'!D130</f>
        <v>16049805.240813209</v>
      </c>
      <c r="E39" s="28">
        <f>+'E-Costos'!E130</f>
        <v>16051879.617117211</v>
      </c>
      <c r="F39" s="28">
        <f>+'E-Costos'!F130</f>
        <v>16051879.617117211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>
      <c r="A40" s="25" t="s">
        <v>363</v>
      </c>
      <c r="B40" s="28">
        <f>+'E-Costos'!B133</f>
        <v>11570338.730138585</v>
      </c>
      <c r="C40" s="28">
        <f>+'E-Costos'!C133</f>
        <v>12882321.865833707</v>
      </c>
      <c r="D40" s="28">
        <f>+'E-Costos'!D133</f>
        <v>12882321.865833707</v>
      </c>
      <c r="E40" s="28">
        <f>+'E-Costos'!E133</f>
        <v>12882885.794119997</v>
      </c>
      <c r="F40" s="28">
        <f>+'E-Costos'!F133</f>
        <v>12882885.794119997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>
      <c r="A41" s="136" t="s">
        <v>362</v>
      </c>
      <c r="B41" s="28">
        <f>+'E-Costos'!B132</f>
        <v>25518008.547499999</v>
      </c>
      <c r="C41" s="28">
        <f>+'E-Costos'!C132</f>
        <v>34504524.774999999</v>
      </c>
      <c r="D41" s="28">
        <f>+'E-Costos'!D132</f>
        <v>34504524.774999999</v>
      </c>
      <c r="E41" s="28">
        <f>+'E-Costos'!E132</f>
        <v>34506035.2230177</v>
      </c>
      <c r="F41" s="28">
        <f>+'E-Costos'!F132</f>
        <v>34506035.2230177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>
      <c r="A42" s="136" t="s">
        <v>520</v>
      </c>
      <c r="B42" s="28">
        <f>+'F-CRes'!B10</f>
        <v>43837674.149199031</v>
      </c>
      <c r="C42" s="28">
        <f>+'F-CRes'!C10</f>
        <v>43837674.149199031</v>
      </c>
      <c r="D42" s="28">
        <f>+'F-CRes'!D10</f>
        <v>23911458.626835831</v>
      </c>
      <c r="E42" s="28">
        <f>+'F-CRes'!E10</f>
        <v>13284143.681575462</v>
      </c>
      <c r="F42" s="28">
        <f>+'F-CRes'!F10</f>
        <v>2656828.7363150925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>
      <c r="A43" s="25" t="s">
        <v>364</v>
      </c>
      <c r="B43" s="28">
        <f>+'E-Costos'!B88-B37-B39-B41</f>
        <v>145342233.10224897</v>
      </c>
      <c r="C43" s="28">
        <f>+'E-Costos'!C88-C37-C39-C41</f>
        <v>209542717.97315338</v>
      </c>
      <c r="D43" s="28">
        <f>+'E-Costos'!D88-D37-D39-D41</f>
        <v>209635094.00427559</v>
      </c>
      <c r="E43" s="28">
        <f>+'E-Costos'!E88-E37-E39-E41</f>
        <v>209597779.09805912</v>
      </c>
      <c r="F43" s="28">
        <f>+'E-Costos'!F88-F37-F39-F41</f>
        <v>209597579.34656191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>
      <c r="A44" s="105" t="s">
        <v>365</v>
      </c>
      <c r="B44" s="221">
        <f t="shared" ref="B44:F44" si="13">+(B37+B39+B41+B42)/B43</f>
        <v>0.84316745677587768</v>
      </c>
      <c r="C44" s="221">
        <f t="shared" si="13"/>
        <v>0.67370370844446315</v>
      </c>
      <c r="D44" s="221">
        <f t="shared" si="13"/>
        <v>0.57791428099385544</v>
      </c>
      <c r="E44" s="221">
        <f t="shared" si="13"/>
        <v>0.52749182295386332</v>
      </c>
      <c r="F44" s="221">
        <f t="shared" si="13"/>
        <v>0.47678985464100226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6.5" customHeight="1">
      <c r="A45" s="222" t="s">
        <v>525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2.85546875" customWidth="1"/>
    <col min="2" max="7" width="13.85546875" customWidth="1"/>
    <col min="8" max="26" width="9" customWidth="1"/>
  </cols>
  <sheetData>
    <row r="1" spans="1:26" ht="14.25" customHeight="1">
      <c r="A1" s="2" t="s">
        <v>3</v>
      </c>
      <c r="E1" s="6">
        <f>InfoInicial!E1</f>
        <v>13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>
      <c r="A2" s="228" t="s">
        <v>381</v>
      </c>
      <c r="B2" s="34"/>
      <c r="C2" s="34"/>
      <c r="D2" s="34"/>
      <c r="E2" s="34"/>
      <c r="F2" s="34"/>
      <c r="G2" s="3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>
      <c r="A3" s="229"/>
      <c r="B3" s="230" t="s">
        <v>385</v>
      </c>
      <c r="C3" s="230"/>
      <c r="D3" s="230"/>
      <c r="E3" s="230"/>
      <c r="F3" s="230"/>
      <c r="G3" s="23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233" t="s">
        <v>99</v>
      </c>
      <c r="B4" s="223" t="s">
        <v>37</v>
      </c>
      <c r="C4" s="14" t="s">
        <v>41</v>
      </c>
      <c r="D4" s="14" t="s">
        <v>56</v>
      </c>
      <c r="E4" s="14" t="s">
        <v>57</v>
      </c>
      <c r="F4" s="14" t="s">
        <v>58</v>
      </c>
      <c r="G4" s="15" t="s">
        <v>59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34" t="s">
        <v>510</v>
      </c>
      <c r="B5" s="294"/>
      <c r="C5" s="49"/>
      <c r="D5" s="49"/>
      <c r="E5" s="49"/>
      <c r="F5" s="49"/>
      <c r="G5" s="5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236" t="s">
        <v>511</v>
      </c>
      <c r="B6" s="238">
        <f>+'E-IVA '!B17</f>
        <v>0</v>
      </c>
      <c r="C6" s="238">
        <f>+'E-IVA '!C17</f>
        <v>925388.3454868329</v>
      </c>
      <c r="D6" s="238">
        <f>+'E-IVA '!D17</f>
        <v>3568590.1628765492</v>
      </c>
      <c r="E6" s="238">
        <f>+'E-IVA '!E17</f>
        <v>3448030.60573524</v>
      </c>
      <c r="F6" s="238">
        <f>+'E-IVA '!F17</f>
        <v>3448030.60573524</v>
      </c>
      <c r="G6" s="238">
        <f>+'E-IVA '!G17</f>
        <v>3448030.60573524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236" t="s">
        <v>513</v>
      </c>
      <c r="B7" s="238">
        <f>+'E-IVA '!B18</f>
        <v>0</v>
      </c>
      <c r="C7" s="238">
        <f>+'E-IVA '!C18</f>
        <v>275920.7019971307</v>
      </c>
      <c r="D7" s="238">
        <f>+'E-IVA '!D18</f>
        <v>292638.74201496498</v>
      </c>
      <c r="E7" s="238">
        <f>+'E-IVA '!E18</f>
        <v>292638.74201496498</v>
      </c>
      <c r="F7" s="238">
        <f>+'E-IVA '!F18</f>
        <v>292638.74201496498</v>
      </c>
      <c r="G7" s="238">
        <f>+'E-IVA '!G18</f>
        <v>292638.74201496498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298" t="s">
        <v>516</v>
      </c>
      <c r="B8" s="238">
        <f>+'E-IVA '!B19</f>
        <v>0</v>
      </c>
      <c r="C8" s="238">
        <f>+'E-IVA '!C19</f>
        <v>3363606.9250832838</v>
      </c>
      <c r="D8" s="238">
        <f>+'E-IVA '!D19</f>
        <v>4421563.0278703151</v>
      </c>
      <c r="E8" s="238">
        <f>+'E-IVA '!E19</f>
        <v>4421563.0278703151</v>
      </c>
      <c r="F8" s="238">
        <f>+'E-IVA '!F19</f>
        <v>4421563.0278703151</v>
      </c>
      <c r="G8" s="238">
        <f>+'E-IVA '!G19</f>
        <v>4421563.0278703151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298" t="s">
        <v>518</v>
      </c>
      <c r="B9" s="238">
        <f>+'E-IVA '!B20</f>
        <v>0</v>
      </c>
      <c r="C9" s="301">
        <f>'F-Cred'!$G24*InfoInicial!$B$3</f>
        <v>6695208.4155140333</v>
      </c>
      <c r="D9" s="301">
        <f>'F-Cred'!$G26*InfoInicial!$B$3</f>
        <v>6695208.4155140333</v>
      </c>
      <c r="E9" s="301">
        <f>'F-Cred'!$G28*InfoInicial!$B$3</f>
        <v>5021406.311635524</v>
      </c>
      <c r="F9" s="301">
        <f>'F-Cred'!$G30*InfoInicial!$B$3</f>
        <v>2789670.173130847</v>
      </c>
      <c r="G9" s="301">
        <f>'F-Cred'!$G32*InfoInicial!$B$3</f>
        <v>557934.03462616936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239" t="s">
        <v>521</v>
      </c>
      <c r="B10" s="238">
        <f t="shared" ref="B10:G10" si="0">SUM(B6:B9)</f>
        <v>0</v>
      </c>
      <c r="C10" s="238">
        <f t="shared" si="0"/>
        <v>11260124.388081281</v>
      </c>
      <c r="D10" s="238">
        <f t="shared" si="0"/>
        <v>14978000.348275863</v>
      </c>
      <c r="E10" s="238">
        <f t="shared" si="0"/>
        <v>13183638.687256044</v>
      </c>
      <c r="F10" s="238">
        <f t="shared" si="0"/>
        <v>10951902.548751367</v>
      </c>
      <c r="G10" s="238">
        <f t="shared" si="0"/>
        <v>8720166.4102466889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239"/>
      <c r="B11" s="238"/>
      <c r="C11" s="70"/>
      <c r="D11" s="70"/>
      <c r="E11" s="70"/>
      <c r="F11" s="70"/>
      <c r="G11" s="7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236" t="s">
        <v>403</v>
      </c>
      <c r="B12" s="238">
        <f t="shared" ref="B12:G12" si="1">B10</f>
        <v>0</v>
      </c>
      <c r="C12" s="238">
        <f t="shared" si="1"/>
        <v>11260124.388081281</v>
      </c>
      <c r="D12" s="238">
        <f t="shared" si="1"/>
        <v>14978000.348275863</v>
      </c>
      <c r="E12" s="238">
        <f t="shared" si="1"/>
        <v>13183638.687256044</v>
      </c>
      <c r="F12" s="238">
        <f t="shared" si="1"/>
        <v>10951902.548751367</v>
      </c>
      <c r="G12" s="238">
        <f t="shared" si="1"/>
        <v>8720166.4102466889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236" t="s">
        <v>404</v>
      </c>
      <c r="B13" s="305">
        <v>0</v>
      </c>
      <c r="C13" s="70">
        <f>+'F-CRes'!B4*0.21</f>
        <v>47051004</v>
      </c>
      <c r="D13" s="70">
        <f>+'F-CRes'!C4*0.21</f>
        <v>64443697.5</v>
      </c>
      <c r="E13" s="70">
        <f>+'F-CRes'!D4*0.21</f>
        <v>64443697.5</v>
      </c>
      <c r="F13" s="70">
        <f>+'F-CRes'!E4*0.21</f>
        <v>64443697.5</v>
      </c>
      <c r="G13" s="70">
        <f>+'F-CRes'!F4*0.21</f>
        <v>64443697.5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239" t="s">
        <v>527</v>
      </c>
      <c r="B14" s="238">
        <f t="shared" ref="B14:G14" si="2">B13-B12</f>
        <v>0</v>
      </c>
      <c r="C14" s="238">
        <f t="shared" si="2"/>
        <v>35790879.611918718</v>
      </c>
      <c r="D14" s="238">
        <f t="shared" si="2"/>
        <v>49465697.151724137</v>
      </c>
      <c r="E14" s="238">
        <f t="shared" si="2"/>
        <v>51260058.812743954</v>
      </c>
      <c r="F14" s="238">
        <f t="shared" si="2"/>
        <v>53491794.951248631</v>
      </c>
      <c r="G14" s="238">
        <f t="shared" si="2"/>
        <v>55723531.089753315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236"/>
      <c r="B15" s="238"/>
      <c r="C15" s="70"/>
      <c r="D15" s="70"/>
      <c r="E15" s="70"/>
      <c r="F15" s="70"/>
      <c r="G15" s="7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242" t="s">
        <v>529</v>
      </c>
      <c r="B16" s="305">
        <v>0</v>
      </c>
      <c r="C16" s="70">
        <f t="shared" ref="C16:G16" si="3">B18</f>
        <v>96473748.448721468</v>
      </c>
      <c r="D16" s="70">
        <f t="shared" si="3"/>
        <v>0</v>
      </c>
      <c r="E16" s="70">
        <f t="shared" si="3"/>
        <v>0</v>
      </c>
      <c r="F16" s="70">
        <f t="shared" si="3"/>
        <v>0</v>
      </c>
      <c r="G16" s="70">
        <f t="shared" si="3"/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242" t="s">
        <v>530</v>
      </c>
      <c r="B17" s="238">
        <f>+'E-IVA '!B26+('F-Cred'!G21+'F-Cred'!I21)*0.21</f>
        <v>96473748.448721468</v>
      </c>
      <c r="C17" s="70">
        <f>+'E-IVA '!C26</f>
        <v>2057793.7984408045</v>
      </c>
      <c r="D17" s="70">
        <f>+'E-IVA '!D26</f>
        <v>-111084.63848643651</v>
      </c>
      <c r="E17" s="70">
        <f>+'E-IVA '!E26</f>
        <v>0</v>
      </c>
      <c r="F17" s="70">
        <f>+'E-IVA '!F26</f>
        <v>58.074875332089135</v>
      </c>
      <c r="G17" s="70">
        <f>+'E-IVA '!G26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239" t="s">
        <v>531</v>
      </c>
      <c r="B18" s="238">
        <f>B17</f>
        <v>96473748.448721468</v>
      </c>
      <c r="C18" s="108">
        <v>0</v>
      </c>
      <c r="D18" s="108">
        <v>0</v>
      </c>
      <c r="E18" s="108">
        <v>0</v>
      </c>
      <c r="F18" s="108">
        <v>0</v>
      </c>
      <c r="G18" s="168"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239" t="s">
        <v>532</v>
      </c>
      <c r="B19" s="305">
        <v>0</v>
      </c>
      <c r="C19" s="70">
        <f t="shared" ref="C19:G19" si="4">C16+C17</f>
        <v>98531542.247162268</v>
      </c>
      <c r="D19" s="70">
        <f t="shared" si="4"/>
        <v>-111084.63848643651</v>
      </c>
      <c r="E19" s="70">
        <f t="shared" si="4"/>
        <v>0</v>
      </c>
      <c r="F19" s="70">
        <f t="shared" si="4"/>
        <v>58.074875332089135</v>
      </c>
      <c r="G19" s="70">
        <f t="shared" si="4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236"/>
      <c r="B20" s="238"/>
      <c r="C20" s="70"/>
      <c r="D20" s="70"/>
      <c r="E20" s="70"/>
      <c r="F20" s="70"/>
      <c r="G20" s="7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.5" customHeight="1">
      <c r="A21" s="243" t="s">
        <v>410</v>
      </c>
      <c r="B21" s="244">
        <v>0</v>
      </c>
      <c r="C21" s="156">
        <f t="shared" ref="C21:G21" si="5">+C14-C16-C17</f>
        <v>-62740662.635243557</v>
      </c>
      <c r="D21" s="156">
        <f t="shared" si="5"/>
        <v>49576781.790210575</v>
      </c>
      <c r="E21" s="156">
        <f t="shared" si="5"/>
        <v>51260058.812743954</v>
      </c>
      <c r="F21" s="156">
        <f t="shared" si="5"/>
        <v>53491736.876373298</v>
      </c>
      <c r="G21" s="156">
        <f t="shared" si="5"/>
        <v>55723531.089753315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" sqref="F1:F1048576"/>
    </sheetView>
  </sheetViews>
  <sheetFormatPr baseColWidth="10" defaultColWidth="14.42578125" defaultRowHeight="15" customHeight="1"/>
  <cols>
    <col min="1" max="1" width="40.85546875" customWidth="1"/>
    <col min="2" max="7" width="15.85546875" bestFit="1" customWidth="1"/>
    <col min="8" max="8" width="21.7109375" customWidth="1"/>
    <col min="9" max="9" width="17.28515625" customWidth="1"/>
    <col min="10" max="14" width="11.28515625" customWidth="1"/>
    <col min="15" max="26" width="9" customWidth="1"/>
  </cols>
  <sheetData>
    <row r="1" spans="1:26" ht="14.25" customHeight="1">
      <c r="A1" s="2" t="s">
        <v>3</v>
      </c>
      <c r="E1" s="6">
        <f>InfoInicial!E1</f>
        <v>13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>
      <c r="A3" s="255" t="s">
        <v>514</v>
      </c>
      <c r="B3" s="207"/>
      <c r="C3" s="207"/>
      <c r="D3" s="207"/>
      <c r="E3" s="207"/>
      <c r="F3" s="207"/>
      <c r="G3" s="296"/>
      <c r="H3" s="20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27"/>
      <c r="B4" s="39" t="s">
        <v>37</v>
      </c>
      <c r="C4" s="39" t="s">
        <v>41</v>
      </c>
      <c r="D4" s="39" t="s">
        <v>56</v>
      </c>
      <c r="E4" s="39" t="s">
        <v>57</v>
      </c>
      <c r="F4" s="39" t="s">
        <v>58</v>
      </c>
      <c r="G4" s="256" t="s">
        <v>59</v>
      </c>
      <c r="H4" s="40" t="s">
        <v>370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47" t="s">
        <v>515</v>
      </c>
      <c r="B5" s="297">
        <f t="shared" ref="B5:G5" si="0">SUM(B6:B11)</f>
        <v>556362546.58549047</v>
      </c>
      <c r="C5" s="297">
        <f t="shared" si="0"/>
        <v>331270752.03358471</v>
      </c>
      <c r="D5" s="297">
        <f t="shared" si="0"/>
        <v>460299929.18974024</v>
      </c>
      <c r="E5" s="297">
        <f t="shared" si="0"/>
        <v>501278070.31270075</v>
      </c>
      <c r="F5" s="297">
        <f t="shared" si="0"/>
        <v>496848399.78543067</v>
      </c>
      <c r="G5" s="297">
        <f t="shared" si="0"/>
        <v>498541207.9080224</v>
      </c>
      <c r="H5" s="211">
        <f>SUM(C5:G5)</f>
        <v>2288238359.2294788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A6" s="9" t="s">
        <v>517</v>
      </c>
      <c r="B6" s="108">
        <v>0</v>
      </c>
      <c r="C6" s="108">
        <v>0</v>
      </c>
      <c r="D6" s="70">
        <f t="shared" ref="D6:G6" si="1">C27</f>
        <v>153536263.82822666</v>
      </c>
      <c r="E6" s="70">
        <f t="shared" si="1"/>
        <v>194403320.31270072</v>
      </c>
      <c r="F6" s="70">
        <f t="shared" si="1"/>
        <v>189973591.71055534</v>
      </c>
      <c r="G6" s="70">
        <f t="shared" si="1"/>
        <v>191666457.90802237</v>
      </c>
      <c r="H6" s="299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9" t="s">
        <v>519</v>
      </c>
      <c r="B7" s="300">
        <f>+'F-2 Estructura'!B31</f>
        <v>290679672.95398116</v>
      </c>
      <c r="C7" s="300">
        <f>+'F-2 Estructura'!C31</f>
        <v>8686809.7864224613</v>
      </c>
      <c r="D7" s="302">
        <v>0</v>
      </c>
      <c r="E7" s="302">
        <v>0</v>
      </c>
      <c r="F7" s="302">
        <v>0</v>
      </c>
      <c r="G7" s="303"/>
      <c r="H7" s="304">
        <f t="shared" ref="H7:H11" si="2">SUM(B7:G7)</f>
        <v>299366482.74040365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9" t="s">
        <v>522</v>
      </c>
      <c r="B8" s="108">
        <f>'F-2 Estructura'!B29</f>
        <v>0</v>
      </c>
      <c r="C8" s="70">
        <f>'F-2 Estructura'!C29</f>
        <v>0</v>
      </c>
      <c r="D8" s="108">
        <v>0</v>
      </c>
      <c r="E8" s="108">
        <v>0</v>
      </c>
      <c r="F8" s="108">
        <v>0</v>
      </c>
      <c r="G8" s="226">
        <v>0</v>
      </c>
      <c r="H8" s="76">
        <f t="shared" si="2"/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9" t="s">
        <v>523</v>
      </c>
      <c r="B9" s="108">
        <f>+'F-2 Estructura'!B30</f>
        <v>265682873.63150927</v>
      </c>
      <c r="C9" s="70">
        <v>0</v>
      </c>
      <c r="D9" s="108">
        <v>0</v>
      </c>
      <c r="E9" s="108">
        <v>0</v>
      </c>
      <c r="F9" s="108">
        <v>0</v>
      </c>
      <c r="G9" s="226">
        <v>0</v>
      </c>
      <c r="H9" s="76">
        <f t="shared" si="2"/>
        <v>265682873.63150927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9" t="s">
        <v>524</v>
      </c>
      <c r="B10" s="108">
        <v>0</v>
      </c>
      <c r="C10" s="70">
        <f>+'F-CRes'!B4</f>
        <v>224052400</v>
      </c>
      <c r="D10" s="70">
        <f>+'F-CRes'!C4</f>
        <v>306874750</v>
      </c>
      <c r="E10" s="70">
        <f>+'F-CRes'!D4</f>
        <v>306874750</v>
      </c>
      <c r="F10" s="70">
        <f>+'F-CRes'!E4</f>
        <v>306874750</v>
      </c>
      <c r="G10" s="70">
        <f>+'F-CRes'!F4</f>
        <v>306874750</v>
      </c>
      <c r="H10" s="76">
        <f t="shared" si="2"/>
        <v>1451551400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9" t="s">
        <v>526</v>
      </c>
      <c r="B11" s="210">
        <f>+'F-IVA'!B19</f>
        <v>0</v>
      </c>
      <c r="C11" s="210">
        <f>+'F-IVA'!C19</f>
        <v>98531542.247162268</v>
      </c>
      <c r="D11" s="210">
        <f>+'F-IVA'!D19</f>
        <v>-111084.63848643651</v>
      </c>
      <c r="E11" s="210">
        <f>+'F-IVA'!E19</f>
        <v>0</v>
      </c>
      <c r="F11" s="210">
        <f>+'F-IVA'!F19</f>
        <v>58.074875332089135</v>
      </c>
      <c r="G11" s="210">
        <f>+'F-IVA'!G19</f>
        <v>0</v>
      </c>
      <c r="H11" s="76">
        <f t="shared" si="2"/>
        <v>98420515.683551162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9"/>
      <c r="B12" s="70"/>
      <c r="C12" s="70"/>
      <c r="D12" s="70"/>
      <c r="E12" s="70"/>
      <c r="F12" s="70"/>
      <c r="G12" s="227"/>
      <c r="H12" s="7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>
      <c r="A13" s="47" t="s">
        <v>528</v>
      </c>
      <c r="B13" s="70">
        <f t="shared" ref="B13:G13" si="3">+SUM(B14:B22)</f>
        <v>556362546.58549047</v>
      </c>
      <c r="C13" s="70">
        <f t="shared" si="3"/>
        <v>220920955.56261241</v>
      </c>
      <c r="D13" s="70">
        <f t="shared" si="3"/>
        <v>309083076.23429388</v>
      </c>
      <c r="E13" s="70">
        <f t="shared" si="3"/>
        <v>342535216.64598185</v>
      </c>
      <c r="F13" s="70">
        <f t="shared" si="3"/>
        <v>336412679.92124474</v>
      </c>
      <c r="G13" s="70">
        <f t="shared" si="3"/>
        <v>285983967.27281809</v>
      </c>
      <c r="H13" s="76">
        <f t="shared" ref="H13:H17" si="4">SUM(B13:G13)</f>
        <v>2051298442.2224412</v>
      </c>
      <c r="I13" s="3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9" t="s">
        <v>0</v>
      </c>
      <c r="B14" s="306">
        <f>+'F-2 Estructura'!B8</f>
        <v>457957176.26483577</v>
      </c>
      <c r="C14" s="306">
        <f>+'F-2 Estructura'!C8</f>
        <v>8759071.7478488944</v>
      </c>
      <c r="D14" s="108">
        <v>0</v>
      </c>
      <c r="E14" s="108">
        <v>0</v>
      </c>
      <c r="F14" s="108">
        <v>0</v>
      </c>
      <c r="G14" s="108">
        <v>0</v>
      </c>
      <c r="H14" s="307">
        <f t="shared" si="4"/>
        <v>466716248.01268464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>
      <c r="A15" s="9" t="s">
        <v>436</v>
      </c>
      <c r="B15" s="308">
        <f>+'E-InvAT'!B24</f>
        <v>1931621.8719331627</v>
      </c>
      <c r="C15" s="308">
        <f>+'E-InvAT'!C24</f>
        <v>1039946.3399644606</v>
      </c>
      <c r="D15" s="308">
        <f>+'E-InvAT'!D24</f>
        <v>-528974.46898303088</v>
      </c>
      <c r="E15" s="308">
        <f>+'E-InvAT'!E24</f>
        <v>0</v>
      </c>
      <c r="F15" s="308">
        <f>+'E-InvAT'!F24</f>
        <v>276.54702539090067</v>
      </c>
      <c r="G15" s="308">
        <f>+'E-InvAT'!G24</f>
        <v>0</v>
      </c>
      <c r="H15" s="307">
        <f t="shared" si="4"/>
        <v>2442870.2899399833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9" t="s">
        <v>533</v>
      </c>
      <c r="B16" s="108">
        <v>0</v>
      </c>
      <c r="C16" s="308">
        <f>+'F-CRes'!B5+'F-CRes'!B8+'F-CRes'!B9+'F-CRes'!B10</f>
        <v>198143573.16570142</v>
      </c>
      <c r="D16" s="308">
        <f>+'F-CRes'!C5+'F-CRes'!C8+'F-CRes'!C9+'F-CRes'!C10</f>
        <v>235254882.07118139</v>
      </c>
      <c r="E16" s="308">
        <f>+'F-CRes'!D5+'F-CRes'!D8+'F-CRes'!D9+'F-CRes'!D10</f>
        <v>215430512.78100613</v>
      </c>
      <c r="F16" s="308">
        <f>+'F-CRes'!E5+'F-CRes'!E8+'F-CRes'!E9+'F-CRes'!E10</f>
        <v>204846465.50937635</v>
      </c>
      <c r="G16" s="308">
        <f>+'F-CRes'!F5+'F-CRes'!F8+'F-CRes'!F9+'F-CRes'!F10</f>
        <v>194219155.07214031</v>
      </c>
      <c r="H16" s="307">
        <f t="shared" si="4"/>
        <v>1047894588.5994056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9" t="s">
        <v>534</v>
      </c>
      <c r="B17" s="108">
        <v>0</v>
      </c>
      <c r="C17" s="308">
        <f>+'F-CRes'!B13</f>
        <v>8070599.5588840088</v>
      </c>
      <c r="D17" s="308">
        <f>+'F-CRes'!C13</f>
        <v>22309588.859827004</v>
      </c>
      <c r="E17" s="308">
        <f>+'F-CRes'!D13</f>
        <v>28484879.893716589</v>
      </c>
      <c r="F17" s="308">
        <f>+'F-CRes'!E13</f>
        <v>31781810.618829269</v>
      </c>
      <c r="G17" s="308">
        <f>+'F-CRes'!F13</f>
        <v>35092217.820028298</v>
      </c>
      <c r="H17" s="307">
        <f t="shared" si="4"/>
        <v>125739096.75128517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9" t="s">
        <v>535</v>
      </c>
      <c r="B18" s="108">
        <v>0</v>
      </c>
      <c r="C18" s="108">
        <f>'F-Cred'!E24</f>
        <v>0</v>
      </c>
      <c r="D18" s="108">
        <f>'F-Cred'!E26</f>
        <v>44280478.938584879</v>
      </c>
      <c r="E18" s="108">
        <f>'F-Cred'!E28</f>
        <v>88560957.877169758</v>
      </c>
      <c r="F18" s="108">
        <f>'F-Cred'!E30</f>
        <v>88560957.877169758</v>
      </c>
      <c r="G18" s="108">
        <f>'F-Cred'!E32</f>
        <v>44280478.938584879</v>
      </c>
      <c r="H18" s="108">
        <f>SUM(D18:G18)</f>
        <v>265682873.63150924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9" t="s">
        <v>536</v>
      </c>
      <c r="B19" s="108">
        <v>0</v>
      </c>
      <c r="C19" s="308">
        <f>+'F-CRes'!B12</f>
        <v>2849970.9517728449</v>
      </c>
      <c r="D19" s="308">
        <f>+'F-CRes'!C12</f>
        <v>7878185.4721700512</v>
      </c>
      <c r="E19" s="308">
        <f>+'F-CRes'!D12</f>
        <v>10058866.094089326</v>
      </c>
      <c r="F19" s="308">
        <f>+'F-CRes'!E12</f>
        <v>11223111.293968603</v>
      </c>
      <c r="G19" s="308">
        <f>+'F-CRes'!F12</f>
        <v>12392115.442064568</v>
      </c>
      <c r="H19" s="307">
        <f t="shared" ref="H19:H21" si="5">SUM(B19:G19)</f>
        <v>44402249.254065394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9" t="s">
        <v>537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307">
        <f t="shared" si="5"/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9" t="s">
        <v>538</v>
      </c>
      <c r="B21" s="308">
        <f>+'F-IVA'!B17</f>
        <v>96473748.448721468</v>
      </c>
      <c r="C21" s="308">
        <f>+'F-IVA'!C17</f>
        <v>2057793.7984408045</v>
      </c>
      <c r="D21" s="308">
        <f>+'F-IVA'!D17</f>
        <v>-111084.63848643651</v>
      </c>
      <c r="E21" s="308">
        <f>+'F-IVA'!E17</f>
        <v>0</v>
      </c>
      <c r="F21" s="308">
        <f>+'F-IVA'!F17</f>
        <v>58.074875332089135</v>
      </c>
      <c r="G21" s="308">
        <f>+'F-IVA'!G17</f>
        <v>0</v>
      </c>
      <c r="H21" s="307">
        <f t="shared" si="5"/>
        <v>98420515.683551162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>
      <c r="A22" s="9" t="s">
        <v>539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>
      <c r="A23" s="9"/>
      <c r="B23" s="309"/>
      <c r="C23" s="308"/>
      <c r="D23" s="308"/>
      <c r="E23" s="308"/>
      <c r="F23" s="308"/>
      <c r="G23" s="310"/>
      <c r="H23" s="31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>
      <c r="A24" s="47" t="s">
        <v>540</v>
      </c>
      <c r="B24" s="108">
        <f t="shared" ref="B24:H24" si="6">B5-B13</f>
        <v>0</v>
      </c>
      <c r="C24" s="308">
        <f t="shared" si="6"/>
        <v>110349796.4709723</v>
      </c>
      <c r="D24" s="308">
        <f t="shared" si="6"/>
        <v>151216852.95544636</v>
      </c>
      <c r="E24" s="308">
        <f t="shared" si="6"/>
        <v>158742853.6667189</v>
      </c>
      <c r="F24" s="308">
        <f t="shared" si="6"/>
        <v>160435719.86418593</v>
      </c>
      <c r="G24" s="308">
        <f t="shared" si="6"/>
        <v>212557240.63520432</v>
      </c>
      <c r="H24" s="308">
        <f t="shared" si="6"/>
        <v>236939917.00703764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47" t="s">
        <v>541</v>
      </c>
      <c r="B25" s="108">
        <v>0</v>
      </c>
      <c r="C25" s="108">
        <f>'E-Inv AF y Am'!D71+('F-Cred'!G21+'F-Cred'!I21)/2</f>
        <v>43186467.357254364</v>
      </c>
      <c r="D25" s="108">
        <f>'E-Inv AF y Am'!D71+('F-Cred'!G21+'F-Cred'!I21)/2</f>
        <v>43186467.357254364</v>
      </c>
      <c r="E25" s="108">
        <f>'E-Inv AF y Am'!D71</f>
        <v>31230738.043836448</v>
      </c>
      <c r="F25" s="308">
        <f>'E-Inv AF y Am'!E71</f>
        <v>31230738.043836448</v>
      </c>
      <c r="G25" s="312">
        <f>'E-Inv AF y Am'!E71</f>
        <v>31230738.043836448</v>
      </c>
      <c r="H25" s="311">
        <f>SUM(B25:G25)</f>
        <v>180065148.84601808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47"/>
      <c r="B26" s="108"/>
      <c r="C26" s="308"/>
      <c r="D26" s="308"/>
      <c r="E26" s="308"/>
      <c r="F26" s="308"/>
      <c r="G26" s="310"/>
      <c r="H26" s="3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>
      <c r="A27" s="47" t="s">
        <v>542</v>
      </c>
      <c r="B27" s="313">
        <v>0</v>
      </c>
      <c r="C27" s="314">
        <f t="shared" ref="C27:G27" si="7">C24+C25</f>
        <v>153536263.82822666</v>
      </c>
      <c r="D27" s="314">
        <f t="shared" si="7"/>
        <v>194403320.31270072</v>
      </c>
      <c r="E27" s="314">
        <f t="shared" si="7"/>
        <v>189973591.71055534</v>
      </c>
      <c r="F27" s="314">
        <f t="shared" si="7"/>
        <v>191666457.90802237</v>
      </c>
      <c r="G27" s="314">
        <f t="shared" si="7"/>
        <v>243787978.67904076</v>
      </c>
      <c r="H27" s="315">
        <f>G27</f>
        <v>243787978.67904076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105" t="s">
        <v>543</v>
      </c>
      <c r="B28" s="316">
        <v>0</v>
      </c>
      <c r="C28" s="317">
        <f>C24+C25</f>
        <v>153536263.82822666</v>
      </c>
      <c r="D28" s="317">
        <f t="shared" ref="D28:G28" si="8">D27-C27</f>
        <v>40867056.484474063</v>
      </c>
      <c r="E28" s="317">
        <f t="shared" si="8"/>
        <v>-4429728.6021453738</v>
      </c>
      <c r="F28" s="317">
        <f t="shared" si="8"/>
        <v>1692866.1974670291</v>
      </c>
      <c r="G28" s="318">
        <f t="shared" si="8"/>
        <v>52121520.771018386</v>
      </c>
      <c r="H28" s="319">
        <f>SUM(B28:G28)</f>
        <v>243787978.67904076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7.5703125" customWidth="1"/>
    <col min="2" max="2" width="15.85546875" bestFit="1" customWidth="1"/>
    <col min="3" max="3" width="16.28515625" customWidth="1"/>
    <col min="4" max="6" width="15.85546875" bestFit="1" customWidth="1"/>
    <col min="7" max="7" width="18" customWidth="1"/>
    <col min="8" max="8" width="17.28515625" customWidth="1"/>
    <col min="9" max="9" width="14.7109375" customWidth="1"/>
    <col min="10" max="10" width="21.28515625" customWidth="1"/>
    <col min="11" max="26" width="9" customWidth="1"/>
  </cols>
  <sheetData>
    <row r="1" spans="1:26" ht="14.25" customHeight="1">
      <c r="A1" s="2" t="s">
        <v>3</v>
      </c>
      <c r="E1" s="6">
        <f>InfoInicial!E1</f>
        <v>13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>
      <c r="A3" s="255" t="s">
        <v>544</v>
      </c>
      <c r="B3" s="207"/>
      <c r="C3" s="207"/>
      <c r="D3" s="207"/>
      <c r="E3" s="207"/>
      <c r="F3" s="207"/>
      <c r="G3" s="20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35"/>
      <c r="B4" s="320" t="s">
        <v>37</v>
      </c>
      <c r="C4" s="320" t="s">
        <v>41</v>
      </c>
      <c r="D4" s="320" t="s">
        <v>56</v>
      </c>
      <c r="E4" s="320" t="s">
        <v>57</v>
      </c>
      <c r="F4" s="320" t="s">
        <v>58</v>
      </c>
      <c r="G4" s="320" t="s">
        <v>59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110" t="s">
        <v>545</v>
      </c>
      <c r="B5" s="52">
        <f t="shared" ref="B5:G5" si="0">SUM(B7:B11)</f>
        <v>98405370.320654631</v>
      </c>
      <c r="C5" s="52">
        <f t="shared" si="0"/>
        <v>156507832.04012427</v>
      </c>
      <c r="D5" s="52">
        <f t="shared" si="0"/>
        <v>196845914.05561531</v>
      </c>
      <c r="E5" s="52">
        <f t="shared" si="0"/>
        <v>192416185.45346993</v>
      </c>
      <c r="F5" s="52">
        <f t="shared" si="0"/>
        <v>194109328.19796234</v>
      </c>
      <c r="G5" s="321">
        <f t="shared" si="0"/>
        <v>246230848.96898073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A6" s="25" t="s">
        <v>546</v>
      </c>
      <c r="B6" s="70"/>
      <c r="C6" s="70"/>
      <c r="D6" s="70"/>
      <c r="E6" s="70"/>
      <c r="F6" s="70"/>
      <c r="G6" s="32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27" t="s">
        <v>547</v>
      </c>
      <c r="B7" s="84">
        <f>'E-InvAT'!B6</f>
        <v>489996</v>
      </c>
      <c r="C7" s="84">
        <f>'E-InvAT'!C6</f>
        <v>612495</v>
      </c>
      <c r="D7" s="84">
        <f>'E-InvAT'!D6</f>
        <v>612495</v>
      </c>
      <c r="E7" s="84">
        <f>'E-InvAT'!E6</f>
        <v>612495</v>
      </c>
      <c r="F7" s="84">
        <f>'E-InvAT'!F6</f>
        <v>612495</v>
      </c>
      <c r="G7" s="323">
        <f>'E-InvAT'!G6</f>
        <v>612495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27" t="s">
        <v>548</v>
      </c>
      <c r="B8" s="70">
        <f>'F- CFyU'!B27</f>
        <v>0</v>
      </c>
      <c r="C8" s="70">
        <f>'F- CFyU'!C27</f>
        <v>153536263.82822666</v>
      </c>
      <c r="D8" s="70">
        <f>'F- CFyU'!D27</f>
        <v>194403320.31270072</v>
      </c>
      <c r="E8" s="70">
        <f>'F- CFyU'!E27</f>
        <v>189973591.71055534</v>
      </c>
      <c r="F8" s="70">
        <f>'F- CFyU'!F27</f>
        <v>191666457.90802237</v>
      </c>
      <c r="G8" s="322">
        <f>'F- CFyU'!G27</f>
        <v>243787978.67904076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25" t="s">
        <v>549</v>
      </c>
      <c r="B9" s="70">
        <f>'E-InvAT'!B7</f>
        <v>0</v>
      </c>
      <c r="C9" s="70">
        <f>'E-InvAT'!C7</f>
        <v>0</v>
      </c>
      <c r="D9" s="70">
        <f>'E-InvAT'!D7</f>
        <v>0</v>
      </c>
      <c r="E9" s="70">
        <f>'E-InvAT'!E7</f>
        <v>0</v>
      </c>
      <c r="F9" s="70">
        <f>'E-InvAT'!F7</f>
        <v>0</v>
      </c>
      <c r="G9" s="322">
        <f>'E-InvAT'!G7</f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25" t="s">
        <v>551</v>
      </c>
      <c r="B10" s="70">
        <f>'E-InvAT'!B9</f>
        <v>1441625.8719331627</v>
      </c>
      <c r="C10" s="70">
        <f>'E-InvAT'!C9</f>
        <v>2359073.2118976233</v>
      </c>
      <c r="D10" s="70">
        <f>'E-InvAT'!D9</f>
        <v>1830098.7429145924</v>
      </c>
      <c r="E10" s="70">
        <f>'E-InvAT'!E9</f>
        <v>1830098.7429145924</v>
      </c>
      <c r="F10" s="70">
        <f>'E-InvAT'!F9</f>
        <v>1830375.2899399833</v>
      </c>
      <c r="G10" s="322">
        <f>'E-InvAT'!G9</f>
        <v>1830375.2899399833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25" t="s">
        <v>555</v>
      </c>
      <c r="B11" s="308">
        <f>'F-IVA'!B18</f>
        <v>96473748.448721468</v>
      </c>
      <c r="C11" s="70">
        <f>'F-IVA'!C18</f>
        <v>0</v>
      </c>
      <c r="D11" s="70">
        <f>'F-IVA'!D18</f>
        <v>0</v>
      </c>
      <c r="E11" s="70">
        <f>'F-IVA'!E18</f>
        <v>0</v>
      </c>
      <c r="F11" s="70">
        <f>'F-IVA'!F18</f>
        <v>0</v>
      </c>
      <c r="G11" s="322">
        <f>'F-IVA'!G18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25" t="s">
        <v>556</v>
      </c>
      <c r="B12" s="70">
        <f t="shared" ref="B12:G12" si="1">B17+B22+B23</f>
        <v>457957176.26483577</v>
      </c>
      <c r="C12" s="70">
        <f t="shared" si="1"/>
        <v>423529780.65543032</v>
      </c>
      <c r="D12" s="70">
        <f t="shared" si="1"/>
        <v>380343313.29817593</v>
      </c>
      <c r="E12" s="70">
        <f t="shared" si="1"/>
        <v>349112575.25433946</v>
      </c>
      <c r="F12" s="70">
        <f t="shared" si="1"/>
        <v>317881837.21050304</v>
      </c>
      <c r="G12" s="322">
        <f t="shared" si="1"/>
        <v>286651099.16666657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>
      <c r="A13" s="25" t="s">
        <v>557</v>
      </c>
      <c r="B13" s="210"/>
      <c r="C13" s="210"/>
      <c r="D13" s="210"/>
      <c r="E13" s="210"/>
      <c r="F13" s="210"/>
      <c r="G13" s="32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27" t="s">
        <v>558</v>
      </c>
      <c r="B14" s="70">
        <f>'F-2 Estructura'!B7</f>
        <v>24113998.626835834</v>
      </c>
      <c r="C14" s="70">
        <f t="shared" ref="C14:G14" si="2">B17</f>
        <v>24113998.626835834</v>
      </c>
      <c r="D14" s="70">
        <f t="shared" si="2"/>
        <v>19125018.711697035</v>
      </c>
      <c r="E14" s="70">
        <f t="shared" si="2"/>
        <v>5376967.0487093385</v>
      </c>
      <c r="F14" s="70">
        <f t="shared" si="2"/>
        <v>3584644.6991395596</v>
      </c>
      <c r="G14" s="322">
        <f t="shared" si="2"/>
        <v>1792322.3495697808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>
      <c r="A15" s="27" t="s">
        <v>559</v>
      </c>
      <c r="B15" s="70">
        <f t="shared" ref="B15:B16" si="3">B20+B25+B26</f>
        <v>0</v>
      </c>
      <c r="C15" s="70">
        <f>'F-2 Estructura'!C7</f>
        <v>8759071.7478488944</v>
      </c>
      <c r="D15" s="108">
        <v>0</v>
      </c>
      <c r="E15" s="108">
        <v>0</v>
      </c>
      <c r="F15" s="108">
        <v>0</v>
      </c>
      <c r="G15" s="325"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27" t="s">
        <v>560</v>
      </c>
      <c r="B16" s="70">
        <f t="shared" si="3"/>
        <v>0</v>
      </c>
      <c r="C16" s="70">
        <f>(('F-Cred'!G21+'F-Cred'!I21)/2)+'E-Inv AF y Am'!D68</f>
        <v>13748051.662987696</v>
      </c>
      <c r="D16" s="70">
        <f>(('F-Cred'!G21+'F-Cred'!I21)/2)+'E-Inv AF y Am'!D68</f>
        <v>13748051.662987696</v>
      </c>
      <c r="E16" s="70">
        <f>'E-Inv AF y Am'!D68</f>
        <v>1792322.3495697789</v>
      </c>
      <c r="F16" s="70">
        <f>'E-Inv AF y Am'!E68</f>
        <v>1792322.3495697789</v>
      </c>
      <c r="G16" s="322">
        <f>'E-Inv AF y Am'!E68</f>
        <v>1792322.3495697789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27" t="s">
        <v>561</v>
      </c>
      <c r="B17" s="70">
        <f t="shared" ref="B17:G17" si="4">B14+B15-B16</f>
        <v>24113998.626835834</v>
      </c>
      <c r="C17" s="70">
        <f t="shared" si="4"/>
        <v>19125018.711697035</v>
      </c>
      <c r="D17" s="70">
        <f t="shared" si="4"/>
        <v>5376967.0487093385</v>
      </c>
      <c r="E17" s="70">
        <f t="shared" si="4"/>
        <v>3584644.6991395596</v>
      </c>
      <c r="F17" s="70">
        <f t="shared" si="4"/>
        <v>1792322.3495697808</v>
      </c>
      <c r="G17" s="326">
        <f t="shared" si="4"/>
        <v>1.862645149230957E-9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25" t="s">
        <v>193</v>
      </c>
      <c r="B18" s="300"/>
      <c r="C18" s="300"/>
      <c r="D18" s="300"/>
      <c r="E18" s="300"/>
      <c r="F18" s="300"/>
      <c r="G18" s="32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27" t="s">
        <v>558</v>
      </c>
      <c r="B19" s="70">
        <f>'F-2 Estructura'!B6</f>
        <v>433843177.63799995</v>
      </c>
      <c r="C19" s="70">
        <f t="shared" ref="C19:G19" si="5">B22</f>
        <v>433843177.63799995</v>
      </c>
      <c r="D19" s="70">
        <f t="shared" si="5"/>
        <v>404404761.94373327</v>
      </c>
      <c r="E19" s="70">
        <f t="shared" si="5"/>
        <v>374966346.2494666</v>
      </c>
      <c r="F19" s="70">
        <f t="shared" si="5"/>
        <v>345527930.55519992</v>
      </c>
      <c r="G19" s="322">
        <f t="shared" si="5"/>
        <v>316089514.86093324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27" t="s">
        <v>562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325"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27" t="s">
        <v>563</v>
      </c>
      <c r="B21" s="108">
        <v>0</v>
      </c>
      <c r="C21" s="70">
        <f>'E-Inv AF y Am'!D66</f>
        <v>29438415.694266669</v>
      </c>
      <c r="D21" s="70">
        <f>'E-Inv AF y Am'!D66</f>
        <v>29438415.694266669</v>
      </c>
      <c r="E21" s="70">
        <f>'E-Inv AF y Am'!D66</f>
        <v>29438415.694266669</v>
      </c>
      <c r="F21" s="70">
        <f>'E-Inv AF y Am'!E66</f>
        <v>29438415.694266669</v>
      </c>
      <c r="G21" s="322">
        <f>'E-Inv AF y Am'!E66</f>
        <v>29438415.694266669</v>
      </c>
      <c r="H21" s="9"/>
      <c r="I21" s="9"/>
      <c r="J21" s="9"/>
      <c r="K21" s="9"/>
      <c r="L21" s="23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>
      <c r="A22" s="27" t="s">
        <v>561</v>
      </c>
      <c r="B22" s="70">
        <f t="shared" ref="B22:G22" si="6">B19+B20-B21</f>
        <v>433843177.63799995</v>
      </c>
      <c r="C22" s="70">
        <f t="shared" si="6"/>
        <v>404404761.94373327</v>
      </c>
      <c r="D22" s="70">
        <f t="shared" si="6"/>
        <v>374966346.2494666</v>
      </c>
      <c r="E22" s="70">
        <f t="shared" si="6"/>
        <v>345527930.55519992</v>
      </c>
      <c r="F22" s="70">
        <f t="shared" si="6"/>
        <v>316089514.86093324</v>
      </c>
      <c r="G22" s="322">
        <f t="shared" si="6"/>
        <v>286651099.16666657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>
      <c r="A23" s="144" t="s">
        <v>564</v>
      </c>
      <c r="B23" s="328">
        <v>0</v>
      </c>
      <c r="C23" s="328">
        <v>0</v>
      </c>
      <c r="D23" s="328">
        <v>0</v>
      </c>
      <c r="E23" s="328">
        <v>0</v>
      </c>
      <c r="F23" s="328">
        <v>0</v>
      </c>
      <c r="G23" s="329"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>
      <c r="A24" s="330" t="s">
        <v>565</v>
      </c>
      <c r="B24" s="96">
        <f t="shared" ref="B24:E24" si="7">B5+B12</f>
        <v>556362546.58549047</v>
      </c>
      <c r="C24" s="96">
        <f t="shared" si="7"/>
        <v>580037612.69555461</v>
      </c>
      <c r="D24" s="96">
        <f t="shared" si="7"/>
        <v>577189227.35379124</v>
      </c>
      <c r="E24" s="96">
        <f t="shared" si="7"/>
        <v>541528760.70780945</v>
      </c>
      <c r="F24" s="96">
        <f t="shared" ref="F24:G24" si="8">ROUND(F5+F12,4)</f>
        <v>511991165.40850002</v>
      </c>
      <c r="G24" s="96">
        <f t="shared" si="8"/>
        <v>532881948.13559997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121" t="s">
        <v>566</v>
      </c>
      <c r="B25" s="328">
        <f t="shared" ref="B25:G25" si="9">SUM(B26:B27)</f>
        <v>0</v>
      </c>
      <c r="C25" s="328">
        <f t="shared" si="9"/>
        <v>265682873.63150927</v>
      </c>
      <c r="D25" s="328">
        <f t="shared" si="9"/>
        <v>221402394.69292438</v>
      </c>
      <c r="E25" s="328">
        <f t="shared" si="9"/>
        <v>132841436.81575464</v>
      </c>
      <c r="F25" s="328">
        <f t="shared" si="9"/>
        <v>44280478.938584879</v>
      </c>
      <c r="G25" s="329">
        <f t="shared" si="9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25" t="s">
        <v>567</v>
      </c>
      <c r="B26" s="328">
        <v>0</v>
      </c>
      <c r="C26" s="328">
        <f>'F-Cred'!D6</f>
        <v>0</v>
      </c>
      <c r="D26" s="328">
        <f>'F-Cred'!D6</f>
        <v>0</v>
      </c>
      <c r="E26" s="328">
        <f>'F-Cred'!D6</f>
        <v>0</v>
      </c>
      <c r="F26" s="328">
        <f>'F-Cred'!D6</f>
        <v>0</v>
      </c>
      <c r="G26" s="329">
        <f>'F-Cred'!D6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>
      <c r="A27" s="25" t="s">
        <v>568</v>
      </c>
      <c r="B27" s="328">
        <v>0</v>
      </c>
      <c r="C27" s="328">
        <f>'F-Cred'!$F24</f>
        <v>265682873.63150927</v>
      </c>
      <c r="D27" s="328">
        <f>'F-Cred'!B26</f>
        <v>221402394.69292438</v>
      </c>
      <c r="E27" s="328">
        <f>'F-Cred'!B28</f>
        <v>132841436.81575464</v>
      </c>
      <c r="F27" s="328">
        <f>'F-Cred'!B30</f>
        <v>44280478.938584879</v>
      </c>
      <c r="G27" s="329"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25" t="s">
        <v>569</v>
      </c>
      <c r="B28" s="70">
        <f>B29</f>
        <v>265682873.63150927</v>
      </c>
      <c r="C28" s="328">
        <f>+C29</f>
        <v>0</v>
      </c>
      <c r="D28" s="328">
        <v>0</v>
      </c>
      <c r="E28" s="328">
        <v>0</v>
      </c>
      <c r="F28" s="328">
        <v>0</v>
      </c>
      <c r="G28" s="329"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>
      <c r="A29" s="25" t="s">
        <v>568</v>
      </c>
      <c r="B29" s="70">
        <f>'F- CFyU'!B8+'F- CFyU'!B9-B27</f>
        <v>265682873.63150927</v>
      </c>
      <c r="C29" s="328">
        <v>0</v>
      </c>
      <c r="D29" s="328">
        <v>0</v>
      </c>
      <c r="E29" s="328">
        <v>0</v>
      </c>
      <c r="F29" s="328">
        <v>0</v>
      </c>
      <c r="G29" s="329"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>
      <c r="A30" s="25" t="s">
        <v>570</v>
      </c>
      <c r="B30" s="70">
        <f t="shared" ref="B30:G30" si="10">B25+B28</f>
        <v>265682873.63150927</v>
      </c>
      <c r="C30" s="70">
        <f t="shared" si="10"/>
        <v>265682873.63150927</v>
      </c>
      <c r="D30" s="70">
        <f t="shared" si="10"/>
        <v>221402394.69292438</v>
      </c>
      <c r="E30" s="70">
        <f t="shared" si="10"/>
        <v>132841436.81575464</v>
      </c>
      <c r="F30" s="70">
        <f t="shared" si="10"/>
        <v>44280478.938584879</v>
      </c>
      <c r="G30" s="322">
        <f t="shared" si="10"/>
        <v>0</v>
      </c>
      <c r="H30" s="9"/>
      <c r="I30" s="9"/>
      <c r="J30" s="32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>
      <c r="A31" s="25" t="s">
        <v>571</v>
      </c>
      <c r="B31" s="70">
        <f t="shared" ref="B31:G31" si="11">SUM(B32:B34)</f>
        <v>290679672.95398116</v>
      </c>
      <c r="C31" s="70">
        <f t="shared" si="11"/>
        <v>314354739.06404537</v>
      </c>
      <c r="D31" s="70">
        <f t="shared" si="11"/>
        <v>355786832.66086698</v>
      </c>
      <c r="E31" s="70">
        <f t="shared" si="11"/>
        <v>408687323.89205492</v>
      </c>
      <c r="F31" s="70">
        <f t="shared" si="11"/>
        <v>467710686.4698807</v>
      </c>
      <c r="G31" s="322">
        <f t="shared" si="11"/>
        <v>532881948.13564754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>
      <c r="A32" s="25" t="s">
        <v>572</v>
      </c>
      <c r="B32" s="70">
        <f>'F-2 Estructura'!B31</f>
        <v>290679672.95398116</v>
      </c>
      <c r="C32" s="70">
        <f>'F-2 Estructura'!B31+'F-2 Estructura'!C31</f>
        <v>299366482.74040365</v>
      </c>
      <c r="D32" s="70">
        <f t="shared" ref="D32:G32" si="12">C32</f>
        <v>299366482.74040365</v>
      </c>
      <c r="E32" s="70">
        <f t="shared" si="12"/>
        <v>299366482.74040365</v>
      </c>
      <c r="F32" s="70">
        <f t="shared" si="12"/>
        <v>299366482.74040365</v>
      </c>
      <c r="G32" s="322">
        <f t="shared" si="12"/>
        <v>299366482.74040365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>
      <c r="A33" s="25" t="s">
        <v>573</v>
      </c>
      <c r="B33" s="108">
        <v>0</v>
      </c>
      <c r="C33" s="70">
        <f>'F-CRes'!B14</f>
        <v>14988256.323641732</v>
      </c>
      <c r="D33" s="70">
        <f>'F-CRes'!C14</f>
        <v>41432093.596821584</v>
      </c>
      <c r="E33" s="70">
        <f>'F-CRes'!D14</f>
        <v>52900491.231187955</v>
      </c>
      <c r="F33" s="70">
        <f>'F-CRes'!E14</f>
        <v>59023362.5778258</v>
      </c>
      <c r="G33" s="322">
        <f>'F-CRes'!F14</f>
        <v>65171261.665766843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>
      <c r="A34" s="25" t="s">
        <v>574</v>
      </c>
      <c r="B34" s="108">
        <v>0</v>
      </c>
      <c r="C34" s="70">
        <f t="shared" ref="C34:D34" si="13">B33</f>
        <v>0</v>
      </c>
      <c r="D34" s="70">
        <f t="shared" si="13"/>
        <v>14988256.323641732</v>
      </c>
      <c r="E34" s="70">
        <f t="shared" ref="E34:G34" si="14">D33+D34</f>
        <v>56420349.920463316</v>
      </c>
      <c r="F34" s="70">
        <f t="shared" si="14"/>
        <v>109320841.15165126</v>
      </c>
      <c r="G34" s="322">
        <f t="shared" si="14"/>
        <v>168344203.72947705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105" t="s">
        <v>576</v>
      </c>
      <c r="B35" s="96">
        <f t="shared" ref="B35:E35" si="15">B30+B31</f>
        <v>556362546.58549047</v>
      </c>
      <c r="C35" s="96">
        <f t="shared" si="15"/>
        <v>580037612.69555461</v>
      </c>
      <c r="D35" s="96">
        <f t="shared" si="15"/>
        <v>577189227.35379136</v>
      </c>
      <c r="E35" s="96">
        <f t="shared" si="15"/>
        <v>541528760.70780957</v>
      </c>
      <c r="F35" s="96">
        <f t="shared" ref="F35:G35" si="16">ROUND(F30+F31,4)</f>
        <v>511991165.40850002</v>
      </c>
      <c r="G35" s="96">
        <f t="shared" si="16"/>
        <v>532881948.13559997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>
      <c r="A38" s="337" t="s">
        <v>577</v>
      </c>
      <c r="B38" s="266" t="str">
        <f t="shared" ref="B38:G38" si="17">IF(B24=B35,"OK","MAL")</f>
        <v>OK</v>
      </c>
      <c r="C38" s="266" t="str">
        <f t="shared" si="17"/>
        <v>OK</v>
      </c>
      <c r="D38" s="266" t="str">
        <f t="shared" si="17"/>
        <v>OK</v>
      </c>
      <c r="E38" s="266" t="str">
        <f t="shared" si="17"/>
        <v>MAL</v>
      </c>
      <c r="F38" s="266" t="str">
        <f t="shared" si="17"/>
        <v>OK</v>
      </c>
      <c r="G38" s="266" t="str">
        <f t="shared" si="17"/>
        <v>OK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341"/>
      <c r="G41" s="342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conditionalFormatting sqref="B38">
    <cfRule type="cellIs" dxfId="31" priority="1" operator="equal">
      <formula>"OK"</formula>
    </cfRule>
  </conditionalFormatting>
  <conditionalFormatting sqref="B38">
    <cfRule type="cellIs" dxfId="30" priority="2" operator="equal">
      <formula>"MAL"</formula>
    </cfRule>
  </conditionalFormatting>
  <conditionalFormatting sqref="C38">
    <cfRule type="cellIs" dxfId="29" priority="3" operator="equal">
      <formula>"OK"</formula>
    </cfRule>
  </conditionalFormatting>
  <conditionalFormatting sqref="C38">
    <cfRule type="cellIs" dxfId="28" priority="4" operator="equal">
      <formula>"MAL"</formula>
    </cfRule>
  </conditionalFormatting>
  <conditionalFormatting sqref="D38">
    <cfRule type="cellIs" dxfId="27" priority="5" operator="equal">
      <formula>"OK"</formula>
    </cfRule>
  </conditionalFormatting>
  <conditionalFormatting sqref="D38">
    <cfRule type="cellIs" dxfId="26" priority="6" operator="equal">
      <formula>"MAL"</formula>
    </cfRule>
  </conditionalFormatting>
  <conditionalFormatting sqref="E38">
    <cfRule type="cellIs" dxfId="25" priority="7" operator="equal">
      <formula>"OK"</formula>
    </cfRule>
  </conditionalFormatting>
  <conditionalFormatting sqref="E38">
    <cfRule type="cellIs" dxfId="24" priority="8" operator="equal">
      <formula>"MAL"</formula>
    </cfRule>
  </conditionalFormatting>
  <conditionalFormatting sqref="F38">
    <cfRule type="cellIs" dxfId="23" priority="9" operator="equal">
      <formula>"OK"</formula>
    </cfRule>
  </conditionalFormatting>
  <conditionalFormatting sqref="F38">
    <cfRule type="cellIs" dxfId="22" priority="10" operator="equal">
      <formula>"MAL"</formula>
    </cfRule>
  </conditionalFormatting>
  <conditionalFormatting sqref="G38">
    <cfRule type="cellIs" dxfId="21" priority="11" operator="equal">
      <formula>"OK"</formula>
    </cfRule>
  </conditionalFormatting>
  <conditionalFormatting sqref="G38">
    <cfRule type="cellIs" dxfId="20" priority="12" operator="equal">
      <formula>"MAL"</formula>
    </cfRule>
  </conditionalFormatting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O1" sqref="O1"/>
    </sheetView>
  </sheetViews>
  <sheetFormatPr baseColWidth="10" defaultColWidth="14.42578125" defaultRowHeight="15" customHeight="1"/>
  <cols>
    <col min="1" max="1" width="7.85546875" customWidth="1"/>
    <col min="2" max="2" width="16.5703125" bestFit="1" customWidth="1"/>
    <col min="3" max="3" width="16.28515625" customWidth="1"/>
    <col min="4" max="4" width="15.85546875" bestFit="1" customWidth="1"/>
    <col min="5" max="5" width="14.7109375" customWidth="1"/>
    <col min="6" max="6" width="15.85546875" bestFit="1" customWidth="1"/>
    <col min="7" max="7" width="16.5703125" bestFit="1" customWidth="1"/>
    <col min="8" max="8" width="16.42578125" customWidth="1"/>
    <col min="9" max="9" width="15.85546875" bestFit="1" customWidth="1"/>
    <col min="10" max="10" width="17.42578125" customWidth="1"/>
    <col min="11" max="11" width="14.7109375" customWidth="1"/>
    <col min="12" max="12" width="16.5703125" customWidth="1"/>
    <col min="13" max="13" width="18.42578125" customWidth="1"/>
    <col min="14" max="14" width="17.42578125" customWidth="1"/>
    <col min="15" max="15" width="17.28515625" customWidth="1"/>
    <col min="16" max="26" width="9" customWidth="1"/>
  </cols>
  <sheetData>
    <row r="1" spans="1:26" ht="14.25" customHeight="1">
      <c r="A1" s="2" t="s">
        <v>3</v>
      </c>
      <c r="E1" s="9"/>
      <c r="F1" s="9"/>
      <c r="G1" s="6">
        <f>InfoInicial!E1</f>
        <v>13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>
      <c r="A3" s="228" t="s">
        <v>550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6.25" customHeight="1">
      <c r="A4" s="233" t="s">
        <v>412</v>
      </c>
      <c r="B4" s="223" t="s">
        <v>0</v>
      </c>
      <c r="C4" s="223" t="s">
        <v>552</v>
      </c>
      <c r="D4" s="223" t="s">
        <v>415</v>
      </c>
      <c r="E4" s="223" t="s">
        <v>69</v>
      </c>
      <c r="F4" s="223" t="s">
        <v>416</v>
      </c>
      <c r="G4" s="223" t="s">
        <v>417</v>
      </c>
      <c r="H4" s="223" t="s">
        <v>553</v>
      </c>
      <c r="I4" s="223" t="s">
        <v>554</v>
      </c>
      <c r="J4" s="223" t="s">
        <v>148</v>
      </c>
      <c r="K4" s="223" t="s">
        <v>419</v>
      </c>
      <c r="L4" s="223" t="s">
        <v>420</v>
      </c>
      <c r="M4" s="245" t="s">
        <v>421</v>
      </c>
      <c r="N4" s="246" t="s">
        <v>422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247">
        <v>0</v>
      </c>
      <c r="B5" s="294">
        <f>'F- CFyU'!B14</f>
        <v>457957176.26483577</v>
      </c>
      <c r="C5" s="49">
        <f>'E-InvAT'!B24</f>
        <v>1931621.8719331627</v>
      </c>
      <c r="D5" s="49">
        <f>'F-IVA'!B17</f>
        <v>96473748.448721468</v>
      </c>
      <c r="E5" s="248">
        <v>0</v>
      </c>
      <c r="F5" s="248">
        <v>0</v>
      </c>
      <c r="G5" s="49">
        <f t="shared" ref="G5:G10" si="0">SUM(B5:F5)</f>
        <v>556362546.58549047</v>
      </c>
      <c r="H5" s="248">
        <v>0</v>
      </c>
      <c r="I5" s="248">
        <f>'F-Cred'!G21</f>
        <v>13284143.681575462</v>
      </c>
      <c r="J5" s="248">
        <v>0</v>
      </c>
      <c r="K5" s="248">
        <v>0</v>
      </c>
      <c r="L5" s="49">
        <f t="shared" ref="L5:L10" si="1">SUM(H5:K5)</f>
        <v>13284143.681575462</v>
      </c>
      <c r="M5" s="225">
        <f t="shared" ref="M5:M10" si="2">L5-G5</f>
        <v>-543078402.90391505</v>
      </c>
      <c r="N5" s="52">
        <f>M5</f>
        <v>-543078402.90391505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A6" s="249">
        <v>1</v>
      </c>
      <c r="B6" s="294">
        <f>'F- CFyU'!C14</f>
        <v>8759071.7478488944</v>
      </c>
      <c r="C6" s="70">
        <f>'E-InvAT'!C24</f>
        <v>1039946.3399644606</v>
      </c>
      <c r="D6" s="70">
        <f>'F-IVA'!C17</f>
        <v>2057793.7984408045</v>
      </c>
      <c r="E6" s="70">
        <f>'F-CRes'!B12</f>
        <v>2849970.9517728449</v>
      </c>
      <c r="F6" s="70">
        <f>'F-CRes'!B13</f>
        <v>8070599.5588840088</v>
      </c>
      <c r="G6" s="49">
        <f t="shared" si="0"/>
        <v>22777382.396911014</v>
      </c>
      <c r="H6" s="70">
        <f>'F-CRes'!B11</f>
        <v>25908826.834298588</v>
      </c>
      <c r="I6" s="108">
        <f>'F-Cred'!G24</f>
        <v>31881944.835781112</v>
      </c>
      <c r="J6" s="70">
        <f>'E-Inv AF y Am'!D71+('F-Cred'!G21+'F-Cred'!I21)/2</f>
        <v>43186467.357254364</v>
      </c>
      <c r="K6" s="70">
        <f>'F-IVA'!C19</f>
        <v>98531542.247162268</v>
      </c>
      <c r="L6" s="49">
        <f t="shared" si="1"/>
        <v>199508781.27449632</v>
      </c>
      <c r="M6" s="225">
        <f t="shared" si="2"/>
        <v>176731398.87758529</v>
      </c>
      <c r="N6" s="76">
        <f t="shared" ref="N6:N10" si="3">N5+M6</f>
        <v>-366347004.02632976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249">
        <v>2</v>
      </c>
      <c r="B7" s="294">
        <f>'F- CFyU'!D14</f>
        <v>0</v>
      </c>
      <c r="C7" s="70">
        <f>'E-InvAT'!D24</f>
        <v>-528974.46898303088</v>
      </c>
      <c r="D7" s="70">
        <f>'F-IVA'!D17</f>
        <v>-111084.63848643651</v>
      </c>
      <c r="E7" s="70">
        <f>'F-CRes'!C12</f>
        <v>7878185.4721700512</v>
      </c>
      <c r="F7" s="70">
        <f>'F-CRes'!C13</f>
        <v>22309588.859827004</v>
      </c>
      <c r="G7" s="49">
        <f t="shared" si="0"/>
        <v>29547715.22452759</v>
      </c>
      <c r="H7" s="70">
        <f>'F-CRes'!C11</f>
        <v>71619867.928818643</v>
      </c>
      <c r="I7" s="108">
        <f>'F-Cred'!G26</f>
        <v>31881944.835781112</v>
      </c>
      <c r="J7" s="70">
        <f>'E-Inv AF y Am'!D71+('F-Cred'!G21+'F-Cred'!I21)/2</f>
        <v>43186467.357254364</v>
      </c>
      <c r="K7" s="70">
        <f>'F-IVA'!D19</f>
        <v>-111084.63848643651</v>
      </c>
      <c r="L7" s="49">
        <f t="shared" si="1"/>
        <v>146577195.48336768</v>
      </c>
      <c r="M7" s="225">
        <f t="shared" si="2"/>
        <v>117029480.25884008</v>
      </c>
      <c r="N7" s="76">
        <f t="shared" si="3"/>
        <v>-249317523.76748967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249">
        <v>3</v>
      </c>
      <c r="B8" s="294">
        <f>'F- CFyU'!E14</f>
        <v>0</v>
      </c>
      <c r="C8" s="70">
        <f>'E-InvAT'!E24</f>
        <v>0</v>
      </c>
      <c r="D8" s="70">
        <f>'F-IVA'!E17</f>
        <v>0</v>
      </c>
      <c r="E8" s="70">
        <f>'F-CRes'!D12</f>
        <v>10058866.094089326</v>
      </c>
      <c r="F8" s="70">
        <f>'F-CRes'!D13</f>
        <v>28484879.893716589</v>
      </c>
      <c r="G8" s="49">
        <f t="shared" si="0"/>
        <v>38543745.987805918</v>
      </c>
      <c r="H8" s="70">
        <f>'F-CRes'!D11</f>
        <v>91444237.218993872</v>
      </c>
      <c r="I8" s="108">
        <f>'F-Cred'!G28</f>
        <v>23911458.626835831</v>
      </c>
      <c r="J8" s="70">
        <f>'E-Inv AF y Am'!D71</f>
        <v>31230738.043836448</v>
      </c>
      <c r="K8" s="70">
        <f>'F-IVA'!E19</f>
        <v>0</v>
      </c>
      <c r="L8" s="49">
        <f t="shared" si="1"/>
        <v>146586433.88966614</v>
      </c>
      <c r="M8" s="225">
        <f t="shared" si="2"/>
        <v>108042687.90186022</v>
      </c>
      <c r="N8" s="76">
        <f t="shared" si="3"/>
        <v>-141274835.86562943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249">
        <v>4</v>
      </c>
      <c r="B9" s="294">
        <f>'F- CFyU'!E14</f>
        <v>0</v>
      </c>
      <c r="C9" s="70">
        <f>'E-InvAT'!F24</f>
        <v>276.54702539090067</v>
      </c>
      <c r="D9" s="70">
        <f>'F-IVA'!F17</f>
        <v>58.074875332089135</v>
      </c>
      <c r="E9" s="70">
        <f>'F-CRes'!E12</f>
        <v>11223111.293968603</v>
      </c>
      <c r="F9" s="70">
        <f>'F-CRes'!E13</f>
        <v>31781810.618829269</v>
      </c>
      <c r="G9" s="49">
        <f t="shared" si="0"/>
        <v>43005256.534698591</v>
      </c>
      <c r="H9" s="70">
        <f>'F-CRes'!E11</f>
        <v>102028284.49062367</v>
      </c>
      <c r="I9" s="108">
        <f>'F-Cred'!G30</f>
        <v>13284143.681575462</v>
      </c>
      <c r="J9" s="70">
        <f>'E-Inv AF y Am'!E71</f>
        <v>31230738.043836448</v>
      </c>
      <c r="K9" s="70">
        <f>'F-IVA'!F19</f>
        <v>58.074875332089135</v>
      </c>
      <c r="L9" s="49">
        <f t="shared" si="1"/>
        <v>146543224.2909109</v>
      </c>
      <c r="M9" s="225">
        <f t="shared" si="2"/>
        <v>103537967.75621231</v>
      </c>
      <c r="N9" s="76">
        <f t="shared" si="3"/>
        <v>-37736868.109417126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249">
        <v>5</v>
      </c>
      <c r="B10" s="294">
        <f>J12-B5-B6</f>
        <v>-286651099.16666657</v>
      </c>
      <c r="C10" s="70">
        <f>-'E-InvAT'!G15+'E-InvAT'!G24</f>
        <v>-2442870.2899399833</v>
      </c>
      <c r="D10" s="70">
        <f>'F-IVA'!G17</f>
        <v>0</v>
      </c>
      <c r="E10" s="70">
        <f>'F-CRes'!F12</f>
        <v>12392115.442064568</v>
      </c>
      <c r="F10" s="70">
        <f>'F-CRes'!F13</f>
        <v>35092217.820028298</v>
      </c>
      <c r="G10" s="49">
        <f t="shared" si="0"/>
        <v>-241609636.19451368</v>
      </c>
      <c r="H10" s="70">
        <f>'F-CRes'!F11</f>
        <v>112655594.92785971</v>
      </c>
      <c r="I10" s="108">
        <f>'F-Cred'!G32</f>
        <v>2656828.7363150925</v>
      </c>
      <c r="J10" s="70">
        <f>'E-Inv AF y Am'!E71</f>
        <v>31230738.043836448</v>
      </c>
      <c r="K10" s="70">
        <f>'F-IVA'!G19</f>
        <v>0</v>
      </c>
      <c r="L10" s="49">
        <f t="shared" si="1"/>
        <v>146543161.70801124</v>
      </c>
      <c r="M10" s="225">
        <f t="shared" si="2"/>
        <v>388152797.90252495</v>
      </c>
      <c r="N10" s="76">
        <f t="shared" si="3"/>
        <v>350415929.79310781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249"/>
      <c r="B11" s="238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27"/>
      <c r="N11" s="7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253" t="s">
        <v>423</v>
      </c>
      <c r="B12" s="331">
        <f t="shared" ref="B12:M12" si="4">SUM(B5:B10)</f>
        <v>180065148.84601808</v>
      </c>
      <c r="C12" s="331">
        <f t="shared" si="4"/>
        <v>0</v>
      </c>
      <c r="D12" s="331">
        <f t="shared" si="4"/>
        <v>98420515.683551162</v>
      </c>
      <c r="E12" s="331">
        <f t="shared" si="4"/>
        <v>44402249.254065394</v>
      </c>
      <c r="F12" s="331">
        <f t="shared" si="4"/>
        <v>125739096.75128517</v>
      </c>
      <c r="G12" s="331">
        <f t="shared" si="4"/>
        <v>448627010.53491998</v>
      </c>
      <c r="H12" s="331">
        <f t="shared" si="4"/>
        <v>403656811.40059447</v>
      </c>
      <c r="I12" s="331">
        <f t="shared" si="4"/>
        <v>116900464.39786407</v>
      </c>
      <c r="J12" s="331">
        <f t="shared" si="4"/>
        <v>180065148.84601808</v>
      </c>
      <c r="K12" s="331">
        <f t="shared" si="4"/>
        <v>98420515.683551162</v>
      </c>
      <c r="L12" s="331">
        <f t="shared" si="4"/>
        <v>799042940.32802784</v>
      </c>
      <c r="M12" s="331">
        <f t="shared" si="4"/>
        <v>350415929.79310781</v>
      </c>
      <c r="N12" s="25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9"/>
      <c r="B14" s="9"/>
      <c r="C14" s="30" t="s">
        <v>428</v>
      </c>
      <c r="D14" s="259">
        <f>H12-F12-E12+I12</f>
        <v>350415929.79310799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>
      <c r="A15" s="47"/>
      <c r="B15" s="9"/>
      <c r="C15" s="30" t="s">
        <v>434</v>
      </c>
      <c r="D15" s="260">
        <f>1-(N6/M7)</f>
        <v>4.1303822183612313</v>
      </c>
      <c r="E15" s="9" t="s">
        <v>435</v>
      </c>
      <c r="F15" s="9"/>
      <c r="G15" s="9"/>
      <c r="H15" s="9"/>
      <c r="I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9"/>
      <c r="B16" s="9"/>
      <c r="C16" s="30" t="s">
        <v>575</v>
      </c>
      <c r="D16" s="262">
        <f>IRR(M5:M10)</f>
        <v>0.16518329739839865</v>
      </c>
      <c r="E16" s="9"/>
      <c r="F16" s="36"/>
      <c r="G16" s="9"/>
      <c r="H16" s="9"/>
      <c r="I16" s="9"/>
      <c r="J16" s="332"/>
      <c r="K16" s="332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9"/>
      <c r="B17" s="9"/>
      <c r="C17" s="30"/>
      <c r="D17" s="262"/>
      <c r="E17" s="9"/>
      <c r="F17" s="9"/>
      <c r="G17" s="9"/>
      <c r="H17" s="36"/>
      <c r="I17" s="9"/>
      <c r="J17" s="333"/>
      <c r="K17" s="237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261"/>
      <c r="B18" s="172"/>
      <c r="C18" s="172"/>
      <c r="D18" s="172"/>
      <c r="E18" s="172"/>
      <c r="F18" s="334"/>
      <c r="G18" s="335"/>
      <c r="H18" s="335"/>
      <c r="I18" s="336"/>
      <c r="J18" s="333"/>
      <c r="K18" s="237"/>
      <c r="L18" s="335"/>
      <c r="M18" s="335"/>
      <c r="N18" s="335"/>
      <c r="O18" s="17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6.5" customHeight="1">
      <c r="A19" s="338"/>
      <c r="B19" s="70"/>
      <c r="C19" s="339"/>
      <c r="D19" s="335"/>
      <c r="E19" s="335"/>
      <c r="F19" s="335"/>
      <c r="G19" s="335"/>
      <c r="H19" s="335"/>
      <c r="I19" s="336"/>
      <c r="J19" s="333"/>
      <c r="K19" s="237"/>
      <c r="L19" s="335"/>
      <c r="M19" s="335"/>
      <c r="N19" s="33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9"/>
      <c r="B20" s="9"/>
      <c r="C20" s="9"/>
      <c r="D20" s="9"/>
      <c r="E20" s="9"/>
      <c r="F20" s="9"/>
      <c r="G20" s="9"/>
      <c r="H20" s="9"/>
      <c r="I20" s="9"/>
      <c r="J20" s="333"/>
      <c r="K20" s="23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340"/>
      <c r="B21" s="9"/>
      <c r="C21" s="9"/>
      <c r="D21" s="9"/>
      <c r="E21" s="9"/>
      <c r="F21" s="9"/>
      <c r="G21" s="9"/>
      <c r="H21" s="9"/>
      <c r="I21" s="9"/>
      <c r="J21" s="9"/>
      <c r="K21" s="237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6.5" customHeight="1">
      <c r="A22" s="228" t="s">
        <v>578</v>
      </c>
      <c r="B22" s="34"/>
      <c r="C22" s="34"/>
      <c r="D22" s="34"/>
      <c r="E22" s="34"/>
      <c r="F22" s="34"/>
      <c r="G22" s="34"/>
      <c r="H22" s="35"/>
      <c r="I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0" customHeight="1">
      <c r="A23" s="233" t="s">
        <v>412</v>
      </c>
      <c r="B23" s="223" t="s">
        <v>579</v>
      </c>
      <c r="C23" s="223" t="s">
        <v>417</v>
      </c>
      <c r="D23" s="223" t="s">
        <v>537</v>
      </c>
      <c r="E23" s="223" t="s">
        <v>580</v>
      </c>
      <c r="F23" s="223" t="s">
        <v>420</v>
      </c>
      <c r="G23" s="245" t="s">
        <v>421</v>
      </c>
      <c r="H23" s="246" t="s">
        <v>422</v>
      </c>
      <c r="I23" s="9"/>
      <c r="J23" s="9"/>
      <c r="K23" s="383" t="s">
        <v>439</v>
      </c>
      <c r="L23" s="347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>
      <c r="A24" s="247">
        <v>0</v>
      </c>
      <c r="B24" s="294">
        <f>'F- CFyU'!B7</f>
        <v>290679672.95398116</v>
      </c>
      <c r="C24" s="49">
        <f t="shared" ref="C24:C29" si="5">B24</f>
        <v>290679672.95398116</v>
      </c>
      <c r="D24" s="248">
        <v>0</v>
      </c>
      <c r="E24" s="248">
        <v>0</v>
      </c>
      <c r="F24" s="49">
        <f t="shared" ref="F24:F29" si="6">D24+E24</f>
        <v>0</v>
      </c>
      <c r="G24" s="225">
        <f t="shared" ref="G24:G29" si="7">F24-C24</f>
        <v>-290679672.95398116</v>
      </c>
      <c r="H24" s="52">
        <f>G24</f>
        <v>-290679672.95398116</v>
      </c>
      <c r="I24" s="9"/>
      <c r="J24" s="9"/>
      <c r="K24" s="387" t="s">
        <v>440</v>
      </c>
      <c r="L24" s="347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249">
        <v>1</v>
      </c>
      <c r="B25" s="238">
        <f>'F- CFyU'!C7</f>
        <v>8686809.7864224613</v>
      </c>
      <c r="C25" s="70">
        <f t="shared" si="5"/>
        <v>8686809.7864224613</v>
      </c>
      <c r="D25" s="108">
        <v>0</v>
      </c>
      <c r="E25" s="70">
        <f>'F- CFyU'!C28</f>
        <v>153536263.82822666</v>
      </c>
      <c r="F25" s="49">
        <f t="shared" si="6"/>
        <v>153536263.82822666</v>
      </c>
      <c r="G25" s="225">
        <f t="shared" si="7"/>
        <v>144849454.04180419</v>
      </c>
      <c r="H25" s="76">
        <f t="shared" ref="H25:H29" si="8">H24+G25</f>
        <v>-145830218.91217697</v>
      </c>
      <c r="I25" s="9"/>
      <c r="J25" s="9"/>
      <c r="K25" s="264" t="s">
        <v>148</v>
      </c>
      <c r="L25" s="266" t="str">
        <f>IF(B12=J12,"OK","MAL")</f>
        <v>OK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249">
        <v>2</v>
      </c>
      <c r="B26" s="238">
        <f>'F- CFyU'!D7</f>
        <v>0</v>
      </c>
      <c r="C26" s="70">
        <f t="shared" si="5"/>
        <v>0</v>
      </c>
      <c r="D26" s="108">
        <v>0</v>
      </c>
      <c r="E26" s="70">
        <f>'F- CFyU'!D28</f>
        <v>40867056.484474063</v>
      </c>
      <c r="F26" s="49">
        <f t="shared" si="6"/>
        <v>40867056.484474063</v>
      </c>
      <c r="G26" s="225">
        <f t="shared" si="7"/>
        <v>40867056.484474063</v>
      </c>
      <c r="H26" s="76">
        <f t="shared" si="8"/>
        <v>-104963162.4277029</v>
      </c>
      <c r="I26" s="9"/>
      <c r="K26" s="264" t="s">
        <v>441</v>
      </c>
      <c r="L26" s="266" t="str">
        <f>IF(D12=K12,"OK","MAL")</f>
        <v>OK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>
      <c r="A27" s="249">
        <v>3</v>
      </c>
      <c r="B27" s="238">
        <f>'F- CFyU'!E7</f>
        <v>0</v>
      </c>
      <c r="C27" s="70">
        <f t="shared" si="5"/>
        <v>0</v>
      </c>
      <c r="D27" s="108">
        <v>0</v>
      </c>
      <c r="E27" s="70">
        <f>'F- CFyU'!E28</f>
        <v>-4429728.6021453738</v>
      </c>
      <c r="F27" s="49">
        <f t="shared" si="6"/>
        <v>-4429728.6021453738</v>
      </c>
      <c r="G27" s="225">
        <f t="shared" si="7"/>
        <v>-4429728.6021453738</v>
      </c>
      <c r="H27" s="76">
        <f t="shared" si="8"/>
        <v>-109392891.02984828</v>
      </c>
      <c r="I27" s="9"/>
      <c r="K27" s="264" t="s">
        <v>442</v>
      </c>
      <c r="L27" s="266" t="str">
        <f>IF(C12=0,"OK","MAL")</f>
        <v>OK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249">
        <v>4</v>
      </c>
      <c r="B28" s="238">
        <f>'F- CFyU'!F7</f>
        <v>0</v>
      </c>
      <c r="C28" s="70">
        <f t="shared" si="5"/>
        <v>0</v>
      </c>
      <c r="D28" s="108">
        <v>0</v>
      </c>
      <c r="E28" s="70">
        <f>'F- CFyU'!F28</f>
        <v>1692866.1974670291</v>
      </c>
      <c r="F28" s="49">
        <f t="shared" si="6"/>
        <v>1692866.1974670291</v>
      </c>
      <c r="G28" s="225">
        <f t="shared" si="7"/>
        <v>1692866.1974670291</v>
      </c>
      <c r="H28" s="76">
        <f t="shared" si="8"/>
        <v>-107700024.83238125</v>
      </c>
      <c r="I28" s="9"/>
      <c r="K28" s="264" t="s">
        <v>444</v>
      </c>
      <c r="L28" s="266" t="str">
        <f>IF((H12-F12-E12+I12)=M12,IF(M12=N10,"OK","MAL"),"MAL")</f>
        <v>OK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>
      <c r="A29" s="249">
        <v>5</v>
      </c>
      <c r="B29" s="238">
        <f>B10+C10-'F- CFyU'!C8</f>
        <v>-289093969.45660657</v>
      </c>
      <c r="C29" s="70">
        <f t="shared" si="5"/>
        <v>-289093969.45660657</v>
      </c>
      <c r="D29" s="108">
        <v>0</v>
      </c>
      <c r="E29" s="70">
        <f>'F- CFyU'!G28</f>
        <v>52121520.771018386</v>
      </c>
      <c r="F29" s="49">
        <f t="shared" si="6"/>
        <v>52121520.771018386</v>
      </c>
      <c r="G29" s="225">
        <f t="shared" si="7"/>
        <v>341215490.22762495</v>
      </c>
      <c r="H29" s="76">
        <f t="shared" si="8"/>
        <v>233515465.3952437</v>
      </c>
      <c r="I29" s="9"/>
      <c r="K29" s="387" t="s">
        <v>581</v>
      </c>
      <c r="L29" s="347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>
      <c r="A30" s="249"/>
      <c r="B30" s="238"/>
      <c r="C30" s="70"/>
      <c r="D30" s="70"/>
      <c r="E30" s="70"/>
      <c r="F30" s="70"/>
      <c r="G30" s="227"/>
      <c r="H30" s="76"/>
      <c r="I30" s="9"/>
      <c r="K30" s="264" t="s">
        <v>582</v>
      </c>
      <c r="L30" s="266" t="str">
        <f>IF((H12-E12-F12)=G31,"OK","MAL")</f>
        <v>OK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>
      <c r="A31" s="253" t="s">
        <v>423</v>
      </c>
      <c r="B31" s="331">
        <f t="shared" ref="B31:G31" si="9">SUM(B24:B29)</f>
        <v>10272513.283797085</v>
      </c>
      <c r="C31" s="331">
        <f t="shared" si="9"/>
        <v>10272513.283797085</v>
      </c>
      <c r="D31" s="331">
        <f t="shared" si="9"/>
        <v>0</v>
      </c>
      <c r="E31" s="331">
        <f t="shared" si="9"/>
        <v>243787978.67904076</v>
      </c>
      <c r="F31" s="331">
        <f t="shared" si="9"/>
        <v>243787978.67904076</v>
      </c>
      <c r="G31" s="331">
        <f t="shared" si="9"/>
        <v>233515465.3952437</v>
      </c>
      <c r="H31" s="258"/>
      <c r="I31" s="9"/>
      <c r="J31" s="9"/>
      <c r="K31" s="264" t="s">
        <v>583</v>
      </c>
      <c r="L31" s="266" t="str">
        <f>IF(('F- CFyU'!H28-'F- CFyU'!H7-'F- CFyU'!H8+'F- CFyU'!H14-'F- CFyU'!H25+'F- CFyU'!H15)='F- Form'!G31,"OK","MAL")</f>
        <v>OK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264" t="s">
        <v>584</v>
      </c>
      <c r="L32" s="266" t="str">
        <f>IF('F-CRes'!G14=G31,"OK","MAL")</f>
        <v>OK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264" t="s">
        <v>585</v>
      </c>
      <c r="L33" s="266" t="str">
        <f>IF(('F-Balance'!G33+'F-Balance'!G34)='F- Form'!G31,"OK","MAL")</f>
        <v>OK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>
      <c r="A34" s="9"/>
      <c r="B34" s="9"/>
      <c r="C34" s="30" t="s">
        <v>428</v>
      </c>
      <c r="D34" s="259">
        <f>G31</f>
        <v>233515465.3952437</v>
      </c>
      <c r="E34" s="9" t="s">
        <v>586</v>
      </c>
      <c r="F34" s="9"/>
      <c r="G34" s="9"/>
      <c r="H34" s="9"/>
      <c r="I34" s="9"/>
      <c r="J34" s="9"/>
      <c r="K34" s="264" t="s">
        <v>587</v>
      </c>
      <c r="L34" s="266" t="str">
        <f>IF(('F- CFyU'!H10-'F- CFyU'!H16-'F- CFyU'!H19-'F- CFyU'!H17)=G31,"OK","MAL")</f>
        <v>OK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9"/>
      <c r="B35" s="9"/>
      <c r="C35" s="30" t="s">
        <v>434</v>
      </c>
      <c r="D35" s="254">
        <f>1-(H25/G26)</f>
        <v>4.5684052500228347</v>
      </c>
      <c r="E35" s="9" t="s">
        <v>588</v>
      </c>
      <c r="F35" s="9"/>
      <c r="G35" s="9"/>
      <c r="H35" s="9"/>
      <c r="I35" s="9"/>
      <c r="J35" s="9"/>
      <c r="K35" s="387" t="s">
        <v>589</v>
      </c>
      <c r="L35" s="347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>
      <c r="A36" s="9"/>
      <c r="B36" s="9"/>
      <c r="C36" s="30" t="s">
        <v>590</v>
      </c>
      <c r="D36" s="262">
        <f>IRR(G24:G29)</f>
        <v>0.19147997290307872</v>
      </c>
      <c r="E36" s="9"/>
      <c r="F36" s="9"/>
      <c r="G36" s="9"/>
      <c r="H36" s="9"/>
      <c r="I36" s="9"/>
      <c r="J36" s="9"/>
      <c r="K36" s="264" t="s">
        <v>591</v>
      </c>
      <c r="L36" s="266" t="str">
        <f>IF(SUM('F-Balance'!B35:G35)=SUM('F-Balance'!B24:G24),"OK","MAL")</f>
        <v>OK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3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3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3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3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3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3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3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3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3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3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3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">
    <mergeCell ref="K23:L23"/>
    <mergeCell ref="K24:L24"/>
    <mergeCell ref="K29:L29"/>
    <mergeCell ref="K35:L35"/>
  </mergeCells>
  <conditionalFormatting sqref="L25">
    <cfRule type="cellIs" dxfId="19" priority="1" operator="equal">
      <formula>"OK"</formula>
    </cfRule>
  </conditionalFormatting>
  <conditionalFormatting sqref="L25">
    <cfRule type="cellIs" dxfId="18" priority="2" operator="equal">
      <formula>"MAL"</formula>
    </cfRule>
  </conditionalFormatting>
  <conditionalFormatting sqref="L26">
    <cfRule type="cellIs" dxfId="17" priority="3" operator="equal">
      <formula>"OK"</formula>
    </cfRule>
  </conditionalFormatting>
  <conditionalFormatting sqref="L26">
    <cfRule type="cellIs" dxfId="16" priority="4" operator="equal">
      <formula>"MAL"</formula>
    </cfRule>
  </conditionalFormatting>
  <conditionalFormatting sqref="L27">
    <cfRule type="cellIs" dxfId="15" priority="5" operator="equal">
      <formula>"OK"</formula>
    </cfRule>
  </conditionalFormatting>
  <conditionalFormatting sqref="L27">
    <cfRule type="cellIs" dxfId="14" priority="6" operator="equal">
      <formula>"MAL"</formula>
    </cfRule>
  </conditionalFormatting>
  <conditionalFormatting sqref="L28">
    <cfRule type="cellIs" dxfId="13" priority="7" operator="equal">
      <formula>"OK"</formula>
    </cfRule>
  </conditionalFormatting>
  <conditionalFormatting sqref="L28">
    <cfRule type="cellIs" dxfId="12" priority="8" operator="equal">
      <formula>"MAL"</formula>
    </cfRule>
  </conditionalFormatting>
  <conditionalFormatting sqref="L30">
    <cfRule type="cellIs" dxfId="11" priority="9" operator="equal">
      <formula>"OK"</formula>
    </cfRule>
  </conditionalFormatting>
  <conditionalFormatting sqref="L30">
    <cfRule type="cellIs" dxfId="10" priority="10" operator="equal">
      <formula>"MAL"</formula>
    </cfRule>
  </conditionalFormatting>
  <conditionalFormatting sqref="L31">
    <cfRule type="cellIs" dxfId="9" priority="11" operator="equal">
      <formula>"OK"</formula>
    </cfRule>
  </conditionalFormatting>
  <conditionalFormatting sqref="L31">
    <cfRule type="cellIs" dxfId="8" priority="12" operator="equal">
      <formula>"MAL"</formula>
    </cfRule>
  </conditionalFormatting>
  <conditionalFormatting sqref="L32">
    <cfRule type="cellIs" dxfId="7" priority="13" operator="equal">
      <formula>"OK"</formula>
    </cfRule>
  </conditionalFormatting>
  <conditionalFormatting sqref="L32">
    <cfRule type="cellIs" dxfId="6" priority="14" operator="equal">
      <formula>"MAL"</formula>
    </cfRule>
  </conditionalFormatting>
  <conditionalFormatting sqref="L33">
    <cfRule type="cellIs" dxfId="5" priority="15" operator="equal">
      <formula>"OK"</formula>
    </cfRule>
  </conditionalFormatting>
  <conditionalFormatting sqref="L33">
    <cfRule type="cellIs" dxfId="4" priority="16" operator="equal">
      <formula>"MAL"</formula>
    </cfRule>
  </conditionalFormatting>
  <conditionalFormatting sqref="L34">
    <cfRule type="cellIs" dxfId="3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0" priority="20" operator="equal">
      <formula>"MAL"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/>
  </sheetViews>
  <sheetFormatPr baseColWidth="10" defaultColWidth="14.4257812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  <col min="14" max="26" width="9" customWidth="1"/>
  </cols>
  <sheetData>
    <row r="1" spans="1:13" ht="14.25" customHeight="1">
      <c r="A1" s="2" t="s">
        <v>3</v>
      </c>
      <c r="E1" s="6">
        <v>13</v>
      </c>
    </row>
    <row r="2" spans="1:13" ht="15.75" customHeight="1">
      <c r="G2" s="345" t="s">
        <v>15</v>
      </c>
      <c r="H2" s="346"/>
      <c r="I2" s="346"/>
      <c r="J2" s="346"/>
      <c r="K2" s="346"/>
      <c r="L2" s="346"/>
      <c r="M2" s="347"/>
    </row>
    <row r="3" spans="1:13" ht="14.25" customHeight="1">
      <c r="A3" s="17" t="s">
        <v>53</v>
      </c>
      <c r="B3" s="20">
        <v>0.21</v>
      </c>
      <c r="G3" s="348" t="s">
        <v>62</v>
      </c>
      <c r="H3" s="349"/>
      <c r="I3" s="349"/>
      <c r="J3" s="349"/>
      <c r="K3" s="349"/>
      <c r="L3" s="349"/>
      <c r="M3" s="350"/>
    </row>
    <row r="4" spans="1:13" ht="14.25" customHeight="1">
      <c r="A4" s="17" t="s">
        <v>67</v>
      </c>
      <c r="B4" s="20">
        <v>0.35</v>
      </c>
      <c r="G4" s="351"/>
      <c r="H4" s="344"/>
      <c r="I4" s="344"/>
      <c r="J4" s="344"/>
      <c r="K4" s="344"/>
      <c r="L4" s="344"/>
      <c r="M4" s="352"/>
    </row>
    <row r="5" spans="1:13" ht="14.25" customHeight="1">
      <c r="A5" s="17" t="s">
        <v>69</v>
      </c>
      <c r="B5" s="20">
        <v>0.11</v>
      </c>
      <c r="C5" t="s">
        <v>70</v>
      </c>
      <c r="G5" s="351"/>
      <c r="H5" s="344"/>
      <c r="I5" s="344"/>
      <c r="J5" s="344"/>
      <c r="K5" s="344"/>
      <c r="L5" s="344"/>
      <c r="M5" s="352"/>
    </row>
    <row r="6" spans="1:13" ht="14.25" customHeight="1">
      <c r="G6" s="353"/>
      <c r="H6" s="354"/>
      <c r="I6" s="354"/>
      <c r="J6" s="354"/>
      <c r="K6" s="354"/>
      <c r="L6" s="354"/>
      <c r="M6" s="355"/>
    </row>
    <row r="7" spans="1:13" ht="14.25" customHeight="1">
      <c r="A7" s="17" t="s">
        <v>72</v>
      </c>
      <c r="B7" t="s">
        <v>73</v>
      </c>
      <c r="G7" s="356" t="s">
        <v>75</v>
      </c>
      <c r="H7" s="349"/>
      <c r="I7" s="349"/>
      <c r="J7" s="349"/>
      <c r="K7" s="349"/>
      <c r="L7" s="349"/>
      <c r="M7" s="350"/>
    </row>
    <row r="8" spans="1:13" ht="14.25" customHeight="1">
      <c r="A8" s="30" t="s">
        <v>77</v>
      </c>
      <c r="B8" s="31">
        <v>30</v>
      </c>
      <c r="C8" t="s">
        <v>78</v>
      </c>
      <c r="G8" s="353"/>
      <c r="H8" s="354"/>
      <c r="I8" s="354"/>
      <c r="J8" s="354"/>
      <c r="K8" s="354"/>
      <c r="L8" s="354"/>
      <c r="M8" s="355"/>
    </row>
    <row r="9" spans="1:13" ht="14.25" customHeight="1">
      <c r="A9" s="30" t="s">
        <v>79</v>
      </c>
      <c r="C9" t="s">
        <v>78</v>
      </c>
      <c r="G9" s="357" t="s">
        <v>80</v>
      </c>
      <c r="H9" s="346"/>
      <c r="I9" s="346"/>
      <c r="J9" s="346"/>
      <c r="K9" s="346"/>
      <c r="L9" s="346"/>
      <c r="M9" s="347"/>
    </row>
    <row r="10" spans="1:13" ht="14.25" customHeight="1">
      <c r="A10" s="30" t="s">
        <v>84</v>
      </c>
      <c r="B10" s="31">
        <v>10</v>
      </c>
      <c r="C10" t="s">
        <v>78</v>
      </c>
      <c r="G10" s="356" t="s">
        <v>85</v>
      </c>
      <c r="H10" s="349"/>
      <c r="I10" s="349"/>
      <c r="J10" s="349"/>
      <c r="K10" s="349"/>
      <c r="L10" s="349"/>
      <c r="M10" s="350"/>
    </row>
    <row r="11" spans="1:13" ht="14.25" customHeight="1">
      <c r="A11" s="30" t="s">
        <v>87</v>
      </c>
      <c r="B11" s="31">
        <v>5</v>
      </c>
      <c r="C11" t="s">
        <v>78</v>
      </c>
      <c r="G11" s="353"/>
      <c r="H11" s="354"/>
      <c r="I11" s="354"/>
      <c r="J11" s="354"/>
      <c r="K11" s="354"/>
      <c r="L11" s="354"/>
      <c r="M11" s="355"/>
    </row>
    <row r="12" spans="1:13" ht="14.25" customHeight="1">
      <c r="A12" s="30" t="s">
        <v>88</v>
      </c>
      <c r="B12" s="31">
        <v>5</v>
      </c>
      <c r="C12" t="s">
        <v>78</v>
      </c>
      <c r="G12" s="356" t="s">
        <v>89</v>
      </c>
      <c r="H12" s="349"/>
      <c r="I12" s="349"/>
      <c r="J12" s="349"/>
      <c r="K12" s="349"/>
      <c r="L12" s="349"/>
      <c r="M12" s="350"/>
    </row>
    <row r="13" spans="1:13" ht="14.25" customHeight="1">
      <c r="A13" s="30" t="s">
        <v>90</v>
      </c>
      <c r="B13" s="31">
        <v>3</v>
      </c>
      <c r="C13" t="s">
        <v>78</v>
      </c>
      <c r="G13" s="353"/>
      <c r="H13" s="354"/>
      <c r="I13" s="354"/>
      <c r="J13" s="354"/>
      <c r="K13" s="354"/>
      <c r="L13" s="354"/>
      <c r="M13" s="355"/>
    </row>
    <row r="14" spans="1:13" ht="12.75" customHeight="1">
      <c r="A14" s="30" t="s">
        <v>91</v>
      </c>
      <c r="B14" s="31">
        <v>5</v>
      </c>
      <c r="C14" t="s">
        <v>78</v>
      </c>
    </row>
    <row r="15" spans="1:13" ht="14.25" customHeight="1">
      <c r="A15" s="30" t="s">
        <v>92</v>
      </c>
      <c r="B15" s="37">
        <v>6.6000000000000003E-2</v>
      </c>
    </row>
    <row r="16" spans="1:13" ht="12.75" customHeight="1"/>
    <row r="17" spans="1:7" ht="14.25" customHeight="1">
      <c r="A17" s="17" t="s">
        <v>95</v>
      </c>
      <c r="B17" s="41" t="s">
        <v>96</v>
      </c>
      <c r="C17" s="42"/>
      <c r="D17" s="42"/>
      <c r="E17" s="42"/>
      <c r="F17" s="42"/>
      <c r="G17" s="44"/>
    </row>
    <row r="18" spans="1:7" ht="14.25" customHeight="1"/>
    <row r="19" spans="1:7" ht="12.75" customHeight="1">
      <c r="A19" s="17" t="s">
        <v>102</v>
      </c>
      <c r="B19" s="45">
        <v>47115</v>
      </c>
      <c r="C19" t="s">
        <v>103</v>
      </c>
    </row>
    <row r="20" spans="1:7" ht="14.25" customHeight="1">
      <c r="A20" s="17" t="s">
        <v>104</v>
      </c>
      <c r="B20" s="45">
        <v>650</v>
      </c>
      <c r="C20" t="s">
        <v>105</v>
      </c>
    </row>
    <row r="21" spans="1:7" ht="12.75" customHeight="1"/>
    <row r="22" spans="1:7" ht="12.75" customHeight="1">
      <c r="A22" s="17" t="s">
        <v>106</v>
      </c>
    </row>
    <row r="23" spans="1:7" ht="12.75" customHeight="1">
      <c r="A23" s="17" t="s">
        <v>107</v>
      </c>
      <c r="B23" s="45">
        <v>13</v>
      </c>
      <c r="C23" t="s">
        <v>108</v>
      </c>
    </row>
    <row r="24" spans="1:7" ht="12.75" customHeight="1">
      <c r="A24" s="17" t="s">
        <v>109</v>
      </c>
      <c r="B24" s="45">
        <v>2</v>
      </c>
      <c r="C24" t="s">
        <v>108</v>
      </c>
    </row>
    <row r="25" spans="1:7" ht="12.75" customHeight="1">
      <c r="A25" s="17" t="s">
        <v>110</v>
      </c>
      <c r="B25" s="45">
        <v>3</v>
      </c>
      <c r="C25" t="s">
        <v>108</v>
      </c>
    </row>
    <row r="26" spans="1:7" ht="12.75" customHeight="1"/>
    <row r="27" spans="1:7" ht="12.75" customHeight="1">
      <c r="A27" s="17" t="s">
        <v>111</v>
      </c>
      <c r="B27" s="45">
        <v>430</v>
      </c>
      <c r="C27" t="s">
        <v>9</v>
      </c>
    </row>
    <row r="28" spans="1:7" ht="14.25" customHeight="1">
      <c r="A28" s="17" t="s">
        <v>112</v>
      </c>
      <c r="B28" s="45">
        <v>11</v>
      </c>
      <c r="C28" t="s">
        <v>113</v>
      </c>
    </row>
    <row r="29" spans="1:7" ht="12.75" customHeight="1">
      <c r="A29" s="17" t="s">
        <v>114</v>
      </c>
      <c r="B29" s="45">
        <v>6</v>
      </c>
      <c r="C29" t="s">
        <v>113</v>
      </c>
    </row>
    <row r="30" spans="1:7" ht="12.75" customHeight="1"/>
    <row r="31" spans="1:7" ht="12.75" customHeight="1"/>
    <row r="32" spans="1:7" ht="14.25" customHeight="1">
      <c r="A32" s="17" t="s">
        <v>115</v>
      </c>
      <c r="B32" s="45">
        <v>40</v>
      </c>
      <c r="C32" t="s">
        <v>116</v>
      </c>
      <c r="D32" s="45">
        <v>1</v>
      </c>
      <c r="E32" t="s">
        <v>117</v>
      </c>
    </row>
    <row r="33" spans="1:7" ht="12.75" customHeight="1">
      <c r="A33" s="47"/>
    </row>
    <row r="34" spans="1:7" ht="14.25" customHeight="1">
      <c r="A34" s="47"/>
    </row>
    <row r="35" spans="1:7" ht="12.75" customHeight="1">
      <c r="A35" s="17" t="s">
        <v>118</v>
      </c>
      <c r="B35" s="48" t="s">
        <v>119</v>
      </c>
      <c r="C35" t="s">
        <v>121</v>
      </c>
      <c r="G35" s="51" t="s">
        <v>122</v>
      </c>
    </row>
    <row r="36" spans="1:7" ht="12.75" customHeight="1">
      <c r="A36" s="17" t="s">
        <v>123</v>
      </c>
      <c r="B36" s="358" t="s">
        <v>124</v>
      </c>
      <c r="C36" s="359"/>
      <c r="D36" s="360"/>
    </row>
    <row r="37" spans="1:7" ht="12.75" customHeight="1">
      <c r="A37" s="17" t="s">
        <v>129</v>
      </c>
      <c r="B37" s="54">
        <v>2</v>
      </c>
    </row>
    <row r="38" spans="1:7" ht="14.25" customHeight="1">
      <c r="A38" s="17"/>
    </row>
    <row r="39" spans="1:7" ht="12.75" customHeight="1">
      <c r="A39" s="17" t="s">
        <v>130</v>
      </c>
      <c r="B39" s="45"/>
    </row>
    <row r="40" spans="1:7" ht="12.75" customHeight="1">
      <c r="A40" s="17" t="s">
        <v>131</v>
      </c>
      <c r="B40" s="56"/>
    </row>
    <row r="41" spans="1:7" ht="12.75" customHeight="1">
      <c r="A41" s="17" t="s">
        <v>132</v>
      </c>
      <c r="B41" s="56"/>
      <c r="C41" t="s">
        <v>121</v>
      </c>
    </row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4.2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spans="10:10" ht="12.75" customHeight="1"/>
    <row r="194" spans="10:10" ht="12.75" customHeight="1"/>
    <row r="195" spans="10:10" ht="12.75" customHeight="1"/>
    <row r="196" spans="10:10" ht="12.75" customHeight="1"/>
    <row r="197" spans="10:10" ht="12.75" customHeight="1"/>
    <row r="198" spans="10:10" ht="12.75" customHeight="1"/>
    <row r="199" spans="10:10" ht="12.75" customHeight="1"/>
    <row r="200" spans="10:10" ht="12.75" customHeight="1"/>
    <row r="201" spans="10:10" ht="12.75" customHeight="1"/>
    <row r="202" spans="10:10" ht="12.75" customHeight="1"/>
    <row r="203" spans="10:10" ht="12.75" customHeight="1"/>
    <row r="204" spans="10:10" ht="12.75" customHeight="1"/>
    <row r="205" spans="10:10" ht="12.75" customHeight="1"/>
    <row r="206" spans="10:10" ht="12.75" customHeight="1">
      <c r="J206" s="51" t="s">
        <v>133</v>
      </c>
    </row>
    <row r="207" spans="10:10" ht="12.75" customHeight="1"/>
    <row r="208" spans="10:10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G12:M13"/>
    <mergeCell ref="B36:D36"/>
    <mergeCell ref="G2:M2"/>
    <mergeCell ref="G3:M6"/>
    <mergeCell ref="G7:M8"/>
    <mergeCell ref="G9:M9"/>
    <mergeCell ref="G10:M1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workbookViewId="0"/>
  </sheetViews>
  <sheetFormatPr baseColWidth="10" defaultColWidth="14.42578125" defaultRowHeight="15" customHeight="1"/>
  <cols>
    <col min="1" max="1" width="45.28515625" customWidth="1"/>
    <col min="2" max="5" width="14.7109375" customWidth="1"/>
    <col min="6" max="6" width="26.7109375" customWidth="1"/>
    <col min="7" max="7" width="11.28515625" customWidth="1"/>
    <col min="8" max="8" width="14.7109375" customWidth="1"/>
    <col min="9" max="9" width="11.28515625" customWidth="1"/>
    <col min="10" max="26" width="9" customWidth="1"/>
  </cols>
  <sheetData>
    <row r="1" spans="1:26" ht="14.25" customHeight="1">
      <c r="A1" s="2" t="s">
        <v>2</v>
      </c>
      <c r="E1" s="6">
        <f>InfoInicial!E1</f>
        <v>13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>
      <c r="A3" s="11" t="s">
        <v>21</v>
      </c>
      <c r="B3" s="363" t="s">
        <v>25</v>
      </c>
      <c r="C3" s="364"/>
      <c r="D3" s="363" t="s">
        <v>32</v>
      </c>
      <c r="E3" s="36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6.5" customHeight="1">
      <c r="A4" s="13"/>
      <c r="B4" s="14" t="s">
        <v>37</v>
      </c>
      <c r="C4" s="14" t="s">
        <v>41</v>
      </c>
      <c r="D4" s="14" t="s">
        <v>37</v>
      </c>
      <c r="E4" s="15" t="s">
        <v>41</v>
      </c>
      <c r="F4" s="1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2"/>
      <c r="B5" s="23"/>
      <c r="C5" s="23"/>
      <c r="D5" s="23"/>
      <c r="E5" s="2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25" t="s">
        <v>65</v>
      </c>
      <c r="B6" s="26"/>
      <c r="C6" s="26"/>
      <c r="D6" s="26"/>
      <c r="E6" s="2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27" t="s">
        <v>66</v>
      </c>
      <c r="B7" s="361">
        <f>'Información relevante'!B3*'Información relevante'!B4*InfoInicial!B32+'Información relevante'!B5</f>
        <v>27003200</v>
      </c>
      <c r="C7" s="28"/>
      <c r="D7" s="28"/>
      <c r="E7" s="2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29" t="s">
        <v>68</v>
      </c>
      <c r="B8" s="362"/>
      <c r="C8" s="28"/>
      <c r="D8" s="28"/>
      <c r="E8" s="2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27" t="s">
        <v>71</v>
      </c>
      <c r="B9" s="361">
        <f>InfoInicial!B27*'Información relevante'!B6*InfoInicial!B32+'Información relevante'!B19</f>
        <v>209211425</v>
      </c>
      <c r="C9" s="28"/>
      <c r="D9" s="28"/>
      <c r="E9" s="2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29" t="s">
        <v>74</v>
      </c>
      <c r="B10" s="362"/>
      <c r="C10" s="28"/>
      <c r="D10" s="28"/>
      <c r="E10" s="2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27" t="s">
        <v>76</v>
      </c>
      <c r="B11" s="361">
        <f>B9*0.8</f>
        <v>167369140</v>
      </c>
      <c r="C11" s="28"/>
      <c r="D11" s="28"/>
      <c r="E11" s="2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29" t="s">
        <v>81</v>
      </c>
      <c r="B12" s="362"/>
      <c r="C12" s="28"/>
      <c r="D12" s="28"/>
      <c r="E12" s="2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27" t="s">
        <v>82</v>
      </c>
      <c r="B13" s="28"/>
      <c r="C13" s="28"/>
      <c r="D13" s="28"/>
      <c r="E13" s="2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27" t="s">
        <v>83</v>
      </c>
      <c r="B14" s="32"/>
      <c r="C14" s="28"/>
      <c r="D14" s="361">
        <f>(InfoInicial!B32*('Información relevante'!B8+'Información relevante'!B9+'Información relevante'!B10+'Información relevante'!B11+'Información relevante'!B12))*1.05</f>
        <v>2835000</v>
      </c>
      <c r="E14" s="2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29"/>
      <c r="B15" s="46"/>
      <c r="C15" s="28"/>
      <c r="D15" s="362"/>
      <c r="E15" s="2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27" t="s">
        <v>120</v>
      </c>
      <c r="B16" s="361">
        <f>'Información relevante'!B7</f>
        <v>9050</v>
      </c>
      <c r="C16" s="28"/>
      <c r="D16" s="28"/>
      <c r="E16" s="2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50"/>
      <c r="B17" s="362"/>
      <c r="C17" s="28"/>
      <c r="D17" s="28"/>
      <c r="E17" s="2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27"/>
      <c r="B18" s="28"/>
      <c r="C18" s="28"/>
      <c r="D18" s="28"/>
      <c r="E18" s="2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57" t="s">
        <v>125</v>
      </c>
      <c r="B19" s="366">
        <f>D14*0.1</f>
        <v>283500</v>
      </c>
      <c r="C19" s="28"/>
      <c r="D19" s="28"/>
      <c r="E19" s="2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29" t="s">
        <v>134</v>
      </c>
      <c r="B20" s="362"/>
      <c r="C20" s="28"/>
      <c r="D20" s="28"/>
      <c r="E20" s="2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27" t="s">
        <v>135</v>
      </c>
      <c r="B21" s="28"/>
      <c r="C21" s="28"/>
      <c r="D21" s="28"/>
      <c r="E21" s="2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29"/>
      <c r="B22" s="28"/>
      <c r="C22" s="28"/>
      <c r="D22" s="366">
        <f>D14*0.04</f>
        <v>113400</v>
      </c>
      <c r="E22" s="2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29"/>
      <c r="B23" s="28"/>
      <c r="C23" s="28"/>
      <c r="D23" s="362"/>
      <c r="E23" s="2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27" t="s">
        <v>138</v>
      </c>
      <c r="B24" s="361">
        <f>'Información relevante'!B13*InfoInicial!B32</f>
        <v>78000</v>
      </c>
      <c r="C24" s="28"/>
      <c r="D24" s="28"/>
      <c r="E24" s="2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29" t="s">
        <v>140</v>
      </c>
      <c r="B25" s="362"/>
      <c r="C25" s="28"/>
      <c r="D25" s="28"/>
      <c r="E25" s="2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27" t="s">
        <v>141</v>
      </c>
      <c r="B26" s="361">
        <f>SUM('Información relevante'!B14:B18)</f>
        <v>79628</v>
      </c>
      <c r="C26" s="28"/>
      <c r="D26" s="28"/>
      <c r="E26" s="2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50"/>
      <c r="B27" s="367"/>
      <c r="C27" s="28"/>
      <c r="D27" s="28"/>
      <c r="E27" s="2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27" t="s">
        <v>150</v>
      </c>
      <c r="B28" s="366">
        <v>0</v>
      </c>
      <c r="C28" s="28"/>
      <c r="D28" s="28"/>
      <c r="E28" s="2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27"/>
      <c r="B29" s="367"/>
      <c r="C29" s="28"/>
      <c r="D29" s="28"/>
      <c r="E29" s="2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27" t="s">
        <v>92</v>
      </c>
      <c r="B30" s="75"/>
      <c r="C30" s="28"/>
      <c r="D30" s="28"/>
      <c r="E30" s="28"/>
      <c r="F30" s="9"/>
      <c r="G30" s="9"/>
      <c r="H30" s="79">
        <f>D22+D31+B19-B65</f>
        <v>396900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29" t="s">
        <v>154</v>
      </c>
      <c r="B31" s="65">
        <f>SUM(B7:B29)*0.066</f>
        <v>26666240.238000002</v>
      </c>
      <c r="C31" s="28"/>
      <c r="D31" s="28">
        <f>SUM(D7:D29)*0.066</f>
        <v>194594.40000000002</v>
      </c>
      <c r="E31" s="2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25" t="s">
        <v>155</v>
      </c>
      <c r="B32" s="81">
        <f>SUM(B7:B31)</f>
        <v>430700183.23799998</v>
      </c>
      <c r="C32" s="81"/>
      <c r="D32" s="81">
        <f>SUM(D7:D31)</f>
        <v>3142994.4</v>
      </c>
      <c r="E32" s="2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C33" s="28"/>
      <c r="D33" s="28"/>
      <c r="E33" s="2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25" t="s">
        <v>157</v>
      </c>
      <c r="B34" s="28"/>
      <c r="C34" s="28"/>
      <c r="D34" s="28"/>
      <c r="E34" s="2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27" t="s">
        <v>159</v>
      </c>
      <c r="B35" s="84">
        <v>60000</v>
      </c>
      <c r="C35" s="28"/>
      <c r="D35" s="28"/>
      <c r="E35" s="2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27" t="s">
        <v>160</v>
      </c>
      <c r="B36" s="84">
        <v>80000</v>
      </c>
      <c r="C36" s="28"/>
      <c r="D36" s="28"/>
      <c r="E36" s="2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27" t="s">
        <v>161</v>
      </c>
      <c r="B37" s="84">
        <v>50000</v>
      </c>
      <c r="C37" s="28"/>
      <c r="D37" s="28"/>
      <c r="E37" s="2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57" t="s">
        <v>162</v>
      </c>
      <c r="B38" s="28"/>
      <c r="C38" s="86">
        <f>'E-Costos'!B41</f>
        <v>8759071.7478488944</v>
      </c>
      <c r="D38" s="28"/>
      <c r="E38" s="2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57" t="s">
        <v>164</v>
      </c>
      <c r="B39" s="58">
        <v>0</v>
      </c>
      <c r="C39" s="28"/>
      <c r="D39" s="28"/>
      <c r="E39" s="2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57" t="s">
        <v>165</v>
      </c>
      <c r="B40" s="58">
        <v>0</v>
      </c>
      <c r="C40" s="28"/>
      <c r="D40" s="28"/>
      <c r="E40" s="2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27" t="s">
        <v>92</v>
      </c>
      <c r="B41" s="75"/>
      <c r="C41" s="28"/>
      <c r="D41" s="28"/>
      <c r="E41" s="2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29" t="s">
        <v>154</v>
      </c>
      <c r="B42" s="89">
        <f>SUM(B35:B41)*0.066</f>
        <v>12540</v>
      </c>
      <c r="C42" s="75"/>
      <c r="D42" s="75"/>
      <c r="E42" s="2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27"/>
      <c r="B43" s="28"/>
      <c r="C43" s="28"/>
      <c r="D43" s="28"/>
      <c r="E43" s="2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25" t="s">
        <v>167</v>
      </c>
      <c r="B44" s="28">
        <f t="shared" ref="B44:C44" si="0">SUM(B35:B42)</f>
        <v>202540</v>
      </c>
      <c r="C44" s="28">
        <f t="shared" si="0"/>
        <v>8759071.7478488944</v>
      </c>
      <c r="D44" s="28"/>
      <c r="E44" s="2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27"/>
      <c r="B45" s="28"/>
      <c r="C45" s="28"/>
      <c r="D45" s="28"/>
      <c r="E45" s="2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25" t="s">
        <v>170</v>
      </c>
      <c r="B46" s="28">
        <f t="shared" ref="B46:D46" si="1">B44+B32</f>
        <v>430902723.23799998</v>
      </c>
      <c r="C46" s="28">
        <f t="shared" si="1"/>
        <v>8759071.7478488944</v>
      </c>
      <c r="D46" s="28">
        <f t="shared" si="1"/>
        <v>3142994.4</v>
      </c>
      <c r="E46" s="2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25" t="s">
        <v>173</v>
      </c>
      <c r="B47" s="28">
        <f t="shared" ref="B47:D47" si="2">B46*0.21</f>
        <v>90489571.879979998</v>
      </c>
      <c r="C47" s="28">
        <f t="shared" si="2"/>
        <v>1839405.0670482677</v>
      </c>
      <c r="D47" s="28">
        <f t="shared" si="2"/>
        <v>660028.82399999991</v>
      </c>
      <c r="E47" s="2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27"/>
      <c r="B48" s="28"/>
      <c r="C48" s="28"/>
      <c r="D48" s="28"/>
      <c r="E48" s="2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3.5" customHeight="1">
      <c r="A49" s="95" t="s">
        <v>174</v>
      </c>
      <c r="B49" s="96">
        <f t="shared" ref="B49:D49" si="3">B46+B47</f>
        <v>521392295.11798</v>
      </c>
      <c r="C49" s="96">
        <f t="shared" si="3"/>
        <v>10598476.814897163</v>
      </c>
      <c r="D49" s="96">
        <f t="shared" si="3"/>
        <v>3803023.2239999999</v>
      </c>
      <c r="E49" s="9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102" t="s">
        <v>179</v>
      </c>
      <c r="B52" s="103" t="s">
        <v>183</v>
      </c>
      <c r="C52" s="103" t="s">
        <v>184</v>
      </c>
      <c r="D52" s="363" t="s">
        <v>185</v>
      </c>
      <c r="E52" s="368"/>
      <c r="F52" s="364"/>
      <c r="G52" s="9"/>
      <c r="H52" s="104" t="s">
        <v>188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105"/>
      <c r="B53" s="14" t="s">
        <v>190</v>
      </c>
      <c r="C53" s="14"/>
      <c r="D53" s="14" t="s">
        <v>191</v>
      </c>
      <c r="E53" s="14" t="s">
        <v>192</v>
      </c>
      <c r="F53" s="14"/>
      <c r="G53" s="9"/>
      <c r="H53" s="107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110" t="s">
        <v>193</v>
      </c>
      <c r="B54" s="111"/>
      <c r="C54" s="111"/>
      <c r="D54" s="111"/>
      <c r="E54" s="111"/>
      <c r="F54" s="112"/>
      <c r="G54" s="9"/>
      <c r="H54" s="12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21"/>
      <c r="B55" s="46"/>
      <c r="C55" s="46"/>
      <c r="D55" s="46"/>
      <c r="E55" s="46"/>
      <c r="F55" s="122"/>
      <c r="G55" s="9"/>
      <c r="H55" s="123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27" t="s">
        <v>66</v>
      </c>
      <c r="B56" s="70">
        <f>B7</f>
        <v>27003200</v>
      </c>
      <c r="C56" s="9"/>
      <c r="D56" s="28"/>
      <c r="E56" s="28"/>
      <c r="F56" s="28"/>
      <c r="G56" s="9"/>
      <c r="H56" s="124">
        <f>B56</f>
        <v>27003200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27" t="s">
        <v>71</v>
      </c>
      <c r="B57" s="28">
        <f>B9</f>
        <v>209211425</v>
      </c>
      <c r="C57" s="126">
        <f>1/30</f>
        <v>3.3333333333333333E-2</v>
      </c>
      <c r="D57" s="28">
        <f t="shared" ref="D57:E57" si="4">$B57*$C57</f>
        <v>6973714.166666667</v>
      </c>
      <c r="E57" s="28">
        <f t="shared" si="4"/>
        <v>6973714.166666667</v>
      </c>
      <c r="F57" s="28"/>
      <c r="G57" s="9"/>
      <c r="H57" s="124">
        <f t="shared" ref="H57:H64" si="5">(B57-(D57*5))</f>
        <v>174342854.16666666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27" t="s">
        <v>76</v>
      </c>
      <c r="B58" s="28">
        <f>B11</f>
        <v>167369140</v>
      </c>
      <c r="C58" s="126">
        <f t="shared" ref="C58:C59" si="6">1/10</f>
        <v>0.1</v>
      </c>
      <c r="D58" s="28">
        <f t="shared" ref="D58:E58" si="7">$B58*$C58</f>
        <v>16736914</v>
      </c>
      <c r="E58" s="28">
        <f t="shared" si="7"/>
        <v>16736914</v>
      </c>
      <c r="F58" s="28"/>
      <c r="G58" s="9"/>
      <c r="H58" s="124">
        <f t="shared" si="5"/>
        <v>83684570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57" t="s">
        <v>82</v>
      </c>
      <c r="B59" s="28">
        <f>D14+B16</f>
        <v>2844050</v>
      </c>
      <c r="C59" s="126">
        <f t="shared" si="6"/>
        <v>0.1</v>
      </c>
      <c r="D59" s="28">
        <f t="shared" ref="D59:E59" si="8">$B59*$C59</f>
        <v>284405</v>
      </c>
      <c r="E59" s="28">
        <f t="shared" si="8"/>
        <v>284405</v>
      </c>
      <c r="F59" s="28"/>
      <c r="G59" s="9"/>
      <c r="H59" s="124">
        <f t="shared" si="5"/>
        <v>1422025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57" t="s">
        <v>138</v>
      </c>
      <c r="B60" s="28">
        <f>B24</f>
        <v>78000</v>
      </c>
      <c r="C60" s="126">
        <f t="shared" ref="C60:C62" si="9">1/5</f>
        <v>0.2</v>
      </c>
      <c r="D60" s="28">
        <f t="shared" ref="D60:E60" si="10">$B60*$C60</f>
        <v>15600</v>
      </c>
      <c r="E60" s="28">
        <f t="shared" si="10"/>
        <v>15600</v>
      </c>
      <c r="F60" s="28"/>
      <c r="G60" s="9"/>
      <c r="H60" s="124">
        <f t="shared" si="5"/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57" t="s">
        <v>141</v>
      </c>
      <c r="B61" s="28">
        <f>B26</f>
        <v>79628</v>
      </c>
      <c r="C61" s="126">
        <f t="shared" si="9"/>
        <v>0.2</v>
      </c>
      <c r="D61" s="28">
        <f t="shared" ref="D61:E61" si="11">$B61*$C61</f>
        <v>15925.6</v>
      </c>
      <c r="E61" s="28">
        <f t="shared" si="11"/>
        <v>15925.6</v>
      </c>
      <c r="F61" s="28"/>
      <c r="G61" s="9"/>
      <c r="H61" s="124">
        <f t="shared" si="5"/>
        <v>0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57" t="s">
        <v>92</v>
      </c>
      <c r="B62" s="28">
        <f>B31</f>
        <v>26666240.238000002</v>
      </c>
      <c r="C62" s="126">
        <f t="shared" si="9"/>
        <v>0.2</v>
      </c>
      <c r="D62" s="129">
        <f t="shared" ref="D62:E62" si="12">$B62*$C62</f>
        <v>5333248.0476000011</v>
      </c>
      <c r="E62" s="28">
        <f t="shared" si="12"/>
        <v>5333248.0476000011</v>
      </c>
      <c r="F62" s="28"/>
      <c r="G62" s="9"/>
      <c r="H62" s="132">
        <f t="shared" si="5"/>
        <v>-3.7252902984619141E-9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33" t="s">
        <v>216</v>
      </c>
      <c r="B63" s="28">
        <f>B19</f>
        <v>283500</v>
      </c>
      <c r="C63" s="126">
        <v>0.1</v>
      </c>
      <c r="D63" s="129">
        <f t="shared" ref="D63:E63" si="13">$B63*$C63</f>
        <v>28350</v>
      </c>
      <c r="E63" s="28">
        <f t="shared" si="13"/>
        <v>28350</v>
      </c>
      <c r="F63" s="28"/>
      <c r="G63" s="9"/>
      <c r="H63" s="124">
        <f t="shared" si="5"/>
        <v>141750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33" t="s">
        <v>217</v>
      </c>
      <c r="B64" s="28">
        <f>D22</f>
        <v>113400</v>
      </c>
      <c r="C64" s="126">
        <v>0.1</v>
      </c>
      <c r="D64" s="129">
        <f t="shared" ref="D64:E64" si="14">$B64*$C64</f>
        <v>11340</v>
      </c>
      <c r="E64" s="28">
        <f t="shared" si="14"/>
        <v>11340</v>
      </c>
      <c r="F64" s="28"/>
      <c r="G64" s="9"/>
      <c r="H64" s="124">
        <f t="shared" si="5"/>
        <v>56700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33" t="s">
        <v>92</v>
      </c>
      <c r="B65" s="28">
        <f>D31</f>
        <v>194594.40000000002</v>
      </c>
      <c r="C65" s="126">
        <v>0.2</v>
      </c>
      <c r="D65" s="28">
        <f t="shared" ref="D65:E65" si="15">$B65*$C65</f>
        <v>38918.880000000005</v>
      </c>
      <c r="E65" s="28">
        <f t="shared" si="15"/>
        <v>38918.880000000005</v>
      </c>
      <c r="F65" s="28"/>
      <c r="G65" s="9"/>
      <c r="H65" s="124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36" t="s">
        <v>219</v>
      </c>
      <c r="B66" s="81">
        <f>SUM(B56:B65)</f>
        <v>433843177.63799995</v>
      </c>
      <c r="C66" s="81"/>
      <c r="D66" s="81">
        <f t="shared" ref="D66:E66" si="16">SUM(D56:D65)</f>
        <v>29438415.694266669</v>
      </c>
      <c r="E66" s="81">
        <f t="shared" si="16"/>
        <v>29438415.694266669</v>
      </c>
      <c r="F66" s="81"/>
      <c r="G66" s="81"/>
      <c r="H66" s="81">
        <f>SUM(H56:H65)</f>
        <v>286651099.16666663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25"/>
      <c r="B67" s="138"/>
      <c r="C67" s="141"/>
      <c r="D67" s="142"/>
      <c r="E67" s="142"/>
      <c r="F67" s="142"/>
      <c r="G67" s="9"/>
      <c r="H67" s="12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36" t="s">
        <v>222</v>
      </c>
      <c r="B68" s="28">
        <f>B44+C44+D44+E44</f>
        <v>8961611.7478488944</v>
      </c>
      <c r="C68" s="126">
        <f>1/5</f>
        <v>0.2</v>
      </c>
      <c r="D68" s="28">
        <f t="shared" ref="D68:E68" si="17">$B68*$C68</f>
        <v>1792322.3495697789</v>
      </c>
      <c r="E68" s="28">
        <f t="shared" si="17"/>
        <v>1792322.3495697789</v>
      </c>
      <c r="F68" s="28"/>
      <c r="G68" s="9"/>
      <c r="H68" s="124">
        <f>(B68-(D68*5))</f>
        <v>0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36"/>
      <c r="B69" s="28"/>
      <c r="C69" s="28"/>
      <c r="D69" s="28"/>
      <c r="E69" s="28"/>
      <c r="F69" s="28"/>
      <c r="G69" s="9"/>
      <c r="H69" s="12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25"/>
      <c r="B70" s="26"/>
      <c r="C70" s="26"/>
      <c r="D70" s="147"/>
      <c r="E70" s="148"/>
      <c r="F70" s="148"/>
      <c r="G70" s="153"/>
      <c r="H70" s="159"/>
      <c r="I70" s="153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95" t="s">
        <v>231</v>
      </c>
      <c r="B71" s="96">
        <f>SUM(B66+B68)</f>
        <v>442804789.38584882</v>
      </c>
      <c r="C71" s="96"/>
      <c r="D71" s="96">
        <f t="shared" ref="D71:E71" si="18">SUM(D66+D68)</f>
        <v>31230738.043836448</v>
      </c>
      <c r="E71" s="96">
        <f t="shared" si="18"/>
        <v>31230738.043836448</v>
      </c>
      <c r="F71" s="96"/>
      <c r="G71" s="96"/>
      <c r="H71" s="96">
        <f>SUM(H66+H68)</f>
        <v>286651099.16666663</v>
      </c>
      <c r="I71" s="161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2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2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2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2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2.7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2.7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2.7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2.7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2.7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2.7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2.7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2.7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2.7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2.7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</sheetData>
  <mergeCells count="13">
    <mergeCell ref="D52:F52"/>
    <mergeCell ref="D14:D15"/>
    <mergeCell ref="B28:B29"/>
    <mergeCell ref="B19:B20"/>
    <mergeCell ref="B24:B25"/>
    <mergeCell ref="B16:B17"/>
    <mergeCell ref="B26:B27"/>
    <mergeCell ref="D22:D23"/>
    <mergeCell ref="B9:B10"/>
    <mergeCell ref="B11:B12"/>
    <mergeCell ref="B3:C3"/>
    <mergeCell ref="B7:B8"/>
    <mergeCell ref="D3:E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baseColWidth="10" defaultColWidth="14.42578125" defaultRowHeight="15" customHeight="1"/>
  <cols>
    <col min="1" max="1" width="40.85546875" customWidth="1"/>
    <col min="2" max="6" width="14.7109375" customWidth="1"/>
    <col min="7" max="7" width="17.28515625" customWidth="1"/>
    <col min="8" max="10" width="9" customWidth="1"/>
    <col min="11" max="11" width="15" customWidth="1"/>
    <col min="12" max="12" width="23.28515625" customWidth="1"/>
    <col min="13" max="13" width="9" customWidth="1"/>
    <col min="14" max="14" width="14.28515625" customWidth="1"/>
    <col min="15" max="15" width="12.28515625" customWidth="1"/>
    <col min="16" max="16" width="25.42578125" customWidth="1"/>
    <col min="17" max="17" width="10.42578125" customWidth="1"/>
    <col min="18" max="18" width="18.28515625" customWidth="1"/>
    <col min="19" max="19" width="16.85546875" customWidth="1"/>
    <col min="20" max="26" width="9" customWidth="1"/>
  </cols>
  <sheetData>
    <row r="1" spans="1:26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>
      <c r="A3" s="2" t="s">
        <v>3</v>
      </c>
      <c r="E3" s="6">
        <f>InfoInicial!E1</f>
        <v>13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6.5" customHeight="1">
      <c r="A4" s="33" t="s">
        <v>86</v>
      </c>
      <c r="B4" s="34"/>
      <c r="C4" s="34"/>
      <c r="D4" s="34"/>
      <c r="E4" s="34"/>
      <c r="F4" s="35"/>
      <c r="G4" s="9"/>
      <c r="H4" s="36" t="s">
        <v>93</v>
      </c>
      <c r="I4" s="9"/>
      <c r="J4" s="36" t="s">
        <v>17</v>
      </c>
      <c r="K4" s="36">
        <v>25</v>
      </c>
      <c r="L4" s="36" t="s">
        <v>94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38"/>
      <c r="B5" s="39" t="s">
        <v>97</v>
      </c>
      <c r="C5" s="39"/>
      <c r="D5" s="39"/>
      <c r="E5" s="39"/>
      <c r="F5" s="40"/>
      <c r="G5" s="9"/>
      <c r="H5" s="9"/>
      <c r="I5" s="9"/>
      <c r="J5" s="9"/>
      <c r="K5" s="9"/>
      <c r="L5" s="9"/>
      <c r="M5" s="9"/>
      <c r="N5" s="370" t="s">
        <v>98</v>
      </c>
      <c r="O5" s="344"/>
      <c r="P5" s="344"/>
      <c r="Q5" s="43">
        <v>0.9</v>
      </c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38" t="s">
        <v>99</v>
      </c>
      <c r="B6" s="14" t="s">
        <v>41</v>
      </c>
      <c r="C6" s="14" t="s">
        <v>56</v>
      </c>
      <c r="D6" s="14" t="s">
        <v>57</v>
      </c>
      <c r="E6" s="14" t="s">
        <v>58</v>
      </c>
      <c r="F6" s="15" t="s">
        <v>59</v>
      </c>
      <c r="G6" s="9"/>
      <c r="H6" s="36" t="s">
        <v>100</v>
      </c>
      <c r="I6" s="9"/>
      <c r="J6" s="9"/>
      <c r="K6" s="36">
        <v>523351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22" t="s">
        <v>101</v>
      </c>
      <c r="B7" s="49">
        <f>K8*K4</f>
        <v>8713600</v>
      </c>
      <c r="C7" s="49">
        <f>K7*K4</f>
        <v>11802875</v>
      </c>
      <c r="D7" s="49">
        <f t="shared" ref="D7:F7" si="0">C7</f>
        <v>11802875</v>
      </c>
      <c r="E7" s="49">
        <f t="shared" si="0"/>
        <v>11802875</v>
      </c>
      <c r="F7" s="52">
        <f t="shared" si="0"/>
        <v>11802875</v>
      </c>
      <c r="G7" s="9"/>
      <c r="H7" s="36" t="s">
        <v>126</v>
      </c>
      <c r="I7" s="9"/>
      <c r="J7" s="9"/>
      <c r="K7" s="36">
        <v>472115</v>
      </c>
      <c r="L7" s="9"/>
      <c r="M7" s="9"/>
      <c r="N7" s="9"/>
      <c r="O7" s="9"/>
      <c r="P7" s="9"/>
      <c r="Q7" s="9"/>
      <c r="R7" s="9"/>
      <c r="S7" s="36" t="s">
        <v>127</v>
      </c>
      <c r="T7" s="9"/>
      <c r="U7" s="9"/>
      <c r="V7" s="9"/>
      <c r="W7" s="9"/>
      <c r="X7" s="9"/>
      <c r="Y7" s="9"/>
      <c r="Z7" s="9"/>
    </row>
    <row r="8" spans="1:26" ht="12.75" customHeight="1">
      <c r="A8" s="53" t="s">
        <v>128</v>
      </c>
      <c r="B8" s="55">
        <f>L12*O12*(1+O11)*0.92*M12</f>
        <v>5665904.6400000006</v>
      </c>
      <c r="C8" s="55">
        <f>L12*M12*O12*(1+O11)</f>
        <v>6158592</v>
      </c>
      <c r="D8" s="55">
        <f>L12*M12*O12*(1+O11)</f>
        <v>6158592</v>
      </c>
      <c r="E8" s="55">
        <f>L12*M12*O12*(1+O11)</f>
        <v>6158592</v>
      </c>
      <c r="F8" s="59">
        <f>L12*M12*O12*(1+O11)</f>
        <v>6158592</v>
      </c>
      <c r="G8" s="9"/>
      <c r="H8" s="36" t="s">
        <v>136</v>
      </c>
      <c r="I8" s="9"/>
      <c r="J8" s="9"/>
      <c r="K8" s="36">
        <v>348544</v>
      </c>
      <c r="L8" s="36"/>
      <c r="M8" s="9"/>
      <c r="N8" s="9"/>
      <c r="O8" s="9"/>
      <c r="P8" s="9"/>
      <c r="Q8" s="9"/>
      <c r="R8" s="9"/>
      <c r="S8" s="60">
        <v>523351</v>
      </c>
      <c r="T8" s="61" t="s">
        <v>137</v>
      </c>
      <c r="U8" s="62"/>
      <c r="V8" s="63"/>
      <c r="W8" s="64"/>
      <c r="X8" s="9"/>
      <c r="Y8" s="9"/>
      <c r="Z8" s="9"/>
    </row>
    <row r="9" spans="1:26" ht="12.75" customHeight="1">
      <c r="A9" s="27" t="s">
        <v>139</v>
      </c>
      <c r="B9" s="65"/>
      <c r="C9" s="65"/>
      <c r="D9" s="65"/>
      <c r="E9" s="65"/>
      <c r="F9" s="66"/>
      <c r="G9" s="9"/>
      <c r="H9" s="36" t="s">
        <v>142</v>
      </c>
      <c r="I9" s="9"/>
      <c r="J9" s="9"/>
      <c r="K9" s="9">
        <f>K6/K7</f>
        <v>1.1085244061298625</v>
      </c>
      <c r="L9" s="36" t="s">
        <v>143</v>
      </c>
      <c r="M9" s="9"/>
      <c r="N9" s="9"/>
      <c r="O9" s="9"/>
      <c r="P9" s="9"/>
      <c r="Q9" s="9"/>
      <c r="R9" s="9"/>
      <c r="S9" s="67" t="s">
        <v>144</v>
      </c>
      <c r="T9" s="9">
        <f>523351/472115</f>
        <v>1.1085244061298625</v>
      </c>
      <c r="U9" s="3" t="s">
        <v>146</v>
      </c>
      <c r="V9" s="9"/>
      <c r="W9" s="68"/>
      <c r="X9" s="9"/>
      <c r="Y9" s="9"/>
      <c r="Z9" s="9"/>
    </row>
    <row r="10" spans="1:26" ht="12.75" customHeight="1">
      <c r="A10" s="27" t="s">
        <v>148</v>
      </c>
      <c r="B10" s="70">
        <f>('E-Inv AF y Am'!D57+'E-Inv AF y Am'!D58+'E-Inv AF y Am'!D59+'E-Inv AF y Am'!D60+'E-Inv AF y Am'!D62+'E-Inv AF y Am'!D61+'E-Inv AF y Am'!D68)*0.9+'E-Inv AF y Am'!D65</f>
        <v>28075835.127452806</v>
      </c>
      <c r="C10" s="70">
        <f>('E-Inv AF y Am'!D57+'E-Inv AF y Am'!D58+'E-Inv AF y Am'!D59+'E-Inv AF y Am'!D60+'E-Inv AF y Am'!D61+'E-Inv AF y Am'!D62+'E-Inv AF y Am'!D68)*0.9+'E-Inv AF y Am'!D65</f>
        <v>28075835.127452806</v>
      </c>
      <c r="D10" s="70">
        <f>('E-Inv AF y Am'!D57+'E-Inv AF y Am'!D58+'E-Inv AF y Am'!D59+'E-Inv AF y Am'!D60+'E-Inv AF y Am'!D61+'E-Inv AF y Am'!D62+'E-Inv AF y Am'!D68)*0.9+'E-Inv AF y Am'!D65</f>
        <v>28075835.127452806</v>
      </c>
      <c r="E10" s="70">
        <f>'E-Inv AF y Am'!E71*0.9</f>
        <v>28107664.239452805</v>
      </c>
      <c r="F10" s="76">
        <f>'E-Inv AF y Am'!E71*0.9</f>
        <v>28107664.239452805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77">
        <v>399522</v>
      </c>
      <c r="T10" s="36" t="s">
        <v>151</v>
      </c>
      <c r="U10" s="9"/>
      <c r="V10" s="9"/>
      <c r="W10" s="68"/>
      <c r="X10" s="9"/>
      <c r="Y10" s="9"/>
      <c r="Z10" s="9"/>
    </row>
    <row r="11" spans="1:26" ht="12.75" customHeight="1">
      <c r="A11" s="27" t="s">
        <v>152</v>
      </c>
      <c r="B11" s="70">
        <f>C11*O27</f>
        <v>5732569.2000000002</v>
      </c>
      <c r="C11" s="70">
        <f>P15+P16+P17+P18+P19+P20+P21+P22+N25*O25*M25*L12*2</f>
        <v>6589160</v>
      </c>
      <c r="D11" s="70">
        <f>P15+P16+P17+P18+P19+P20+P21+P22+N25*O25*M25*L12*2</f>
        <v>6589160</v>
      </c>
      <c r="E11" s="70">
        <f>P15+P16+P17+P18+P19+P20+P21+P22+N25*O25*M25*L12*2</f>
        <v>6589160</v>
      </c>
      <c r="F11" s="76">
        <f>P15+P16+P17+P18+P19+P20+P21+P22+N25*O25*M25*L12*2</f>
        <v>6589160</v>
      </c>
      <c r="G11" s="9"/>
      <c r="H11" s="9"/>
      <c r="I11" s="9"/>
      <c r="J11" s="9"/>
      <c r="K11" s="82" t="s">
        <v>156</v>
      </c>
      <c r="L11" s="90" t="s">
        <v>158</v>
      </c>
      <c r="M11" s="91" t="s">
        <v>61</v>
      </c>
      <c r="N11" s="92" t="s">
        <v>168</v>
      </c>
      <c r="O11" s="43">
        <v>0.65</v>
      </c>
      <c r="P11" s="9"/>
      <c r="Q11" s="9"/>
      <c r="R11" s="9"/>
      <c r="S11" s="93">
        <v>348.54399999999998</v>
      </c>
      <c r="T11" s="36" t="s">
        <v>171</v>
      </c>
      <c r="U11" s="9"/>
      <c r="V11" s="9"/>
      <c r="W11" s="68"/>
      <c r="X11" s="9"/>
      <c r="Y11" s="9"/>
      <c r="Z11" s="9"/>
    </row>
    <row r="12" spans="1:26" ht="12.75" customHeight="1">
      <c r="A12" s="27" t="s">
        <v>172</v>
      </c>
      <c r="B12" s="70">
        <f>C12*O27</f>
        <v>3638475.9095660397</v>
      </c>
      <c r="C12" s="94">
        <f>M31*('E-Inv AF y Am'!B66-'E-Inv AF y Am'!B65)*Q5+M32*'E-Inv AF y Am'!B59+M32*'E-Inv AF y Am'!B59*O32*P32+C7*M33+C11*M34</f>
        <v>4182156.2178919995</v>
      </c>
      <c r="D12" s="70">
        <f>M31*('E-Inv AF y Am'!B66-'E-Inv AF y Am'!B65)*Q5+M32*'E-Inv AF y Am'!B59+M32*'E-Inv AF y Am'!B59*O32*P32+C7*M33+C11*M34</f>
        <v>4182156.2178919995</v>
      </c>
      <c r="E12" s="70">
        <f>M31*('E-Inv AF y Am'!B66-'E-Inv AF y Am'!B65)*Q5+M32*'E-Inv AF y Am'!B59+M32*'E-Inv AF y Am'!B59*O32*P32+C7*M33+C11*M34</f>
        <v>4182156.2178919995</v>
      </c>
      <c r="F12" s="76">
        <f>M31*('E-Inv AF y Am'!B66-'E-Inv AF y Am'!B65)*Q5+M32*'E-Inv AF y Am'!B59+M32*'E-Inv AF y Am'!B59*O32*P32+C7*M33+C11*M34</f>
        <v>4182156.2178919995</v>
      </c>
      <c r="G12" s="9"/>
      <c r="H12" s="9"/>
      <c r="I12" s="9"/>
      <c r="J12" s="9"/>
      <c r="K12" s="97" t="s">
        <v>177</v>
      </c>
      <c r="L12" s="98">
        <v>180</v>
      </c>
      <c r="M12" s="99">
        <v>9</v>
      </c>
      <c r="N12" s="92" t="s">
        <v>178</v>
      </c>
      <c r="O12" s="100">
        <v>2304</v>
      </c>
      <c r="P12" s="9"/>
      <c r="Q12" s="9"/>
      <c r="R12" s="9"/>
      <c r="S12" s="101" t="s">
        <v>180</v>
      </c>
      <c r="T12" s="47">
        <f>348544 *T9</f>
        <v>386369.53061012679</v>
      </c>
      <c r="U12" s="9"/>
      <c r="V12" s="9"/>
      <c r="W12" s="68"/>
      <c r="X12" s="9"/>
      <c r="Y12" s="9"/>
      <c r="Z12" s="9"/>
    </row>
    <row r="13" spans="1:26" ht="12.75" customHeight="1">
      <c r="A13" s="27" t="s">
        <v>182</v>
      </c>
      <c r="B13" s="70">
        <f t="shared" ref="B13:B14" si="1">C13*P38</f>
        <v>404470.4731144</v>
      </c>
      <c r="C13" s="70">
        <f>(M38*R38*4*6/1000*8*L38+O38)*11.5+S38*L38*16/1000</f>
        <v>425758.39275200001</v>
      </c>
      <c r="D13" s="70">
        <f>(M38*R38*4*6/1000*8*L38+O38)*11.5+S38*L38*16/1000</f>
        <v>425758.39275200001</v>
      </c>
      <c r="E13" s="70">
        <f>(M38*R38*4*6/1000*8*L38+O38)*11.5+S38*L38*16/1000</f>
        <v>425758.39275200001</v>
      </c>
      <c r="F13" s="76">
        <f>(M38*R38*4*6/1000*8*L38+O38)*11.5+S38*L38*16/1000</f>
        <v>425758.39275200001</v>
      </c>
      <c r="G13" s="9"/>
      <c r="H13" s="9"/>
      <c r="I13" s="9"/>
      <c r="J13" s="9"/>
      <c r="Q13" s="9"/>
      <c r="R13" s="9"/>
      <c r="S13" s="109">
        <v>3848</v>
      </c>
      <c r="T13" s="36" t="s">
        <v>194</v>
      </c>
      <c r="U13" s="9"/>
      <c r="V13" s="9"/>
      <c r="W13" s="68"/>
      <c r="X13" s="9"/>
      <c r="Y13" s="9"/>
      <c r="Z13" s="9"/>
    </row>
    <row r="14" spans="1:26" ht="12.75" customHeight="1">
      <c r="A14" s="27" t="s">
        <v>195</v>
      </c>
      <c r="B14" s="70">
        <f t="shared" si="1"/>
        <v>7983.5625</v>
      </c>
      <c r="C14" s="70">
        <f>O39*12+M39*L39*11.5</f>
        <v>8403.75</v>
      </c>
      <c r="D14" s="70">
        <f>O39*12+M39*L39*11.5</f>
        <v>8403.75</v>
      </c>
      <c r="E14" s="70">
        <f>O39*12+M39*L39*11.5</f>
        <v>8403.75</v>
      </c>
      <c r="F14" s="76">
        <f>O39*12+M39*L39*11.5</f>
        <v>8403.75</v>
      </c>
      <c r="G14" s="9"/>
      <c r="H14" s="9"/>
      <c r="I14" s="9"/>
      <c r="J14" s="9"/>
      <c r="K14" s="379" t="s">
        <v>196</v>
      </c>
      <c r="L14" s="376"/>
      <c r="M14" s="115" t="s">
        <v>197</v>
      </c>
      <c r="N14" s="115" t="s">
        <v>168</v>
      </c>
      <c r="O14" s="115" t="s">
        <v>184</v>
      </c>
      <c r="P14" s="116" t="s">
        <v>198</v>
      </c>
      <c r="Q14" s="9"/>
      <c r="R14" s="9"/>
      <c r="S14" s="118">
        <f>S10-T12-S13</f>
        <v>9304.4693898732075</v>
      </c>
      <c r="T14" s="36" t="s">
        <v>199</v>
      </c>
      <c r="U14" s="9"/>
      <c r="V14" s="9"/>
      <c r="W14" s="68"/>
      <c r="X14" s="9"/>
      <c r="Y14" s="9"/>
      <c r="Z14" s="9"/>
    </row>
    <row r="15" spans="1:26" ht="12.75" customHeight="1">
      <c r="A15" s="27" t="s">
        <v>200</v>
      </c>
      <c r="B15" s="70">
        <f>C15</f>
        <v>3401490.6</v>
      </c>
      <c r="C15" s="70">
        <f>('E-Inv AF y Am'!B56+'E-Inv AF y Am'!B57)*M43*N43+('E-Inv AF y Am'!B56+'E-Inv AF y Am'!B57)*M44*N44</f>
        <v>3401490.6</v>
      </c>
      <c r="D15" s="70">
        <f>('E-Inv AF y Am'!B56+'E-Inv AF y Am'!B57)*M43*N43+('E-Inv AF y Am'!B56+'E-Inv AF y Am'!B57)*M44*N44</f>
        <v>3401490.6</v>
      </c>
      <c r="E15" s="70">
        <f>('E-Inv AF y Am'!B56+'E-Inv AF y Am'!B57)*M43*N43+('E-Inv AF y Am'!B56+'E-Inv AF y Am'!B57)*M44*N44</f>
        <v>3401490.6</v>
      </c>
      <c r="F15" s="76">
        <f>('E-Inv AF y Am'!B56+'E-Inv AF y Am'!B57)*M43*N43+('E-Inv AF y Am'!B56+'E-Inv AF y Am'!B57)*M44*N44</f>
        <v>3401490.6</v>
      </c>
      <c r="G15" s="9"/>
      <c r="H15" s="9"/>
      <c r="I15" s="9"/>
      <c r="J15" s="9"/>
      <c r="K15" s="369" t="s">
        <v>204</v>
      </c>
      <c r="L15" s="344"/>
      <c r="M15" s="125">
        <v>100000</v>
      </c>
      <c r="N15" s="125">
        <v>0.5</v>
      </c>
      <c r="O15" s="125">
        <v>0.3</v>
      </c>
      <c r="P15" s="127">
        <f t="shared" ref="P15:P22" si="2">M15*(1+N15)*O15*13</f>
        <v>585000</v>
      </c>
      <c r="Q15" s="9"/>
      <c r="R15" s="9"/>
      <c r="S15" s="118"/>
      <c r="T15" s="9"/>
      <c r="U15" s="9"/>
      <c r="V15" s="9"/>
      <c r="W15" s="68"/>
      <c r="X15" s="9"/>
      <c r="Y15" s="9"/>
      <c r="Z15" s="9"/>
    </row>
    <row r="16" spans="1:26" ht="12.75" customHeight="1">
      <c r="A16" s="27" t="s">
        <v>92</v>
      </c>
      <c r="B16" s="70">
        <f>(B7+B8+B10+B11+B12+B13+B14+B15)*S24</f>
        <v>3672261.7478337944</v>
      </c>
      <c r="C16" s="70">
        <f>(C7+C8+C10+C11+C12+C13+C14+C15)*S24</f>
        <v>4002521.8918143893</v>
      </c>
      <c r="D16" s="70">
        <f>(D7+D8+D10+D11+D12+D13+D14+D15)*S24</f>
        <v>4002521.8918143893</v>
      </c>
      <c r="E16" s="70">
        <f>(E7+E8+E10+E11+E12+E13+E14+E15)*S24</f>
        <v>4004622.6132063894</v>
      </c>
      <c r="F16" s="76">
        <f>(F7+F8+F10+F11+F12+F13+F14+F15)*S24</f>
        <v>4004622.6132063894</v>
      </c>
      <c r="G16" s="9"/>
      <c r="H16" s="9"/>
      <c r="I16" s="9"/>
      <c r="J16" s="9"/>
      <c r="K16" s="369" t="s">
        <v>213</v>
      </c>
      <c r="L16" s="344"/>
      <c r="M16" s="125">
        <v>60000</v>
      </c>
      <c r="N16" s="125">
        <v>0.6</v>
      </c>
      <c r="O16" s="125">
        <v>0.7</v>
      </c>
      <c r="P16" s="127">
        <f t="shared" si="2"/>
        <v>873600</v>
      </c>
      <c r="Q16" s="9"/>
      <c r="R16" s="9"/>
      <c r="S16" s="128">
        <f>S14*25</f>
        <v>232611.73474683019</v>
      </c>
      <c r="T16" s="130"/>
      <c r="U16" s="130"/>
      <c r="V16" s="130"/>
      <c r="W16" s="131"/>
      <c r="X16" s="9"/>
      <c r="Y16" s="9"/>
      <c r="Z16" s="9"/>
    </row>
    <row r="17" spans="1:26" ht="12.75" customHeight="1">
      <c r="A17" s="25" t="s">
        <v>215</v>
      </c>
      <c r="B17" s="134">
        <f t="shared" ref="B17:F17" si="3">SUM(B7,B8,B10,B11,B12,B13,B14,B15,B16)</f>
        <v>59312591.260467045</v>
      </c>
      <c r="C17" s="134">
        <f t="shared" si="3"/>
        <v>64646792.979911193</v>
      </c>
      <c r="D17" s="134">
        <f t="shared" si="3"/>
        <v>64646792.979911193</v>
      </c>
      <c r="E17" s="134">
        <f t="shared" si="3"/>
        <v>64680722.813303195</v>
      </c>
      <c r="F17" s="134">
        <f t="shared" si="3"/>
        <v>64680722.813303195</v>
      </c>
      <c r="G17" s="9"/>
      <c r="H17" s="9"/>
      <c r="I17" s="9"/>
      <c r="J17" s="9"/>
      <c r="K17" s="369" t="s">
        <v>218</v>
      </c>
      <c r="L17" s="344"/>
      <c r="M17" s="125">
        <v>45000</v>
      </c>
      <c r="N17" s="125">
        <v>0.6</v>
      </c>
      <c r="O17" s="125">
        <v>1</v>
      </c>
      <c r="P17" s="127">
        <f t="shared" si="2"/>
        <v>936000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135"/>
      <c r="B18" s="139"/>
      <c r="C18" s="139"/>
      <c r="D18" s="139"/>
      <c r="E18" s="139"/>
      <c r="F18" s="140"/>
      <c r="G18" s="9"/>
      <c r="H18" s="9"/>
      <c r="I18" s="9"/>
      <c r="J18" s="9"/>
      <c r="K18" s="369" t="s">
        <v>221</v>
      </c>
      <c r="L18" s="344"/>
      <c r="M18" s="125">
        <v>50000</v>
      </c>
      <c r="N18" s="125">
        <v>0.6</v>
      </c>
      <c r="O18" s="125">
        <v>1</v>
      </c>
      <c r="P18" s="127">
        <f t="shared" si="2"/>
        <v>1040000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144" t="s">
        <v>223</v>
      </c>
      <c r="B19" s="146">
        <f t="shared" ref="B19:F19" si="4">SUM(B10:B16)/B17</f>
        <v>0.75756404610863448</v>
      </c>
      <c r="C19" s="146">
        <f t="shared" si="4"/>
        <v>0.72215996846770925</v>
      </c>
      <c r="D19" s="146">
        <f t="shared" si="4"/>
        <v>0.72215996846770925</v>
      </c>
      <c r="E19" s="146">
        <f t="shared" si="4"/>
        <v>0.72230571615835781</v>
      </c>
      <c r="F19" s="146">
        <f t="shared" si="4"/>
        <v>0.72230571615835781</v>
      </c>
      <c r="G19" s="9"/>
      <c r="H19" s="9"/>
      <c r="I19" s="9"/>
      <c r="J19" s="9"/>
      <c r="K19" s="369" t="s">
        <v>224</v>
      </c>
      <c r="L19" s="344"/>
      <c r="M19" s="125">
        <v>50000</v>
      </c>
      <c r="N19" s="125">
        <v>0.6</v>
      </c>
      <c r="O19" s="125">
        <v>0.5</v>
      </c>
      <c r="P19" s="127">
        <f t="shared" si="2"/>
        <v>520000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5" customHeight="1">
      <c r="A20" s="105" t="s">
        <v>225</v>
      </c>
      <c r="B20" s="151">
        <f t="shared" ref="B20:F20" si="5">(B7+B8)/B17</f>
        <v>0.24243595389136557</v>
      </c>
      <c r="C20" s="151">
        <f t="shared" si="5"/>
        <v>0.27784003153229075</v>
      </c>
      <c r="D20" s="151">
        <f t="shared" si="5"/>
        <v>0.27784003153229075</v>
      </c>
      <c r="E20" s="151">
        <f t="shared" si="5"/>
        <v>0.27769428384164219</v>
      </c>
      <c r="F20" s="151">
        <f t="shared" si="5"/>
        <v>0.27769428384164219</v>
      </c>
      <c r="G20" s="9"/>
      <c r="H20" s="9"/>
      <c r="I20" s="9"/>
      <c r="J20" s="9"/>
      <c r="K20" s="369" t="s">
        <v>227</v>
      </c>
      <c r="L20" s="344"/>
      <c r="M20" s="125">
        <v>50000</v>
      </c>
      <c r="N20" s="125">
        <v>0.6</v>
      </c>
      <c r="O20" s="125">
        <v>1</v>
      </c>
      <c r="P20" s="127">
        <f t="shared" si="2"/>
        <v>1040000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369" t="s">
        <v>228</v>
      </c>
      <c r="L21" s="344"/>
      <c r="M21" s="125">
        <v>50000</v>
      </c>
      <c r="N21" s="125">
        <v>0.6</v>
      </c>
      <c r="O21" s="125">
        <v>1</v>
      </c>
      <c r="P21" s="127">
        <f t="shared" si="2"/>
        <v>1040000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3.5" customHeight="1">
      <c r="A22" s="155"/>
      <c r="B22" s="103" t="s">
        <v>229</v>
      </c>
      <c r="C22" s="103"/>
      <c r="D22" s="103"/>
      <c r="E22" s="103"/>
      <c r="F22" s="103"/>
      <c r="G22" s="157"/>
      <c r="H22" s="9"/>
      <c r="I22" s="9"/>
      <c r="J22" s="9"/>
      <c r="K22" s="372" t="s">
        <v>230</v>
      </c>
      <c r="L22" s="373"/>
      <c r="M22" s="98">
        <v>25000</v>
      </c>
      <c r="N22" s="98">
        <v>0.6</v>
      </c>
      <c r="O22" s="98">
        <v>1</v>
      </c>
      <c r="P22" s="99">
        <f t="shared" si="2"/>
        <v>520000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38"/>
      <c r="B23" s="39" t="s">
        <v>232</v>
      </c>
      <c r="C23" s="39"/>
      <c r="D23" s="39"/>
      <c r="E23" s="39"/>
      <c r="F23" s="39"/>
      <c r="G23" s="40" t="s">
        <v>233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>
      <c r="A24" s="38" t="s">
        <v>99</v>
      </c>
      <c r="B24" s="160" t="s">
        <v>41</v>
      </c>
      <c r="C24" s="160" t="s">
        <v>56</v>
      </c>
      <c r="D24" s="160" t="s">
        <v>57</v>
      </c>
      <c r="E24" s="160" t="s">
        <v>58</v>
      </c>
      <c r="F24" s="160" t="s">
        <v>59</v>
      </c>
      <c r="G24" s="162" t="s">
        <v>41</v>
      </c>
      <c r="H24" s="9"/>
      <c r="I24" s="9"/>
      <c r="J24" s="9"/>
      <c r="K24" s="163"/>
      <c r="L24" s="163"/>
      <c r="M24" s="164" t="s">
        <v>234</v>
      </c>
      <c r="N24" s="164" t="s">
        <v>235</v>
      </c>
      <c r="O24" s="164" t="s">
        <v>236</v>
      </c>
      <c r="P24" s="9"/>
      <c r="Q24" s="9"/>
      <c r="R24" s="92" t="s">
        <v>92</v>
      </c>
      <c r="S24" s="165">
        <v>6.6000000000000003E-2</v>
      </c>
      <c r="T24" s="374" t="s">
        <v>237</v>
      </c>
      <c r="U24" s="344"/>
      <c r="V24" s="9"/>
      <c r="W24" s="9"/>
      <c r="X24" s="9"/>
      <c r="Y24" s="9"/>
      <c r="Z24" s="9"/>
    </row>
    <row r="25" spans="1:26" ht="13.5" customHeight="1">
      <c r="A25" s="22" t="s">
        <v>101</v>
      </c>
      <c r="B25" s="49">
        <f>V28*B7/S29</f>
        <v>96200</v>
      </c>
      <c r="C25" s="49">
        <f>V28*C7/S30</f>
        <v>96200</v>
      </c>
      <c r="D25" s="49">
        <f>V28*D7/S30</f>
        <v>96200</v>
      </c>
      <c r="E25" s="49">
        <f>V28*E7/S30</f>
        <v>96200</v>
      </c>
      <c r="F25" s="49">
        <f>V28*F7/S30</f>
        <v>96200</v>
      </c>
      <c r="G25" s="52">
        <f>S16</f>
        <v>232611.73474683019</v>
      </c>
      <c r="H25" s="9"/>
      <c r="I25" s="9"/>
      <c r="J25" s="9"/>
      <c r="K25" s="371" t="s">
        <v>238</v>
      </c>
      <c r="L25" s="344"/>
      <c r="M25" s="164">
        <v>8</v>
      </c>
      <c r="N25" s="164">
        <v>6</v>
      </c>
      <c r="O25" s="164">
        <v>2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27" t="s">
        <v>128</v>
      </c>
      <c r="B26" s="70">
        <f>V28*B8/S29</f>
        <v>62552.794065369082</v>
      </c>
      <c r="C26" s="70">
        <f>V28*C8/S30</f>
        <v>50195.952291284964</v>
      </c>
      <c r="D26" s="70">
        <f>V28*D8/S30</f>
        <v>50195.952291284964</v>
      </c>
      <c r="E26" s="70">
        <f>V28*E8/S30</f>
        <v>50195.952291284964</v>
      </c>
      <c r="F26" s="70">
        <f>V28*F8/S30</f>
        <v>50195.952291284964</v>
      </c>
      <c r="G26" s="76">
        <f>B8-(C8/S30)*S29-B26</f>
        <v>1056704.7577294272</v>
      </c>
      <c r="H26" s="9"/>
      <c r="I26" s="9"/>
      <c r="J26" s="9"/>
      <c r="K26" s="163"/>
      <c r="L26" s="163"/>
      <c r="M26" s="163"/>
      <c r="N26" s="163"/>
      <c r="O26" s="16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27" t="s">
        <v>139</v>
      </c>
      <c r="B27" s="167"/>
      <c r="C27" s="167"/>
      <c r="D27" s="167"/>
      <c r="E27" s="167"/>
      <c r="F27" s="167"/>
      <c r="G27" s="66"/>
      <c r="H27" s="9"/>
      <c r="I27" s="9"/>
      <c r="J27" s="9"/>
      <c r="K27" s="374" t="s">
        <v>239</v>
      </c>
      <c r="L27" s="344"/>
      <c r="M27" s="344"/>
      <c r="N27" s="344"/>
      <c r="O27" s="100">
        <v>0.87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27" t="s">
        <v>148</v>
      </c>
      <c r="B28" s="70">
        <f>V28*B10/S29</f>
        <v>309963.19997027179</v>
      </c>
      <c r="C28" s="70">
        <f>V28*C10/S30</f>
        <v>228833.68156156529</v>
      </c>
      <c r="D28" s="70">
        <f>V28*D10/S30</f>
        <v>228833.68156156529</v>
      </c>
      <c r="E28" s="70">
        <f>V28*E10/S30</f>
        <v>229093.10653847983</v>
      </c>
      <c r="F28" s="70">
        <f>V28*F10/S30</f>
        <v>229093.10653847983</v>
      </c>
      <c r="G28" s="168"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36" t="s">
        <v>240</v>
      </c>
      <c r="S28" s="19" t="s">
        <v>61</v>
      </c>
      <c r="T28" s="9"/>
      <c r="U28" s="36" t="s">
        <v>241</v>
      </c>
      <c r="V28" s="36">
        <v>3848</v>
      </c>
      <c r="W28" s="9"/>
      <c r="X28" s="9"/>
      <c r="Y28" s="9"/>
      <c r="Z28" s="9"/>
    </row>
    <row r="29" spans="1:26" ht="12.75" customHeight="1">
      <c r="A29" s="27" t="s">
        <v>152</v>
      </c>
      <c r="B29" s="70">
        <f>V28*B11/S29</f>
        <v>63288.78500734485</v>
      </c>
      <c r="C29" s="70">
        <f>V28*C11/S30</f>
        <v>53705.321118795211</v>
      </c>
      <c r="D29" s="70">
        <f>V28*D11/S30</f>
        <v>53705.321118795211</v>
      </c>
      <c r="E29" s="70">
        <f>V28*E11/S30</f>
        <v>53705.321118795211</v>
      </c>
      <c r="F29" s="70">
        <f>V28*F11/S30</f>
        <v>53705.321118795211</v>
      </c>
      <c r="G29" s="168"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36" t="s">
        <v>41</v>
      </c>
      <c r="S29" s="19">
        <v>348544</v>
      </c>
      <c r="T29" s="9"/>
      <c r="U29" s="9"/>
      <c r="V29" s="9"/>
      <c r="W29" s="9"/>
      <c r="X29" s="9"/>
      <c r="Y29" s="9"/>
      <c r="Z29" s="9"/>
    </row>
    <row r="30" spans="1:26" ht="12.75" customHeight="1">
      <c r="A30" s="27" t="s">
        <v>172</v>
      </c>
      <c r="B30" s="70">
        <f>V28*B12/S29</f>
        <v>40169.549038314013</v>
      </c>
      <c r="C30" s="70">
        <f>V28*C12/S30</f>
        <v>34086.900705227359</v>
      </c>
      <c r="D30" s="70">
        <f>V28*D12/S30</f>
        <v>34086.900705227359</v>
      </c>
      <c r="E30" s="70">
        <f>V28*E12/S30</f>
        <v>34086.900705227359</v>
      </c>
      <c r="F30" s="70">
        <f>V28*F12/S30</f>
        <v>34086.900705227359</v>
      </c>
      <c r="G30" s="76">
        <f>B12-(C12/S30)*S29-(C12/S30)*V28</f>
        <v>516866.99238400237</v>
      </c>
      <c r="H30" s="9"/>
      <c r="I30" s="9"/>
      <c r="J30" s="9"/>
      <c r="K30" s="92" t="s">
        <v>242</v>
      </c>
      <c r="L30" s="163"/>
      <c r="M30" s="163"/>
      <c r="N30" s="163"/>
      <c r="O30" s="163"/>
      <c r="P30" s="163"/>
      <c r="Q30" s="9"/>
      <c r="R30" s="36" t="s">
        <v>243</v>
      </c>
      <c r="S30" s="19">
        <v>472115</v>
      </c>
      <c r="T30" s="9"/>
      <c r="U30" s="9"/>
      <c r="V30" s="9"/>
      <c r="W30" s="9"/>
      <c r="X30" s="9"/>
      <c r="Y30" s="9"/>
      <c r="Z30" s="9"/>
    </row>
    <row r="31" spans="1:26" ht="12.75" customHeight="1">
      <c r="A31" s="27" t="s">
        <v>244</v>
      </c>
      <c r="B31" s="70">
        <f>V28*B13/S29</f>
        <v>4465.4401755422878</v>
      </c>
      <c r="C31" s="70">
        <f>V28*C13/S30</f>
        <v>3470.167851709215</v>
      </c>
      <c r="D31" s="70">
        <f>V28*D13/S30</f>
        <v>3470.167851709215</v>
      </c>
      <c r="E31" s="70">
        <f>V28*E13/S30</f>
        <v>3470.167851709215</v>
      </c>
      <c r="F31" s="70">
        <f>V28*F13/S30</f>
        <v>3470.167851709215</v>
      </c>
      <c r="G31" s="76">
        <f>B12-(C13/S30)*S29-(C13/S30)*V28</f>
        <v>3320685.0079029645</v>
      </c>
      <c r="H31" s="9"/>
      <c r="I31" s="9"/>
      <c r="J31" s="9"/>
      <c r="K31" s="163"/>
      <c r="L31" s="92" t="s">
        <v>245</v>
      </c>
      <c r="M31" s="169">
        <v>0.01</v>
      </c>
      <c r="N31" s="92" t="s">
        <v>246</v>
      </c>
      <c r="O31" s="92" t="s">
        <v>247</v>
      </c>
      <c r="P31" s="92" t="s">
        <v>248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27" t="s">
        <v>249</v>
      </c>
      <c r="B32" s="70">
        <f>V28*B14/S29</f>
        <v>88.140230501744398</v>
      </c>
      <c r="C32" s="70">
        <f>V28*C14/S30</f>
        <v>68.495239507323433</v>
      </c>
      <c r="D32" s="70">
        <f>V28*D14/S30</f>
        <v>68.495239507323433</v>
      </c>
      <c r="E32" s="70">
        <f>V28*E14/S30</f>
        <v>68.495239507323433</v>
      </c>
      <c r="F32" s="70">
        <f>V28*F14/S30</f>
        <v>68.495239507323433</v>
      </c>
      <c r="G32" s="76">
        <f>B12-(C14/S30)*S29-(C14/S30)*V28</f>
        <v>3632203.2550856695</v>
      </c>
      <c r="H32" s="9"/>
      <c r="I32" s="9"/>
      <c r="J32" s="9"/>
      <c r="K32" s="163"/>
      <c r="L32" s="92" t="s">
        <v>250</v>
      </c>
      <c r="M32" s="169">
        <v>0.01</v>
      </c>
      <c r="N32" s="92" t="s">
        <v>251</v>
      </c>
      <c r="O32" s="170">
        <v>0.15</v>
      </c>
      <c r="P32" s="170">
        <v>0.25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27" t="s">
        <v>252</v>
      </c>
      <c r="B33" s="70">
        <f>V28*B15/S29</f>
        <v>37553.180742746976</v>
      </c>
      <c r="C33" s="70">
        <f>V28*C15/S30</f>
        <v>27724.041449223179</v>
      </c>
      <c r="D33" s="70">
        <f>V28*D15/S30</f>
        <v>27724.041449223179</v>
      </c>
      <c r="E33" s="70">
        <f>V28*E15/S30</f>
        <v>27724.041449223179</v>
      </c>
      <c r="F33" s="70">
        <f>V28*F15/S30</f>
        <v>27724.041449223179</v>
      </c>
      <c r="G33" s="168">
        <v>0</v>
      </c>
      <c r="H33" s="9"/>
      <c r="I33" s="9"/>
      <c r="J33" s="9"/>
      <c r="K33" s="163"/>
      <c r="L33" s="92" t="s">
        <v>240</v>
      </c>
      <c r="M33" s="169">
        <v>0.01</v>
      </c>
      <c r="N33" s="163"/>
      <c r="O33" s="163"/>
      <c r="P33" s="163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27" t="s">
        <v>253</v>
      </c>
      <c r="B34" s="70">
        <f>V28*B16/S29</f>
        <v>40542.551889185983</v>
      </c>
      <c r="C34" s="70">
        <f>V28*C16/S30</f>
        <v>32622.78097434263</v>
      </c>
      <c r="D34" s="70">
        <f>V28*D16/S30</f>
        <v>32622.78097434263</v>
      </c>
      <c r="E34" s="70">
        <f>V28*E16/S30</f>
        <v>32639.903022818988</v>
      </c>
      <c r="F34" s="28">
        <f>V28*F16/S30</f>
        <v>32639.903022818988</v>
      </c>
      <c r="G34" s="168">
        <v>0</v>
      </c>
      <c r="H34" s="9"/>
      <c r="I34" s="9"/>
      <c r="J34" s="9"/>
      <c r="K34" s="163"/>
      <c r="L34" s="92" t="s">
        <v>254</v>
      </c>
      <c r="M34" s="169">
        <v>0.02</v>
      </c>
      <c r="N34" s="163"/>
      <c r="O34" s="163"/>
      <c r="P34" s="163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>
      <c r="A35" s="105" t="s">
        <v>255</v>
      </c>
      <c r="B35" s="171">
        <f t="shared" ref="B35:G35" si="6">SUM(B25:B34)</f>
        <v>654823.64111927687</v>
      </c>
      <c r="C35" s="171">
        <f t="shared" si="6"/>
        <v>526907.34119165526</v>
      </c>
      <c r="D35" s="171">
        <f t="shared" si="6"/>
        <v>526907.34119165526</v>
      </c>
      <c r="E35" s="171">
        <f t="shared" si="6"/>
        <v>527183.88821704616</v>
      </c>
      <c r="F35" s="171">
        <f t="shared" si="6"/>
        <v>527183.88821704616</v>
      </c>
      <c r="G35" s="171">
        <f t="shared" si="6"/>
        <v>8759071.7478488944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>
      <c r="A36" s="47"/>
      <c r="B36" s="172"/>
      <c r="C36" s="172"/>
      <c r="D36" s="172"/>
      <c r="E36" s="172"/>
      <c r="F36" s="172"/>
      <c r="G36" s="172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110"/>
      <c r="B37" s="173" t="s">
        <v>256</v>
      </c>
      <c r="C37" s="173"/>
      <c r="D37" s="173"/>
      <c r="E37" s="173"/>
      <c r="F37" s="174"/>
      <c r="G37" s="9"/>
      <c r="H37" s="9"/>
      <c r="I37" s="9"/>
      <c r="J37" s="9"/>
      <c r="K37" s="175" t="s">
        <v>257</v>
      </c>
      <c r="L37" s="176" t="s">
        <v>64</v>
      </c>
      <c r="M37" s="176" t="s">
        <v>258</v>
      </c>
      <c r="N37" s="176" t="s">
        <v>259</v>
      </c>
      <c r="O37" s="176" t="s">
        <v>260</v>
      </c>
      <c r="P37" s="375" t="s">
        <v>261</v>
      </c>
      <c r="Q37" s="376"/>
      <c r="R37" s="176" t="s">
        <v>262</v>
      </c>
      <c r="S37" s="91" t="s">
        <v>263</v>
      </c>
      <c r="T37" s="9"/>
      <c r="U37" s="9"/>
      <c r="V37" s="9"/>
      <c r="W37" s="9"/>
      <c r="X37" s="9"/>
      <c r="Y37" s="9"/>
      <c r="Z37" s="9"/>
    </row>
    <row r="38" spans="1:26" ht="13.5" customHeight="1">
      <c r="A38" s="105"/>
      <c r="B38" s="160" t="s">
        <v>41</v>
      </c>
      <c r="C38" s="160" t="s">
        <v>56</v>
      </c>
      <c r="D38" s="160" t="s">
        <v>57</v>
      </c>
      <c r="E38" s="160" t="s">
        <v>58</v>
      </c>
      <c r="F38" s="15" t="s">
        <v>59</v>
      </c>
      <c r="K38" s="177" t="s">
        <v>264</v>
      </c>
      <c r="L38" s="166">
        <v>2.7</v>
      </c>
      <c r="M38" s="166">
        <v>84458</v>
      </c>
      <c r="N38" s="166" t="s">
        <v>265</v>
      </c>
      <c r="O38" s="166">
        <v>56.9</v>
      </c>
      <c r="P38" s="377">
        <v>0.95</v>
      </c>
      <c r="Q38" s="344"/>
      <c r="R38" s="178">
        <v>0.84</v>
      </c>
      <c r="S38" s="179">
        <v>50000</v>
      </c>
      <c r="T38" s="9"/>
      <c r="U38" s="9"/>
      <c r="V38" s="9"/>
      <c r="W38" s="9"/>
      <c r="X38" s="9"/>
      <c r="Y38" s="9"/>
      <c r="Z38" s="9"/>
    </row>
    <row r="39" spans="1:26" ht="13.5" customHeight="1">
      <c r="A39" s="121" t="s">
        <v>215</v>
      </c>
      <c r="B39" s="49">
        <f t="shared" ref="B39:F39" si="7">B17</f>
        <v>59312591.260467045</v>
      </c>
      <c r="C39" s="49">
        <f t="shared" si="7"/>
        <v>64646792.979911193</v>
      </c>
      <c r="D39" s="49">
        <f t="shared" si="7"/>
        <v>64646792.979911193</v>
      </c>
      <c r="E39" s="49">
        <f t="shared" si="7"/>
        <v>64680722.813303195</v>
      </c>
      <c r="F39" s="49">
        <f t="shared" si="7"/>
        <v>64680722.813303195</v>
      </c>
      <c r="K39" s="97" t="s">
        <v>266</v>
      </c>
      <c r="L39" s="180">
        <v>2.67</v>
      </c>
      <c r="M39" s="180">
        <v>30</v>
      </c>
      <c r="N39" s="180" t="s">
        <v>267</v>
      </c>
      <c r="O39" s="180">
        <v>623.54999999999995</v>
      </c>
      <c r="P39" s="378">
        <v>0.95</v>
      </c>
      <c r="Q39" s="373"/>
      <c r="R39" s="181">
        <v>1</v>
      </c>
      <c r="S39" s="182"/>
      <c r="T39" s="9"/>
      <c r="U39" s="9"/>
      <c r="V39" s="9"/>
      <c r="W39" s="9"/>
      <c r="X39" s="9"/>
      <c r="Y39" s="9"/>
      <c r="Z39" s="9"/>
    </row>
    <row r="40" spans="1:26" ht="12.75" customHeight="1">
      <c r="A40" s="27" t="s">
        <v>268</v>
      </c>
      <c r="B40" s="65"/>
      <c r="C40" s="65"/>
      <c r="D40" s="65"/>
      <c r="E40" s="65"/>
      <c r="F40" s="6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27" t="s">
        <v>269</v>
      </c>
      <c r="B41" s="70">
        <f>G35</f>
        <v>8759071.7478488944</v>
      </c>
      <c r="C41" s="70"/>
      <c r="D41" s="70"/>
      <c r="E41" s="70"/>
      <c r="F41" s="124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27" t="s">
        <v>270</v>
      </c>
      <c r="B42" s="70">
        <f>B35</f>
        <v>654823.64111927687</v>
      </c>
      <c r="C42" s="70">
        <f t="shared" ref="C42:F42" si="8">B35-C35</f>
        <v>127916.29992762161</v>
      </c>
      <c r="D42" s="70">
        <f t="shared" si="8"/>
        <v>0</v>
      </c>
      <c r="E42" s="70">
        <f t="shared" si="8"/>
        <v>-276.54702539090067</v>
      </c>
      <c r="F42" s="76">
        <f t="shared" si="8"/>
        <v>0</v>
      </c>
      <c r="K42" s="379" t="s">
        <v>271</v>
      </c>
      <c r="L42" s="376"/>
      <c r="M42" s="90" t="s">
        <v>4</v>
      </c>
      <c r="N42" s="91" t="s">
        <v>272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25" t="s">
        <v>273</v>
      </c>
      <c r="B43" s="70">
        <f>B39-B41-B42</f>
        <v>49898695.871498875</v>
      </c>
      <c r="C43" s="70">
        <f t="shared" ref="C43:F43" si="9">C39+C42</f>
        <v>64774709.279838815</v>
      </c>
      <c r="D43" s="70">
        <f t="shared" si="9"/>
        <v>64646792.979911193</v>
      </c>
      <c r="E43" s="70">
        <f t="shared" si="9"/>
        <v>64680446.266277805</v>
      </c>
      <c r="F43" s="70">
        <f t="shared" si="9"/>
        <v>64680722.813303195</v>
      </c>
      <c r="K43" s="369" t="s">
        <v>274</v>
      </c>
      <c r="L43" s="344"/>
      <c r="M43" s="183">
        <v>8.0000000000000002E-3</v>
      </c>
      <c r="N43" s="127">
        <v>0.8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44" t="s">
        <v>275</v>
      </c>
      <c r="B44" s="184">
        <f>B43/S29</f>
        <v>143.16326165849614</v>
      </c>
      <c r="C44" s="184">
        <f>C43/S30</f>
        <v>137.20112531870163</v>
      </c>
      <c r="D44" s="184">
        <f>D43/S30</f>
        <v>136.93018222236361</v>
      </c>
      <c r="E44" s="184">
        <f>E43/S30</f>
        <v>137.00146419045743</v>
      </c>
      <c r="F44" s="185">
        <f>F43/S30</f>
        <v>137.0020499524548</v>
      </c>
      <c r="K44" s="372" t="s">
        <v>276</v>
      </c>
      <c r="L44" s="373"/>
      <c r="M44" s="186">
        <v>0.01</v>
      </c>
      <c r="N44" s="99">
        <v>0.8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44"/>
      <c r="B45" s="184"/>
      <c r="C45" s="184"/>
      <c r="D45" s="184"/>
      <c r="E45" s="184"/>
      <c r="F45" s="185"/>
      <c r="K45" s="380"/>
      <c r="L45" s="344"/>
      <c r="M45" s="169"/>
      <c r="N45" s="125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144" t="s">
        <v>223</v>
      </c>
      <c r="B46" s="146">
        <f t="shared" ref="B46:F46" si="10">SUM(B10:B16)/B17</f>
        <v>0.75756404610863448</v>
      </c>
      <c r="C46" s="146">
        <f t="shared" si="10"/>
        <v>0.72215996846770925</v>
      </c>
      <c r="D46" s="146">
        <f t="shared" si="10"/>
        <v>0.72215996846770925</v>
      </c>
      <c r="E46" s="146">
        <f t="shared" si="10"/>
        <v>0.72230571615835781</v>
      </c>
      <c r="F46" s="146">
        <f t="shared" si="10"/>
        <v>0.72230571615835781</v>
      </c>
      <c r="K46" s="163"/>
      <c r="L46" s="92"/>
      <c r="M46" s="125"/>
      <c r="N46" s="163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105" t="s">
        <v>225</v>
      </c>
      <c r="B47" s="151">
        <f t="shared" ref="B47:F47" si="11">(B7+B8)/B17</f>
        <v>0.24243595389136557</v>
      </c>
      <c r="C47" s="151">
        <f t="shared" si="11"/>
        <v>0.27784003153229075</v>
      </c>
      <c r="D47" s="151">
        <f t="shared" si="11"/>
        <v>0.27784003153229075</v>
      </c>
      <c r="E47" s="151">
        <f t="shared" si="11"/>
        <v>0.27769428384164219</v>
      </c>
      <c r="F47" s="151">
        <f t="shared" si="11"/>
        <v>0.27769428384164219</v>
      </c>
      <c r="G47" s="172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5" customHeight="1">
      <c r="A48" s="9"/>
      <c r="B48" s="9"/>
      <c r="C48" s="9"/>
      <c r="D48" s="9"/>
      <c r="E48" s="9"/>
      <c r="F48" s="9"/>
      <c r="G48" s="9"/>
      <c r="H48" s="9"/>
      <c r="I48" s="36" t="s">
        <v>277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3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102"/>
      <c r="B50" s="103" t="s">
        <v>278</v>
      </c>
      <c r="C50" s="103"/>
      <c r="D50" s="103"/>
      <c r="E50" s="103"/>
      <c r="F50" s="157"/>
      <c r="G50" s="9"/>
      <c r="H50" s="9"/>
      <c r="I50" s="379" t="s">
        <v>279</v>
      </c>
      <c r="J50" s="376"/>
      <c r="K50" s="176" t="s">
        <v>280</v>
      </c>
      <c r="L50" s="176" t="s">
        <v>168</v>
      </c>
      <c r="M50" s="176" t="s">
        <v>184</v>
      </c>
      <c r="N50" s="187" t="s">
        <v>198</v>
      </c>
      <c r="O50" s="163"/>
      <c r="P50" s="163"/>
      <c r="Q50" s="163"/>
      <c r="R50" s="163"/>
      <c r="S50" s="163"/>
      <c r="T50" s="163"/>
      <c r="U50" s="163"/>
      <c r="V50" s="163"/>
      <c r="W50" s="9"/>
      <c r="X50" s="9"/>
      <c r="Y50" s="9"/>
      <c r="Z50" s="9"/>
    </row>
    <row r="51" spans="1:26" ht="13.5" customHeight="1">
      <c r="A51" s="188" t="s">
        <v>99</v>
      </c>
      <c r="B51" s="14" t="s">
        <v>41</v>
      </c>
      <c r="C51" s="14" t="s">
        <v>56</v>
      </c>
      <c r="D51" s="14" t="s">
        <v>57</v>
      </c>
      <c r="E51" s="14" t="s">
        <v>58</v>
      </c>
      <c r="F51" s="15" t="s">
        <v>59</v>
      </c>
      <c r="G51" s="9"/>
      <c r="H51" s="9"/>
      <c r="I51" s="369" t="s">
        <v>204</v>
      </c>
      <c r="J51" s="344"/>
      <c r="K51" s="164">
        <v>100000</v>
      </c>
      <c r="L51" s="164">
        <v>0.5</v>
      </c>
      <c r="M51" s="164">
        <v>0.3</v>
      </c>
      <c r="N51" s="179">
        <f t="shared" ref="N51:N55" si="12">K51*(1+L51)*M51*13</f>
        <v>585000</v>
      </c>
      <c r="O51" s="163"/>
      <c r="P51" s="82" t="s">
        <v>281</v>
      </c>
      <c r="Q51" s="189">
        <v>0.01</v>
      </c>
      <c r="R51" s="163"/>
      <c r="S51" s="163"/>
      <c r="T51" s="163"/>
      <c r="U51" s="163"/>
      <c r="V51" s="163"/>
      <c r="W51" s="9"/>
      <c r="X51" s="9"/>
      <c r="Y51" s="9"/>
      <c r="Z51" s="9"/>
    </row>
    <row r="52" spans="1:26" ht="13.5" customHeight="1">
      <c r="A52" s="155" t="s">
        <v>254</v>
      </c>
      <c r="B52" s="190">
        <f>C52*O67</f>
        <v>4848187.5</v>
      </c>
      <c r="C52" s="190">
        <f>N51+N52+N53+N54+N55</f>
        <v>5386875</v>
      </c>
      <c r="D52" s="190">
        <f t="shared" ref="D52:D55" si="13">C52</f>
        <v>5386875</v>
      </c>
      <c r="E52" s="190">
        <f>C52</f>
        <v>5386875</v>
      </c>
      <c r="F52" s="191">
        <f>C52</f>
        <v>5386875</v>
      </c>
      <c r="G52" s="9"/>
      <c r="H52" s="9"/>
      <c r="I52" s="369" t="s">
        <v>282</v>
      </c>
      <c r="J52" s="344"/>
      <c r="K52" s="164">
        <v>60000</v>
      </c>
      <c r="L52" s="164">
        <v>0.5</v>
      </c>
      <c r="M52" s="164">
        <v>1</v>
      </c>
      <c r="N52" s="179">
        <f t="shared" si="12"/>
        <v>1170000</v>
      </c>
      <c r="O52" s="163"/>
      <c r="P52" s="177" t="s">
        <v>283</v>
      </c>
      <c r="Q52" s="192">
        <v>0.04</v>
      </c>
      <c r="R52" s="163"/>
      <c r="S52" s="163"/>
      <c r="T52" s="163"/>
      <c r="U52" s="163"/>
      <c r="V52" s="163"/>
      <c r="W52" s="9"/>
      <c r="X52" s="9"/>
      <c r="Y52" s="9"/>
      <c r="Z52" s="9"/>
    </row>
    <row r="53" spans="1:26" ht="12.75" customHeight="1">
      <c r="A53" s="27" t="s">
        <v>284</v>
      </c>
      <c r="B53" s="70">
        <f>C53</f>
        <v>1559590.9581918225</v>
      </c>
      <c r="C53" s="70">
        <f>('E-Inv AF y Am'!D71-'E-Inv AF y Am'!D65)*O68</f>
        <v>1559590.9581918225</v>
      </c>
      <c r="D53" s="70">
        <f t="shared" si="13"/>
        <v>1559590.9581918225</v>
      </c>
      <c r="E53" s="70">
        <f>'E-Inv AF y Am'!E71*O68</f>
        <v>1561536.9021918224</v>
      </c>
      <c r="F53" s="124">
        <f>E53</f>
        <v>1561536.9021918224</v>
      </c>
      <c r="G53" s="9"/>
      <c r="H53" s="9"/>
      <c r="I53" s="369" t="s">
        <v>285</v>
      </c>
      <c r="J53" s="344"/>
      <c r="K53" s="164">
        <v>45000</v>
      </c>
      <c r="L53" s="164">
        <v>0.5</v>
      </c>
      <c r="M53" s="164">
        <v>1</v>
      </c>
      <c r="N53" s="179">
        <f t="shared" si="12"/>
        <v>877500</v>
      </c>
      <c r="O53" s="163"/>
      <c r="P53" s="177" t="s">
        <v>286</v>
      </c>
      <c r="Q53" s="193">
        <v>7.4999999999999997E-3</v>
      </c>
      <c r="R53" s="163"/>
      <c r="S53" s="163"/>
      <c r="T53" s="163"/>
      <c r="U53" s="163"/>
      <c r="V53" s="163"/>
      <c r="W53" s="9"/>
      <c r="X53" s="9"/>
      <c r="Y53" s="9"/>
      <c r="Z53" s="9"/>
    </row>
    <row r="54" spans="1:26" ht="12.75" customHeight="1">
      <c r="A54" s="27" t="s">
        <v>172</v>
      </c>
      <c r="B54" s="70">
        <f t="shared" ref="B54:B55" si="14">C54*O69</f>
        <v>689772.9978508011</v>
      </c>
      <c r="C54" s="70">
        <f>('E-Inv AF y Am'!B66-'E-Inv AF y Am'!B65)*Q51*Q52+Q53*(C43+D43+E43+F43)/4+C52*Q54</f>
        <v>766414.44205644564</v>
      </c>
      <c r="D54" s="70">
        <f t="shared" si="13"/>
        <v>766414.44205644564</v>
      </c>
      <c r="E54" s="70">
        <f t="shared" ref="E54:E55" si="15">C54</f>
        <v>766414.44205644564</v>
      </c>
      <c r="F54" s="76">
        <f t="shared" ref="F54:F55" si="16">C54</f>
        <v>766414.44205644564</v>
      </c>
      <c r="G54" s="9"/>
      <c r="H54" s="9"/>
      <c r="I54" s="369" t="s">
        <v>287</v>
      </c>
      <c r="J54" s="344"/>
      <c r="K54" s="164">
        <v>27000</v>
      </c>
      <c r="L54" s="164">
        <v>0.5</v>
      </c>
      <c r="M54" s="164">
        <v>5</v>
      </c>
      <c r="N54" s="179">
        <f t="shared" si="12"/>
        <v>2632500</v>
      </c>
      <c r="O54" s="163"/>
      <c r="P54" s="97" t="s">
        <v>288</v>
      </c>
      <c r="Q54" s="194">
        <v>0.02</v>
      </c>
      <c r="R54" s="163"/>
      <c r="S54" s="163"/>
      <c r="T54" s="163"/>
      <c r="U54" s="163"/>
      <c r="V54" s="163"/>
      <c r="W54" s="9"/>
      <c r="X54" s="9"/>
      <c r="Y54" s="9"/>
      <c r="Z54" s="9"/>
    </row>
    <row r="55" spans="1:26" ht="12.75" customHeight="1">
      <c r="A55" s="27" t="s">
        <v>264</v>
      </c>
      <c r="B55" s="70">
        <f t="shared" si="14"/>
        <v>34135.106897440426</v>
      </c>
      <c r="C55" s="70">
        <f>C13*((M38*O71*4*6/1000*8+O38)/(M38*R38*4*6/1000*8+O38))</f>
        <v>37103.377062435247</v>
      </c>
      <c r="D55" s="70">
        <f t="shared" si="13"/>
        <v>37103.377062435247</v>
      </c>
      <c r="E55" s="70">
        <f t="shared" si="15"/>
        <v>37103.377062435247</v>
      </c>
      <c r="F55" s="76">
        <f t="shared" si="16"/>
        <v>37103.377062435247</v>
      </c>
      <c r="G55" s="9"/>
      <c r="H55" s="9"/>
      <c r="I55" s="382" t="s">
        <v>230</v>
      </c>
      <c r="J55" s="373"/>
      <c r="K55" s="180">
        <v>25000</v>
      </c>
      <c r="L55" s="180">
        <v>0.5</v>
      </c>
      <c r="M55" s="180">
        <v>0.25</v>
      </c>
      <c r="N55" s="195">
        <f t="shared" si="12"/>
        <v>121875</v>
      </c>
      <c r="O55" s="163"/>
      <c r="P55" s="163"/>
      <c r="Q55" s="163"/>
      <c r="R55" s="163"/>
      <c r="S55" s="163"/>
      <c r="T55" s="163"/>
      <c r="U55" s="163"/>
      <c r="V55" s="163"/>
      <c r="W55" s="9"/>
      <c r="X55" s="9"/>
      <c r="Y55" s="9"/>
      <c r="Z55" s="9"/>
    </row>
    <row r="56" spans="1:26" ht="12.75" customHeight="1">
      <c r="A56" s="27" t="s">
        <v>289</v>
      </c>
      <c r="B56" s="70"/>
      <c r="C56" s="70"/>
      <c r="D56" s="70"/>
      <c r="E56" s="70"/>
      <c r="F56" s="76"/>
      <c r="G56" s="9"/>
      <c r="H56" s="9"/>
      <c r="I56" s="163"/>
      <c r="J56" s="163"/>
      <c r="K56" s="163"/>
      <c r="L56" s="163"/>
      <c r="M56" s="163"/>
      <c r="N56" s="163"/>
      <c r="O56" s="163"/>
      <c r="P56" s="374" t="s">
        <v>290</v>
      </c>
      <c r="Q56" s="344"/>
      <c r="R56" s="163"/>
      <c r="S56" s="163"/>
      <c r="T56" s="163"/>
      <c r="U56" s="163"/>
      <c r="V56" s="163"/>
      <c r="W56" s="9"/>
      <c r="X56" s="9"/>
      <c r="Y56" s="9"/>
      <c r="Z56" s="9"/>
    </row>
    <row r="57" spans="1:26" ht="12.75" customHeight="1">
      <c r="A57" s="27" t="s">
        <v>291</v>
      </c>
      <c r="B57" s="70">
        <f>Q58+Q59+Q60+Q61</f>
        <v>590000</v>
      </c>
      <c r="C57" s="70">
        <f t="shared" ref="C57:C58" si="17">B57</f>
        <v>590000</v>
      </c>
      <c r="D57" s="70">
        <f t="shared" ref="D57:D58" si="18">B57</f>
        <v>590000</v>
      </c>
      <c r="E57" s="70">
        <f t="shared" ref="E57:E58" si="19">B57</f>
        <v>590000</v>
      </c>
      <c r="F57" s="76">
        <f t="shared" ref="F57:F58" si="20">B57</f>
        <v>590000</v>
      </c>
      <c r="G57" s="9"/>
      <c r="H57" s="9"/>
      <c r="I57" s="380" t="s">
        <v>292</v>
      </c>
      <c r="J57" s="344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9"/>
      <c r="X57" s="9"/>
      <c r="Y57" s="9"/>
      <c r="Z57" s="9"/>
    </row>
    <row r="58" spans="1:26" ht="12.75" customHeight="1">
      <c r="A58" s="27" t="s">
        <v>200</v>
      </c>
      <c r="B58" s="70">
        <f>('E-Inv AF y Am'!B7+'E-Inv AF y Am'!B9)*M43*T70+('E-Inv AF y Am'!B7+'E-Inv AF y Am'!B9)*M44*T71+0.0005*Q76+T73*Q76</f>
        <v>6716118.7000000002</v>
      </c>
      <c r="C58" s="70">
        <f t="shared" si="17"/>
        <v>6716118.7000000002</v>
      </c>
      <c r="D58" s="70">
        <f t="shared" si="18"/>
        <v>6716118.7000000002</v>
      </c>
      <c r="E58" s="70">
        <f t="shared" si="19"/>
        <v>6716118.7000000002</v>
      </c>
      <c r="F58" s="76">
        <f t="shared" si="20"/>
        <v>6716118.7000000002</v>
      </c>
      <c r="G58" s="9"/>
      <c r="H58" s="9"/>
      <c r="I58" s="163"/>
      <c r="J58" s="163"/>
      <c r="K58" s="163"/>
      <c r="L58" s="163"/>
      <c r="M58" s="163"/>
      <c r="N58" s="163"/>
      <c r="O58" s="163"/>
      <c r="P58" s="82" t="s">
        <v>293</v>
      </c>
      <c r="Q58" s="196">
        <v>220000</v>
      </c>
      <c r="R58" s="164"/>
      <c r="S58" s="163"/>
      <c r="T58" s="163"/>
      <c r="U58" s="163"/>
      <c r="V58" s="163"/>
      <c r="W58" s="9"/>
      <c r="X58" s="9"/>
      <c r="Y58" s="9"/>
      <c r="Z58" s="9"/>
    </row>
    <row r="59" spans="1:26" ht="12.75" customHeight="1">
      <c r="A59" s="27" t="s">
        <v>92</v>
      </c>
      <c r="B59" s="108">
        <f>S24*(B52+B53+B54+B55+B56+B57+B58)</f>
        <v>952895.14735404425</v>
      </c>
      <c r="C59" s="70">
        <f>S24*(C52+C53+C54+C55+C56+C57+C58)</f>
        <v>993702.76350250642</v>
      </c>
      <c r="D59" s="70">
        <f>S24*(D52+D53+D54+D55+D56+D57+D58)</f>
        <v>993702.76350250642</v>
      </c>
      <c r="E59" s="70">
        <f>S24*(E52+E53+E54+E55+E56+E57+E58)</f>
        <v>993831.19580650656</v>
      </c>
      <c r="F59" s="76">
        <f>S24*(F52+F53+F54+F55+F56+F57+F58)</f>
        <v>993831.19580650656</v>
      </c>
      <c r="G59" s="9"/>
      <c r="H59" s="9"/>
      <c r="I59" s="379" t="s">
        <v>279</v>
      </c>
      <c r="J59" s="376"/>
      <c r="K59" s="90" t="s">
        <v>280</v>
      </c>
      <c r="L59" s="90" t="s">
        <v>168</v>
      </c>
      <c r="M59" s="90" t="s">
        <v>184</v>
      </c>
      <c r="N59" s="91" t="s">
        <v>198</v>
      </c>
      <c r="O59" s="163"/>
      <c r="P59" s="177" t="s">
        <v>294</v>
      </c>
      <c r="Q59" s="127">
        <v>180000</v>
      </c>
      <c r="R59" s="164"/>
      <c r="S59" s="163"/>
      <c r="T59" s="163"/>
      <c r="U59" s="163"/>
      <c r="V59" s="163"/>
      <c r="W59" s="9"/>
      <c r="X59" s="9"/>
      <c r="Y59" s="9"/>
      <c r="Z59" s="9"/>
    </row>
    <row r="60" spans="1:26" ht="12.75" customHeight="1">
      <c r="A60" s="27"/>
      <c r="B60" s="138"/>
      <c r="C60" s="138"/>
      <c r="D60" s="138"/>
      <c r="E60" s="138"/>
      <c r="F60" s="197"/>
      <c r="G60" s="9"/>
      <c r="H60" s="9"/>
      <c r="I60" s="369" t="s">
        <v>204</v>
      </c>
      <c r="J60" s="344"/>
      <c r="K60" s="164">
        <v>100000</v>
      </c>
      <c r="L60" s="164">
        <v>0.5</v>
      </c>
      <c r="M60" s="164">
        <v>0.3</v>
      </c>
      <c r="N60" s="179">
        <f t="shared" ref="N60:N65" si="21">K60*(1+L60)*M60*13</f>
        <v>585000</v>
      </c>
      <c r="O60" s="163"/>
      <c r="P60" s="177" t="s">
        <v>295</v>
      </c>
      <c r="Q60" s="127">
        <v>70000</v>
      </c>
      <c r="R60" s="164"/>
      <c r="S60" s="163"/>
      <c r="T60" s="163"/>
      <c r="U60" s="163"/>
      <c r="V60" s="163"/>
      <c r="W60" s="9"/>
      <c r="X60" s="9"/>
      <c r="Y60" s="9"/>
      <c r="Z60" s="9"/>
    </row>
    <row r="61" spans="1:26" ht="12.75" customHeight="1">
      <c r="A61" s="25" t="s">
        <v>296</v>
      </c>
      <c r="B61" s="70">
        <f t="shared" ref="B61:F61" si="22">SUM(B52:B59)</f>
        <v>15390700.410294108</v>
      </c>
      <c r="C61" s="70">
        <f t="shared" si="22"/>
        <v>16049805.240813209</v>
      </c>
      <c r="D61" s="70">
        <f t="shared" si="22"/>
        <v>16049805.240813209</v>
      </c>
      <c r="E61" s="70">
        <f t="shared" si="22"/>
        <v>16051879.617117211</v>
      </c>
      <c r="F61" s="70">
        <f t="shared" si="22"/>
        <v>16051879.617117211</v>
      </c>
      <c r="G61" s="9"/>
      <c r="H61" s="9"/>
      <c r="I61" s="369" t="s">
        <v>224</v>
      </c>
      <c r="J61" s="344"/>
      <c r="K61" s="166">
        <v>50000</v>
      </c>
      <c r="L61" s="164">
        <v>0.5</v>
      </c>
      <c r="M61" s="164">
        <v>1</v>
      </c>
      <c r="N61" s="179">
        <f t="shared" si="21"/>
        <v>975000</v>
      </c>
      <c r="O61" s="163"/>
      <c r="P61" s="97" t="s">
        <v>297</v>
      </c>
      <c r="Q61" s="99">
        <v>120000</v>
      </c>
      <c r="R61" s="163"/>
      <c r="S61" s="163"/>
      <c r="T61" s="163"/>
      <c r="U61" s="163"/>
      <c r="V61" s="163"/>
      <c r="W61" s="9"/>
      <c r="X61" s="9"/>
      <c r="Y61" s="9"/>
      <c r="Z61" s="9"/>
    </row>
    <row r="62" spans="1:26" ht="12.75" customHeight="1">
      <c r="A62" s="25"/>
      <c r="B62" s="70"/>
      <c r="C62" s="70"/>
      <c r="D62" s="70"/>
      <c r="E62" s="70"/>
      <c r="F62" s="76"/>
      <c r="G62" s="172"/>
      <c r="H62" s="9"/>
      <c r="I62" s="369" t="s">
        <v>227</v>
      </c>
      <c r="J62" s="344"/>
      <c r="K62" s="166">
        <v>50000</v>
      </c>
      <c r="L62" s="164">
        <v>0.5</v>
      </c>
      <c r="M62" s="164">
        <v>1</v>
      </c>
      <c r="N62" s="179">
        <f t="shared" si="21"/>
        <v>975000</v>
      </c>
      <c r="O62" s="163"/>
      <c r="R62" s="163"/>
      <c r="S62" s="163"/>
      <c r="T62" s="163"/>
      <c r="U62" s="163"/>
      <c r="V62" s="163"/>
      <c r="W62" s="9"/>
      <c r="X62" s="9"/>
      <c r="Y62" s="9"/>
      <c r="Z62" s="9"/>
    </row>
    <row r="63" spans="1:26" ht="12.75" customHeight="1">
      <c r="A63" s="144" t="s">
        <v>223</v>
      </c>
      <c r="B63" s="198">
        <v>1</v>
      </c>
      <c r="C63" s="198">
        <v>1</v>
      </c>
      <c r="D63" s="198">
        <v>1</v>
      </c>
      <c r="E63" s="198">
        <v>1</v>
      </c>
      <c r="F63" s="199">
        <v>1</v>
      </c>
      <c r="G63" s="172"/>
      <c r="H63" s="9"/>
      <c r="I63" s="369" t="s">
        <v>298</v>
      </c>
      <c r="J63" s="344"/>
      <c r="K63" s="164">
        <v>25000</v>
      </c>
      <c r="L63" s="164">
        <v>0.5</v>
      </c>
      <c r="M63" s="164">
        <v>4</v>
      </c>
      <c r="N63" s="179">
        <f t="shared" si="21"/>
        <v>1950000</v>
      </c>
      <c r="O63" s="163"/>
      <c r="R63" s="163"/>
      <c r="S63" s="163"/>
      <c r="T63" s="163"/>
      <c r="U63" s="163"/>
      <c r="V63" s="163"/>
      <c r="W63" s="9"/>
      <c r="X63" s="9"/>
      <c r="Y63" s="9"/>
      <c r="Z63" s="9"/>
    </row>
    <row r="64" spans="1:26" ht="13.5" customHeight="1">
      <c r="A64" s="105" t="s">
        <v>225</v>
      </c>
      <c r="B64" s="200">
        <v>0</v>
      </c>
      <c r="C64" s="200">
        <v>0</v>
      </c>
      <c r="D64" s="200">
        <v>0</v>
      </c>
      <c r="E64" s="200">
        <v>0</v>
      </c>
      <c r="F64" s="201">
        <v>0</v>
      </c>
      <c r="G64" s="172"/>
      <c r="H64" s="9"/>
      <c r="I64" s="369" t="s">
        <v>299</v>
      </c>
      <c r="J64" s="344"/>
      <c r="K64" s="164">
        <v>25000</v>
      </c>
      <c r="L64" s="164">
        <v>0.5</v>
      </c>
      <c r="M64" s="164">
        <v>3</v>
      </c>
      <c r="N64" s="179">
        <f t="shared" si="21"/>
        <v>1462500</v>
      </c>
      <c r="O64" s="163"/>
      <c r="R64" s="163"/>
      <c r="S64" s="163"/>
      <c r="T64" s="163"/>
      <c r="U64" s="163"/>
      <c r="V64" s="163"/>
      <c r="W64" s="9"/>
      <c r="X64" s="9"/>
      <c r="Y64" s="9"/>
      <c r="Z64" s="9"/>
    </row>
    <row r="65" spans="1:26" ht="13.5" customHeight="1">
      <c r="A65" s="9"/>
      <c r="B65" s="9"/>
      <c r="C65" s="9"/>
      <c r="D65" s="9"/>
      <c r="E65" s="9"/>
      <c r="F65" s="9"/>
      <c r="G65" s="9"/>
      <c r="H65" s="9"/>
      <c r="I65" s="382" t="s">
        <v>230</v>
      </c>
      <c r="J65" s="373"/>
      <c r="K65" s="180">
        <v>25000</v>
      </c>
      <c r="L65" s="180">
        <v>0.5</v>
      </c>
      <c r="M65" s="180">
        <v>0.25</v>
      </c>
      <c r="N65" s="195">
        <f t="shared" si="21"/>
        <v>121875</v>
      </c>
      <c r="O65" s="163"/>
      <c r="R65" s="163"/>
      <c r="S65" s="163"/>
      <c r="T65" s="163"/>
      <c r="U65" s="163"/>
      <c r="V65" s="163"/>
      <c r="W65" s="9"/>
      <c r="X65" s="9"/>
      <c r="Y65" s="9"/>
      <c r="Z65" s="9"/>
    </row>
    <row r="66" spans="1:26" ht="13.5" customHeight="1">
      <c r="A66" s="9"/>
      <c r="B66" s="9"/>
      <c r="C66" s="9"/>
      <c r="D66" s="9"/>
      <c r="E66" s="9"/>
      <c r="F66" s="9"/>
      <c r="G66" s="9"/>
      <c r="H66" s="9"/>
      <c r="I66" s="163"/>
      <c r="J66" s="163"/>
      <c r="K66" s="163"/>
      <c r="L66" s="163"/>
      <c r="M66" s="163"/>
      <c r="N66" s="163"/>
      <c r="O66" s="163"/>
      <c r="R66" s="163"/>
      <c r="S66" s="163"/>
      <c r="T66" s="163"/>
      <c r="U66" s="163"/>
      <c r="V66" s="163"/>
      <c r="W66" s="9"/>
      <c r="X66" s="9"/>
      <c r="Y66" s="9"/>
      <c r="Z66" s="9"/>
    </row>
    <row r="67" spans="1:26" ht="13.5" customHeight="1">
      <c r="A67" s="102"/>
      <c r="B67" s="103" t="s">
        <v>300</v>
      </c>
      <c r="C67" s="103"/>
      <c r="D67" s="103"/>
      <c r="E67" s="103"/>
      <c r="F67" s="157"/>
      <c r="G67" s="9"/>
      <c r="H67" s="9"/>
      <c r="I67" s="371" t="s">
        <v>301</v>
      </c>
      <c r="J67" s="344"/>
      <c r="K67" s="344"/>
      <c r="L67" s="344"/>
      <c r="M67" s="344"/>
      <c r="N67" s="344"/>
      <c r="O67" s="43">
        <v>0.9</v>
      </c>
      <c r="R67" s="163"/>
      <c r="S67" s="163"/>
      <c r="T67" s="163"/>
      <c r="U67" s="163"/>
      <c r="V67" s="163"/>
      <c r="W67" s="9"/>
      <c r="X67" s="9"/>
      <c r="Y67" s="9"/>
      <c r="Z67" s="9"/>
    </row>
    <row r="68" spans="1:26" ht="13.5" customHeight="1">
      <c r="A68" s="188" t="s">
        <v>99</v>
      </c>
      <c r="B68" s="14" t="s">
        <v>41</v>
      </c>
      <c r="C68" s="14" t="s">
        <v>56</v>
      </c>
      <c r="D68" s="14" t="s">
        <v>57</v>
      </c>
      <c r="E68" s="14" t="s">
        <v>58</v>
      </c>
      <c r="F68" s="15" t="s">
        <v>59</v>
      </c>
      <c r="G68" s="9"/>
      <c r="H68" s="9"/>
      <c r="I68" s="380" t="s">
        <v>302</v>
      </c>
      <c r="J68" s="344"/>
      <c r="K68" s="344"/>
      <c r="L68" s="344"/>
      <c r="M68" s="344"/>
      <c r="N68" s="344"/>
      <c r="O68" s="43">
        <v>0.05</v>
      </c>
      <c r="P68" s="163"/>
      <c r="Q68" s="163"/>
      <c r="R68" s="163"/>
      <c r="S68" s="163"/>
      <c r="T68" s="163"/>
      <c r="U68" s="163"/>
      <c r="V68" s="163"/>
      <c r="W68" s="9"/>
      <c r="X68" s="9"/>
      <c r="Y68" s="9"/>
      <c r="Z68" s="9"/>
    </row>
    <row r="69" spans="1:26" ht="13.5" customHeight="1">
      <c r="A69" s="22" t="s">
        <v>254</v>
      </c>
      <c r="B69" s="49">
        <f>C69*O67</f>
        <v>5462437.5</v>
      </c>
      <c r="C69" s="49">
        <f>N60+N61+N62+N63+N64+N65</f>
        <v>6069375</v>
      </c>
      <c r="D69" s="49">
        <f t="shared" ref="D69:D72" si="23">C69</f>
        <v>6069375</v>
      </c>
      <c r="E69" s="49">
        <f>C69</f>
        <v>6069375</v>
      </c>
      <c r="F69" s="52">
        <f>C69</f>
        <v>6069375</v>
      </c>
      <c r="G69" s="9"/>
      <c r="H69" s="9"/>
      <c r="I69" s="380" t="s">
        <v>303</v>
      </c>
      <c r="J69" s="344"/>
      <c r="K69" s="344"/>
      <c r="L69" s="344"/>
      <c r="M69" s="344"/>
      <c r="N69" s="344"/>
      <c r="O69" s="43">
        <v>0.9</v>
      </c>
      <c r="P69" s="163"/>
      <c r="Q69" s="163"/>
      <c r="R69" s="163"/>
      <c r="S69" s="163"/>
      <c r="T69" s="163"/>
      <c r="U69" s="163"/>
      <c r="V69" s="163"/>
      <c r="W69" s="9"/>
      <c r="X69" s="9"/>
      <c r="Y69" s="9"/>
      <c r="Z69" s="9"/>
    </row>
    <row r="70" spans="1:26" ht="12.75" customHeight="1">
      <c r="A70" s="27" t="s">
        <v>284</v>
      </c>
      <c r="B70" s="70">
        <f>C70</f>
        <v>1559590.9581918225</v>
      </c>
      <c r="C70" s="70">
        <f>C53</f>
        <v>1559590.9581918225</v>
      </c>
      <c r="D70" s="70">
        <f t="shared" si="23"/>
        <v>1559590.9581918225</v>
      </c>
      <c r="E70" s="70">
        <f>E53</f>
        <v>1561536.9021918224</v>
      </c>
      <c r="F70" s="124">
        <f>E70</f>
        <v>1561536.9021918224</v>
      </c>
      <c r="G70" s="9"/>
      <c r="H70" s="9"/>
      <c r="I70" s="380" t="s">
        <v>304</v>
      </c>
      <c r="J70" s="344"/>
      <c r="K70" s="344"/>
      <c r="L70" s="344"/>
      <c r="M70" s="344"/>
      <c r="N70" s="344"/>
      <c r="O70" s="43">
        <v>0.92</v>
      </c>
      <c r="P70" s="380" t="s">
        <v>305</v>
      </c>
      <c r="Q70" s="344"/>
      <c r="R70" s="344"/>
      <c r="S70" s="344"/>
      <c r="T70" s="43">
        <v>0.1</v>
      </c>
      <c r="U70" s="163"/>
      <c r="V70" s="163"/>
      <c r="W70" s="9"/>
      <c r="X70" s="9"/>
      <c r="Y70" s="9"/>
      <c r="Z70" s="9"/>
    </row>
    <row r="71" spans="1:26" ht="12.75" customHeight="1">
      <c r="A71" s="27" t="s">
        <v>172</v>
      </c>
      <c r="B71" s="70">
        <f>C71*O69</f>
        <v>812937.3524485199</v>
      </c>
      <c r="C71" s="70">
        <f>Q81*Q82*('E-Inv AF y Am'!B66-'E-Inv AF y Am'!B65)+C69*Q83+Q84*Q76+Q85*Q76</f>
        <v>903263.72494279989</v>
      </c>
      <c r="D71" s="70">
        <f t="shared" si="23"/>
        <v>903263.72494279989</v>
      </c>
      <c r="E71" s="70">
        <f t="shared" ref="E71:E72" si="24">C71</f>
        <v>903263.72494279989</v>
      </c>
      <c r="F71" s="76">
        <f t="shared" ref="F71:F72" si="25">C71</f>
        <v>903263.72494279989</v>
      </c>
      <c r="G71" s="9"/>
      <c r="H71" s="9"/>
      <c r="I71" s="380" t="s">
        <v>306</v>
      </c>
      <c r="J71" s="344"/>
      <c r="K71" s="344"/>
      <c r="L71" s="344"/>
      <c r="M71" s="344"/>
      <c r="N71" s="344"/>
      <c r="O71" s="43">
        <v>7.0000000000000007E-2</v>
      </c>
      <c r="P71" s="380" t="s">
        <v>307</v>
      </c>
      <c r="Q71" s="344"/>
      <c r="R71" s="344"/>
      <c r="S71" s="344"/>
      <c r="T71" s="43">
        <v>0.1</v>
      </c>
      <c r="U71" s="163"/>
      <c r="V71" s="163"/>
      <c r="W71" s="9"/>
      <c r="X71" s="9"/>
      <c r="Y71" s="9"/>
      <c r="Z71" s="9"/>
    </row>
    <row r="72" spans="1:26" ht="12.75" customHeight="1">
      <c r="A72" s="27" t="s">
        <v>308</v>
      </c>
      <c r="B72" s="70">
        <f>C72*O75</f>
        <v>42478.481281402324</v>
      </c>
      <c r="C72" s="70">
        <f>C13*((M38*O72*4*6/1000*8+O38)/(M38*R38*4*6/1000*8+O38))</f>
        <v>47198.312534891469</v>
      </c>
      <c r="D72" s="70">
        <f t="shared" si="23"/>
        <v>47198.312534891469</v>
      </c>
      <c r="E72" s="70">
        <f t="shared" si="24"/>
        <v>47198.312534891469</v>
      </c>
      <c r="F72" s="76">
        <f t="shared" si="25"/>
        <v>47198.312534891469</v>
      </c>
      <c r="G72" s="9"/>
      <c r="H72" s="9"/>
      <c r="I72" s="380" t="s">
        <v>309</v>
      </c>
      <c r="J72" s="344"/>
      <c r="K72" s="344"/>
      <c r="L72" s="344"/>
      <c r="M72" s="344"/>
      <c r="N72" s="344"/>
      <c r="O72" s="43">
        <v>0.09</v>
      </c>
      <c r="P72" s="380" t="s">
        <v>310</v>
      </c>
      <c r="Q72" s="344"/>
      <c r="R72" s="344"/>
      <c r="S72" s="344"/>
      <c r="T72" s="202">
        <v>5.0000000000000001E-4</v>
      </c>
      <c r="U72" s="163"/>
      <c r="V72" s="163"/>
      <c r="W72" s="9"/>
      <c r="X72" s="9"/>
      <c r="Y72" s="9"/>
      <c r="Z72" s="9"/>
    </row>
    <row r="73" spans="1:26" ht="12.75" customHeight="1">
      <c r="A73" s="27" t="s">
        <v>289</v>
      </c>
      <c r="B73" s="70"/>
      <c r="C73" s="70"/>
      <c r="D73" s="70"/>
      <c r="E73" s="70"/>
      <c r="F73" s="76"/>
      <c r="G73" s="9"/>
      <c r="H73" s="9"/>
      <c r="I73" s="380" t="s">
        <v>311</v>
      </c>
      <c r="J73" s="344"/>
      <c r="K73" s="344"/>
      <c r="L73" s="344"/>
      <c r="M73" s="344"/>
      <c r="N73" s="344"/>
      <c r="O73" s="43">
        <v>0.85</v>
      </c>
      <c r="P73" s="380" t="s">
        <v>312</v>
      </c>
      <c r="Q73" s="344"/>
      <c r="R73" s="344"/>
      <c r="S73" s="344"/>
      <c r="T73" s="43">
        <v>0.02</v>
      </c>
      <c r="U73" s="163"/>
      <c r="V73" s="163"/>
      <c r="W73" s="9"/>
      <c r="X73" s="9"/>
      <c r="Y73" s="9"/>
      <c r="Z73" s="9"/>
    </row>
    <row r="74" spans="1:26" ht="12.75" customHeight="1">
      <c r="A74" s="27" t="s">
        <v>291</v>
      </c>
      <c r="B74" s="70">
        <f>K81+K82+K83+K84+K86+K87</f>
        <v>15161760</v>
      </c>
      <c r="C74" s="70">
        <f>K81+K82+K83+K84+K85+K87</f>
        <v>20104600</v>
      </c>
      <c r="D74" s="70">
        <f t="shared" ref="D74:D75" si="26">C74</f>
        <v>20104600</v>
      </c>
      <c r="E74" s="70">
        <f t="shared" ref="E74:E75" si="27">C74</f>
        <v>20104600</v>
      </c>
      <c r="F74" s="76">
        <f t="shared" ref="F74:F75" si="28">C74</f>
        <v>20104600</v>
      </c>
      <c r="G74" s="9"/>
      <c r="H74" s="9"/>
      <c r="I74" s="380" t="s">
        <v>313</v>
      </c>
      <c r="J74" s="344"/>
      <c r="K74" s="344"/>
      <c r="L74" s="344"/>
      <c r="M74" s="344"/>
      <c r="N74" s="344"/>
      <c r="O74" s="43">
        <v>0.92</v>
      </c>
      <c r="P74" s="380"/>
      <c r="Q74" s="344"/>
      <c r="R74" s="344"/>
      <c r="S74" s="344"/>
      <c r="T74" s="43"/>
      <c r="U74" s="163"/>
      <c r="V74" s="163"/>
      <c r="W74" s="9"/>
      <c r="X74" s="9"/>
      <c r="Y74" s="9"/>
      <c r="Z74" s="9"/>
    </row>
    <row r="75" spans="1:26" ht="12.75" customHeight="1">
      <c r="A75" s="27" t="s">
        <v>200</v>
      </c>
      <c r="B75" s="70">
        <f>('E-Inv AF y Am'!B7+'E-Inv AF y Am'!B9)*T88*M43+('E-Inv AF y Am'!B7+'E-Inv AF y Am'!B9)*M44*T89+T91*S29*InfoInicial!B20</f>
        <v>11752866.324999999</v>
      </c>
      <c r="C75" s="70">
        <f>('E-Inv AF y Am'!B7+'E-Inv AF y Am'!B9)*T88*M43+('E-Inv AF y Am'!B7+'E-Inv AF y Am'!B9)*M44*T89+Q76*T91</f>
        <v>15768923.824999999</v>
      </c>
      <c r="D75" s="70">
        <f t="shared" si="26"/>
        <v>15768923.824999999</v>
      </c>
      <c r="E75" s="70">
        <f t="shared" si="27"/>
        <v>15768923.824999999</v>
      </c>
      <c r="F75" s="76">
        <f t="shared" si="28"/>
        <v>15768923.824999999</v>
      </c>
      <c r="G75" s="9"/>
      <c r="H75" s="9"/>
      <c r="I75" s="380" t="s">
        <v>314</v>
      </c>
      <c r="J75" s="344"/>
      <c r="K75" s="344"/>
      <c r="L75" s="344"/>
      <c r="M75" s="344"/>
      <c r="N75" s="344"/>
      <c r="O75" s="43">
        <v>0.9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27" t="s">
        <v>92</v>
      </c>
      <c r="B76" s="70">
        <f>SUM(B69:B75)*S24</f>
        <v>2296276.6607168354</v>
      </c>
      <c r="C76" s="70">
        <f>SUM(C69:C75)*S24</f>
        <v>2933894.8201641883</v>
      </c>
      <c r="D76" s="70">
        <f>SUM(D69:D75)*S24</f>
        <v>2933894.8201641883</v>
      </c>
      <c r="E76" s="70">
        <f>SUM(E69:E75)*S24</f>
        <v>2934023.2524681878</v>
      </c>
      <c r="F76" s="76">
        <f>SUM(F69:F75)*S24</f>
        <v>2934023.2524681878</v>
      </c>
      <c r="G76" s="9"/>
      <c r="H76" s="9"/>
      <c r="I76" s="9"/>
      <c r="J76" s="9"/>
      <c r="K76" s="9"/>
      <c r="L76" s="9"/>
      <c r="M76" s="9"/>
      <c r="N76" s="9"/>
      <c r="O76" s="9"/>
      <c r="P76" s="36" t="s">
        <v>315</v>
      </c>
      <c r="Q76" s="9">
        <f>S30*InfoInicial!B20</f>
        <v>306874750</v>
      </c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27"/>
      <c r="B77" s="138"/>
      <c r="C77" s="138"/>
      <c r="D77" s="138"/>
      <c r="E77" s="138"/>
      <c r="F77" s="197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25" t="s">
        <v>316</v>
      </c>
      <c r="B78" s="70">
        <f t="shared" ref="B78:F78" si="29">SUM(B69:B76)</f>
        <v>37088347.277638584</v>
      </c>
      <c r="C78" s="70">
        <f t="shared" si="29"/>
        <v>47386846.640833706</v>
      </c>
      <c r="D78" s="70">
        <f t="shared" si="29"/>
        <v>47386846.640833706</v>
      </c>
      <c r="E78" s="70">
        <f t="shared" si="29"/>
        <v>47388921.017137699</v>
      </c>
      <c r="F78" s="70">
        <f t="shared" si="29"/>
        <v>47388921.017137699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25"/>
      <c r="B79" s="70"/>
      <c r="C79" s="70"/>
      <c r="D79" s="70"/>
      <c r="E79" s="70"/>
      <c r="F79" s="76"/>
      <c r="G79" s="9"/>
      <c r="H79" s="9"/>
      <c r="I79" s="374" t="s">
        <v>317</v>
      </c>
      <c r="J79" s="344"/>
      <c r="K79" s="344"/>
      <c r="L79" s="163"/>
      <c r="M79" s="163"/>
      <c r="N79" s="163"/>
      <c r="O79" s="163"/>
      <c r="P79" s="92" t="s">
        <v>318</v>
      </c>
      <c r="Q79" s="163"/>
      <c r="R79" s="163"/>
      <c r="S79" s="163"/>
      <c r="T79" s="163"/>
      <c r="U79" s="163"/>
      <c r="V79" s="163"/>
      <c r="W79" s="9"/>
      <c r="X79" s="9"/>
      <c r="Y79" s="9"/>
      <c r="Z79" s="9"/>
    </row>
    <row r="80" spans="1:26" ht="12.75" customHeight="1">
      <c r="A80" s="144" t="s">
        <v>223</v>
      </c>
      <c r="B80" s="203">
        <f>(Q85*Q76*O69+K86+T91*S29*InfoInicial!B20)/B78</f>
        <v>0.68803304597197279</v>
      </c>
      <c r="C80" s="203">
        <f>(Q85*Q76+K85+T91*Q76)/C78</f>
        <v>0.72814561889980489</v>
      </c>
      <c r="D80" s="203">
        <f>C80</f>
        <v>0.72814561889980489</v>
      </c>
      <c r="E80" s="203">
        <f>C80</f>
        <v>0.72814561889980489</v>
      </c>
      <c r="F80" s="204">
        <f>C80</f>
        <v>0.72814561889980489</v>
      </c>
      <c r="G80" s="9"/>
      <c r="H80" s="9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9"/>
      <c r="X80" s="9"/>
      <c r="Y80" s="9"/>
      <c r="Z80" s="9"/>
    </row>
    <row r="81" spans="1:26" ht="13.5" customHeight="1">
      <c r="A81" s="105" t="s">
        <v>225</v>
      </c>
      <c r="B81" s="205">
        <f t="shared" ref="B81:F81" si="30">1-B80</f>
        <v>0.31196695402802721</v>
      </c>
      <c r="C81" s="205">
        <f t="shared" si="30"/>
        <v>0.27185438110019511</v>
      </c>
      <c r="D81" s="205">
        <f t="shared" si="30"/>
        <v>0.27185438110019511</v>
      </c>
      <c r="E81" s="205">
        <f t="shared" si="30"/>
        <v>0.27185438110019511</v>
      </c>
      <c r="F81" s="205">
        <f t="shared" si="30"/>
        <v>0.27185438110019511</v>
      </c>
      <c r="G81" s="9"/>
      <c r="H81" s="9"/>
      <c r="I81" s="381" t="s">
        <v>293</v>
      </c>
      <c r="J81" s="376"/>
      <c r="K81" s="196">
        <v>200000</v>
      </c>
      <c r="L81" s="163"/>
      <c r="M81" s="163"/>
      <c r="N81" s="163"/>
      <c r="O81" s="163"/>
      <c r="P81" s="82" t="s">
        <v>281</v>
      </c>
      <c r="Q81" s="189">
        <v>0.01</v>
      </c>
      <c r="R81" s="163"/>
      <c r="S81" s="380" t="s">
        <v>319</v>
      </c>
      <c r="T81" s="344"/>
      <c r="U81" s="100">
        <v>20</v>
      </c>
      <c r="V81" s="163"/>
      <c r="W81" s="9"/>
      <c r="X81" s="9"/>
      <c r="Y81" s="9"/>
      <c r="Z81" s="9"/>
    </row>
    <row r="82" spans="1:26" ht="13.5" customHeight="1">
      <c r="A82" s="9"/>
      <c r="B82" s="9"/>
      <c r="C82" s="9"/>
      <c r="D82" s="9"/>
      <c r="E82" s="9"/>
      <c r="F82" s="9"/>
      <c r="G82" s="9"/>
      <c r="H82" s="9"/>
      <c r="I82" s="369" t="s">
        <v>320</v>
      </c>
      <c r="J82" s="344"/>
      <c r="K82" s="127">
        <v>240000</v>
      </c>
      <c r="L82" s="163"/>
      <c r="M82" s="163"/>
      <c r="N82" s="163"/>
      <c r="O82" s="163"/>
      <c r="P82" s="177" t="s">
        <v>283</v>
      </c>
      <c r="Q82" s="192">
        <v>0.06</v>
      </c>
      <c r="R82" s="163"/>
      <c r="S82" s="163"/>
      <c r="T82" s="163"/>
      <c r="U82" s="163"/>
      <c r="V82" s="163"/>
      <c r="W82" s="9"/>
      <c r="X82" s="9"/>
      <c r="Y82" s="9"/>
      <c r="Z82" s="9"/>
    </row>
    <row r="83" spans="1:26" ht="13.5" customHeight="1">
      <c r="A83" s="9"/>
      <c r="B83" s="9"/>
      <c r="C83" s="9"/>
      <c r="D83" s="9"/>
      <c r="E83" s="9"/>
      <c r="F83" s="9"/>
      <c r="G83" s="9"/>
      <c r="H83" s="9"/>
      <c r="I83" s="369" t="s">
        <v>321</v>
      </c>
      <c r="J83" s="344"/>
      <c r="K83" s="127">
        <v>180000</v>
      </c>
      <c r="L83" s="163"/>
      <c r="M83" s="163"/>
      <c r="N83" s="163"/>
      <c r="O83" s="163"/>
      <c r="P83" s="177" t="s">
        <v>322</v>
      </c>
      <c r="Q83" s="192">
        <v>0.02</v>
      </c>
      <c r="R83" s="163"/>
      <c r="S83" s="163"/>
      <c r="T83" s="163"/>
      <c r="U83" s="163"/>
      <c r="V83" s="163"/>
      <c r="W83" s="9"/>
      <c r="X83" s="9"/>
      <c r="Y83" s="9"/>
      <c r="Z83" s="9"/>
    </row>
    <row r="84" spans="1:26" ht="16.5" customHeight="1">
      <c r="A84" s="206" t="s">
        <v>323</v>
      </c>
      <c r="B84" s="207"/>
      <c r="C84" s="207"/>
      <c r="D84" s="207"/>
      <c r="E84" s="207"/>
      <c r="F84" s="208"/>
      <c r="G84" s="9"/>
      <c r="H84" s="9"/>
      <c r="I84" s="369" t="s">
        <v>324</v>
      </c>
      <c r="J84" s="344"/>
      <c r="K84" s="127">
        <v>100000</v>
      </c>
      <c r="L84" s="163"/>
      <c r="M84" s="163"/>
      <c r="N84" s="163"/>
      <c r="O84" s="163"/>
      <c r="P84" s="177" t="s">
        <v>325</v>
      </c>
      <c r="Q84" s="193">
        <v>8.0000000000000004E-4</v>
      </c>
      <c r="R84" s="163"/>
      <c r="S84" s="163"/>
      <c r="T84" s="163"/>
      <c r="U84" s="163"/>
      <c r="V84" s="163"/>
      <c r="W84" s="9"/>
      <c r="X84" s="9"/>
      <c r="Y84" s="9"/>
      <c r="Z84" s="9"/>
    </row>
    <row r="85" spans="1:26" ht="13.5" customHeight="1">
      <c r="A85" s="27"/>
      <c r="B85" s="39" t="s">
        <v>41</v>
      </c>
      <c r="C85" s="39" t="s">
        <v>56</v>
      </c>
      <c r="D85" s="39" t="s">
        <v>57</v>
      </c>
      <c r="E85" s="39" t="s">
        <v>58</v>
      </c>
      <c r="F85" s="15" t="s">
        <v>59</v>
      </c>
      <c r="G85" s="9"/>
      <c r="H85" s="9"/>
      <c r="I85" s="369" t="s">
        <v>326</v>
      </c>
      <c r="J85" s="344"/>
      <c r="K85" s="127">
        <f>800*S30/U81</f>
        <v>18884600</v>
      </c>
      <c r="L85" s="163"/>
      <c r="M85" s="163"/>
      <c r="N85" s="163"/>
      <c r="O85" s="163"/>
      <c r="P85" s="97" t="s">
        <v>327</v>
      </c>
      <c r="Q85" s="209">
        <v>8.9999999999999998E-4</v>
      </c>
      <c r="R85" s="163"/>
      <c r="S85" s="163"/>
      <c r="T85" s="163"/>
      <c r="U85" s="163"/>
      <c r="V85" s="163"/>
      <c r="W85" s="9"/>
      <c r="X85" s="9"/>
      <c r="Y85" s="9"/>
      <c r="Z85" s="9"/>
    </row>
    <row r="86" spans="1:26" ht="13.5" customHeight="1">
      <c r="A86" s="27" t="s">
        <v>328</v>
      </c>
      <c r="B86" s="210">
        <f>S29-V28</f>
        <v>344696</v>
      </c>
      <c r="C86" s="210">
        <f>S30</f>
        <v>472115</v>
      </c>
      <c r="D86" s="210">
        <f>C86</f>
        <v>472115</v>
      </c>
      <c r="E86" s="210">
        <f>C86</f>
        <v>472115</v>
      </c>
      <c r="F86" s="211">
        <f>C86</f>
        <v>472115</v>
      </c>
      <c r="G86" s="9"/>
      <c r="H86" s="9"/>
      <c r="I86" s="177" t="s">
        <v>329</v>
      </c>
      <c r="J86" s="163"/>
      <c r="K86" s="127">
        <f>800*S29/U81</f>
        <v>13941760</v>
      </c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9"/>
      <c r="X86" s="9"/>
      <c r="Y86" s="9"/>
      <c r="Z86" s="9"/>
    </row>
    <row r="87" spans="1:26" ht="12.75" customHeight="1">
      <c r="A87" s="27" t="s">
        <v>330</v>
      </c>
      <c r="B87" s="70">
        <f>InfoInicial!B20</f>
        <v>650</v>
      </c>
      <c r="C87" s="70">
        <f>InfoInicial!B20</f>
        <v>650</v>
      </c>
      <c r="D87" s="70">
        <f>InfoInicial!B20</f>
        <v>650</v>
      </c>
      <c r="E87" s="70">
        <f>InfoInicial!B20</f>
        <v>650</v>
      </c>
      <c r="F87" s="76">
        <f>InfoInicial!B20</f>
        <v>650</v>
      </c>
      <c r="G87" s="9"/>
      <c r="H87" s="9"/>
      <c r="I87" s="372" t="s">
        <v>331</v>
      </c>
      <c r="J87" s="373"/>
      <c r="K87" s="99">
        <v>500000</v>
      </c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9"/>
      <c r="X87" s="9"/>
      <c r="Y87" s="9"/>
      <c r="Z87" s="9"/>
    </row>
    <row r="88" spans="1:26" ht="12.75" customHeight="1">
      <c r="A88" s="25" t="s">
        <v>332</v>
      </c>
      <c r="B88" s="70">
        <f t="shared" ref="B88:F88" si="31">B86*B87</f>
        <v>224052400</v>
      </c>
      <c r="C88" s="70">
        <f t="shared" si="31"/>
        <v>306874750</v>
      </c>
      <c r="D88" s="70">
        <f t="shared" si="31"/>
        <v>306874750</v>
      </c>
      <c r="E88" s="70">
        <f t="shared" si="31"/>
        <v>306874750</v>
      </c>
      <c r="F88" s="70">
        <f t="shared" si="31"/>
        <v>306874750</v>
      </c>
      <c r="G88" s="9"/>
      <c r="H88" s="9"/>
      <c r="I88" s="163"/>
      <c r="J88" s="163"/>
      <c r="K88" s="163"/>
      <c r="L88" s="163"/>
      <c r="M88" s="163"/>
      <c r="N88" s="163"/>
      <c r="O88" s="163"/>
      <c r="P88" s="374" t="s">
        <v>333</v>
      </c>
      <c r="Q88" s="344"/>
      <c r="R88" s="344"/>
      <c r="S88" s="344"/>
      <c r="T88" s="169">
        <v>0.1</v>
      </c>
      <c r="U88" s="163"/>
      <c r="V88" s="163"/>
      <c r="W88" s="9"/>
      <c r="X88" s="9"/>
      <c r="Y88" s="9"/>
      <c r="Z88" s="9"/>
    </row>
    <row r="89" spans="1:26" ht="12.75" customHeight="1">
      <c r="A89" s="27"/>
      <c r="B89" s="70"/>
      <c r="C89" s="70"/>
      <c r="D89" s="70"/>
      <c r="E89" s="70"/>
      <c r="F89" s="76"/>
      <c r="G89" s="9"/>
      <c r="H89" s="9"/>
      <c r="I89" s="163"/>
      <c r="J89" s="163"/>
      <c r="K89" s="163"/>
      <c r="L89" s="163"/>
      <c r="M89" s="163"/>
      <c r="N89" s="163"/>
      <c r="O89" s="163"/>
      <c r="P89" s="374" t="s">
        <v>334</v>
      </c>
      <c r="Q89" s="344"/>
      <c r="R89" s="344"/>
      <c r="S89" s="344"/>
      <c r="T89" s="169">
        <v>0.1</v>
      </c>
      <c r="U89" s="163"/>
      <c r="V89" s="163"/>
      <c r="W89" s="9"/>
      <c r="X89" s="9"/>
      <c r="Y89" s="9"/>
      <c r="Z89" s="9"/>
    </row>
    <row r="90" spans="1:26" ht="12.75" customHeight="1">
      <c r="A90" s="27" t="s">
        <v>335</v>
      </c>
      <c r="B90" s="70">
        <f t="shared" ref="B90:F90" si="32">B7</f>
        <v>8713600</v>
      </c>
      <c r="C90" s="70">
        <f t="shared" si="32"/>
        <v>11802875</v>
      </c>
      <c r="D90" s="70">
        <f t="shared" si="32"/>
        <v>11802875</v>
      </c>
      <c r="E90" s="70">
        <f t="shared" si="32"/>
        <v>11802875</v>
      </c>
      <c r="F90" s="70">
        <f t="shared" si="32"/>
        <v>11802875</v>
      </c>
      <c r="G90" s="9"/>
      <c r="H90" s="9"/>
      <c r="I90" s="163"/>
      <c r="J90" s="163"/>
      <c r="K90" s="163"/>
      <c r="L90" s="163"/>
      <c r="M90" s="163"/>
      <c r="N90" s="163"/>
      <c r="O90" s="163"/>
      <c r="P90" s="374" t="s">
        <v>336</v>
      </c>
      <c r="Q90" s="344"/>
      <c r="R90" s="344"/>
      <c r="S90" s="163"/>
      <c r="T90" s="125">
        <v>20000</v>
      </c>
      <c r="U90" s="125">
        <v>0.35</v>
      </c>
      <c r="V90" s="92" t="s">
        <v>337</v>
      </c>
      <c r="W90" s="9"/>
      <c r="X90" s="9"/>
      <c r="Y90" s="9"/>
      <c r="Z90" s="9"/>
    </row>
    <row r="91" spans="1:26" ht="12.75" customHeight="1">
      <c r="A91" s="27" t="s">
        <v>128</v>
      </c>
      <c r="B91" s="108">
        <f t="shared" ref="B91:F91" si="33">B8</f>
        <v>5665904.6400000006</v>
      </c>
      <c r="C91" s="70">
        <f t="shared" si="33"/>
        <v>6158592</v>
      </c>
      <c r="D91" s="70">
        <f t="shared" si="33"/>
        <v>6158592</v>
      </c>
      <c r="E91" s="70">
        <f t="shared" si="33"/>
        <v>6158592</v>
      </c>
      <c r="F91" s="76">
        <f t="shared" si="33"/>
        <v>6158592</v>
      </c>
      <c r="G91" s="9"/>
      <c r="H91" s="9"/>
      <c r="I91" s="163"/>
      <c r="J91" s="163"/>
      <c r="K91" s="163"/>
      <c r="L91" s="163"/>
      <c r="M91" s="163"/>
      <c r="N91" s="163"/>
      <c r="O91" s="163"/>
      <c r="P91" s="374" t="s">
        <v>338</v>
      </c>
      <c r="Q91" s="344"/>
      <c r="R91" s="163"/>
      <c r="S91" s="163"/>
      <c r="T91" s="169">
        <v>0.05</v>
      </c>
      <c r="U91" s="163"/>
      <c r="V91" s="163"/>
      <c r="W91" s="9"/>
      <c r="X91" s="9"/>
      <c r="Y91" s="9"/>
      <c r="Z91" s="9"/>
    </row>
    <row r="92" spans="1:26" ht="12.75" customHeight="1">
      <c r="A92" s="27" t="s">
        <v>339</v>
      </c>
      <c r="B92" s="108">
        <f t="shared" ref="B92:F92" si="34">SUM(B10:B16)</f>
        <v>44933086.620467044</v>
      </c>
      <c r="C92" s="108">
        <f t="shared" si="34"/>
        <v>46685325.979911193</v>
      </c>
      <c r="D92" s="108">
        <f t="shared" si="34"/>
        <v>46685325.979911193</v>
      </c>
      <c r="E92" s="108">
        <f t="shared" si="34"/>
        <v>46719255.813303195</v>
      </c>
      <c r="F92" s="108">
        <f t="shared" si="34"/>
        <v>46719255.813303195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27"/>
      <c r="B93" s="70"/>
      <c r="C93" s="70"/>
      <c r="D93" s="70"/>
      <c r="E93" s="70"/>
      <c r="F93" s="76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27" t="s">
        <v>340</v>
      </c>
      <c r="B94" s="212">
        <f t="shared" ref="B94:F94" si="35">SUM(B90:B92)</f>
        <v>59312591.260467045</v>
      </c>
      <c r="C94" s="212">
        <f t="shared" si="35"/>
        <v>64646792.979911193</v>
      </c>
      <c r="D94" s="212">
        <f t="shared" si="35"/>
        <v>64646792.979911193</v>
      </c>
      <c r="E94" s="212">
        <f t="shared" si="35"/>
        <v>64680722.813303195</v>
      </c>
      <c r="F94" s="212">
        <f t="shared" si="35"/>
        <v>64680722.813303195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27"/>
      <c r="B95" s="70"/>
      <c r="C95" s="70"/>
      <c r="D95" s="70"/>
      <c r="E95" s="70"/>
      <c r="F95" s="76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27" t="s">
        <v>268</v>
      </c>
      <c r="B96" s="70"/>
      <c r="C96" s="70"/>
      <c r="D96" s="70"/>
      <c r="E96" s="70"/>
      <c r="F96" s="76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57" t="s">
        <v>233</v>
      </c>
      <c r="B97" s="108">
        <f>G35</f>
        <v>8759071.7478488944</v>
      </c>
      <c r="C97" s="108">
        <v>0</v>
      </c>
      <c r="D97" s="108">
        <v>0</v>
      </c>
      <c r="E97" s="108">
        <v>0</v>
      </c>
      <c r="F97" s="168">
        <v>0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57" t="s">
        <v>270</v>
      </c>
      <c r="B98" s="70">
        <f t="shared" ref="B98:F98" si="36">B42</f>
        <v>654823.64111927687</v>
      </c>
      <c r="C98" s="70">
        <f t="shared" si="36"/>
        <v>127916.29992762161</v>
      </c>
      <c r="D98" s="70">
        <f t="shared" si="36"/>
        <v>0</v>
      </c>
      <c r="E98" s="70">
        <f t="shared" si="36"/>
        <v>-276.54702539090067</v>
      </c>
      <c r="F98" s="70">
        <f t="shared" si="36"/>
        <v>0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27"/>
      <c r="B99" s="70"/>
      <c r="C99" s="70"/>
      <c r="D99" s="70"/>
      <c r="E99" s="70"/>
      <c r="F99" s="76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25" t="s">
        <v>341</v>
      </c>
      <c r="B100" s="108">
        <f t="shared" ref="B100:F100" si="37">B94-B97-B98</f>
        <v>49898695.871498875</v>
      </c>
      <c r="C100" s="108">
        <f t="shared" si="37"/>
        <v>64518876.679983571</v>
      </c>
      <c r="D100" s="108">
        <f t="shared" si="37"/>
        <v>64646792.979911193</v>
      </c>
      <c r="E100" s="108">
        <f t="shared" si="37"/>
        <v>64680999.360328585</v>
      </c>
      <c r="F100" s="108">
        <f t="shared" si="37"/>
        <v>64680722.813303195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57" t="s">
        <v>342</v>
      </c>
      <c r="B101" s="213">
        <f>S29</f>
        <v>348544</v>
      </c>
      <c r="C101" s="214">
        <f>S30</f>
        <v>472115</v>
      </c>
      <c r="D101" s="214">
        <f>S30</f>
        <v>472115</v>
      </c>
      <c r="E101" s="214">
        <f>S30</f>
        <v>472115</v>
      </c>
      <c r="F101" s="215">
        <f>S30</f>
        <v>472115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27" t="s">
        <v>343</v>
      </c>
      <c r="B102" s="70">
        <f t="shared" ref="B102:F102" si="38">B100/B101</f>
        <v>143.16326165849614</v>
      </c>
      <c r="C102" s="70">
        <f t="shared" si="38"/>
        <v>136.6592391260256</v>
      </c>
      <c r="D102" s="70">
        <f t="shared" si="38"/>
        <v>136.93018222236361</v>
      </c>
      <c r="E102" s="70">
        <f t="shared" si="38"/>
        <v>137.00263571445217</v>
      </c>
      <c r="F102" s="70">
        <f t="shared" si="38"/>
        <v>137.0020499524548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27"/>
      <c r="B103" s="212"/>
      <c r="C103" s="212"/>
      <c r="D103" s="212"/>
      <c r="E103" s="212"/>
      <c r="F103" s="216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27" t="s">
        <v>268</v>
      </c>
      <c r="B104" s="212"/>
      <c r="C104" s="212"/>
      <c r="D104" s="212"/>
      <c r="E104" s="212"/>
      <c r="F104" s="216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27" t="s">
        <v>344</v>
      </c>
      <c r="B105" s="70">
        <f>(B101-B86)*B102</f>
        <v>550892.23086189316</v>
      </c>
      <c r="C105" s="70">
        <f>B105-(B101-B86)*C102</f>
        <v>25027.478704946698</v>
      </c>
      <c r="D105" s="70">
        <f>(B101-B86)*C102-(B101-B86)*D102</f>
        <v>-1042.5890347086824</v>
      </c>
      <c r="E105" s="70">
        <f>(B101-B86)*D102-(B101-B86)*E102</f>
        <v>-278.80103755684104</v>
      </c>
      <c r="F105" s="76">
        <f>(B101-B86)*E102-(B101-B86)*F102</f>
        <v>2.2540121659403667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27"/>
      <c r="B106" s="212"/>
      <c r="C106" s="212"/>
      <c r="D106" s="212"/>
      <c r="E106" s="212"/>
      <c r="F106" s="216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25" t="s">
        <v>345</v>
      </c>
      <c r="B107" s="70">
        <f>B100-B105</f>
        <v>49347803.640636981</v>
      </c>
      <c r="C107" s="70">
        <f t="shared" ref="C107:F107" si="39">C100+C105</f>
        <v>64543904.158688515</v>
      </c>
      <c r="D107" s="70">
        <f t="shared" si="39"/>
        <v>64645750.390876487</v>
      </c>
      <c r="E107" s="70">
        <f t="shared" si="39"/>
        <v>64680720.559291027</v>
      </c>
      <c r="F107" s="70">
        <f t="shared" si="39"/>
        <v>64680725.067315362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27"/>
      <c r="B108" s="70"/>
      <c r="C108" s="70"/>
      <c r="D108" s="70"/>
      <c r="E108" s="70"/>
      <c r="F108" s="76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25" t="s">
        <v>346</v>
      </c>
      <c r="B109" s="70">
        <f t="shared" ref="B109:F109" si="40">B61</f>
        <v>15390700.410294108</v>
      </c>
      <c r="C109" s="70">
        <f t="shared" si="40"/>
        <v>16049805.240813209</v>
      </c>
      <c r="D109" s="70">
        <f t="shared" si="40"/>
        <v>16049805.240813209</v>
      </c>
      <c r="E109" s="70">
        <f t="shared" si="40"/>
        <v>16051879.617117211</v>
      </c>
      <c r="F109" s="70">
        <f t="shared" si="40"/>
        <v>16051879.617117211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25" t="s">
        <v>347</v>
      </c>
      <c r="B110" s="212">
        <f t="shared" ref="B110:F110" si="41">B78</f>
        <v>37088347.277638584</v>
      </c>
      <c r="C110" s="212">
        <f t="shared" si="41"/>
        <v>47386846.640833706</v>
      </c>
      <c r="D110" s="212">
        <f t="shared" si="41"/>
        <v>47386846.640833706</v>
      </c>
      <c r="E110" s="212">
        <f t="shared" si="41"/>
        <v>47388921.017137699</v>
      </c>
      <c r="F110" s="212">
        <f t="shared" si="41"/>
        <v>47388921.017137699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27"/>
      <c r="B111" s="212"/>
      <c r="C111" s="212"/>
      <c r="D111" s="212"/>
      <c r="E111" s="212"/>
      <c r="F111" s="216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25" t="s">
        <v>348</v>
      </c>
      <c r="B112" s="212">
        <f t="shared" ref="B112:F112" si="42">B107+B109+B110</f>
        <v>101826851.32856968</v>
      </c>
      <c r="C112" s="212">
        <f t="shared" si="42"/>
        <v>127980556.04033543</v>
      </c>
      <c r="D112" s="212">
        <f t="shared" si="42"/>
        <v>128082402.2725234</v>
      </c>
      <c r="E112" s="212">
        <f t="shared" si="42"/>
        <v>128121521.19354594</v>
      </c>
      <c r="F112" s="212">
        <f t="shared" si="42"/>
        <v>128121525.70157027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27"/>
      <c r="B113" s="212"/>
      <c r="C113" s="212"/>
      <c r="D113" s="212"/>
      <c r="E113" s="212"/>
      <c r="F113" s="216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25" t="s">
        <v>349</v>
      </c>
      <c r="B114" s="212">
        <f t="shared" ref="B114:F114" si="43">B112/B101</f>
        <v>292.14920161749933</v>
      </c>
      <c r="C114" s="212">
        <f t="shared" si="43"/>
        <v>271.07919900942659</v>
      </c>
      <c r="D114" s="212">
        <f t="shared" si="43"/>
        <v>271.29492236536311</v>
      </c>
      <c r="E114" s="212">
        <f t="shared" si="43"/>
        <v>271.37778124725105</v>
      </c>
      <c r="F114" s="212">
        <f t="shared" si="43"/>
        <v>271.37779079582361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27"/>
      <c r="B115" s="212"/>
      <c r="C115" s="212"/>
      <c r="D115" s="212"/>
      <c r="E115" s="212"/>
      <c r="F115" s="216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25" t="s">
        <v>350</v>
      </c>
      <c r="B116" s="212">
        <f t="shared" ref="B116:F116" si="44">B88-B112</f>
        <v>122225548.67143032</v>
      </c>
      <c r="C116" s="212">
        <f t="shared" si="44"/>
        <v>178894193.95966458</v>
      </c>
      <c r="D116" s="212">
        <f t="shared" si="44"/>
        <v>178792347.7274766</v>
      </c>
      <c r="E116" s="212">
        <f t="shared" si="44"/>
        <v>178753228.80645406</v>
      </c>
      <c r="F116" s="212">
        <f t="shared" si="44"/>
        <v>178753224.29842973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25" t="s">
        <v>69</v>
      </c>
      <c r="B117" s="212">
        <f>InfoInicial!B5*B116</f>
        <v>13444810.353857335</v>
      </c>
      <c r="C117" s="212">
        <f>InfoInicial!B5*C116</f>
        <v>19678361.335563105</v>
      </c>
      <c r="D117" s="212">
        <f>InfoInicial!B5*D116</f>
        <v>19667158.250022426</v>
      </c>
      <c r="E117" s="212">
        <f>InfoInicial!B5*E116</f>
        <v>19662855.168709949</v>
      </c>
      <c r="F117" s="212">
        <f>InfoInicial!B5*F116</f>
        <v>19662854.67282727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136" t="s">
        <v>351</v>
      </c>
      <c r="B118" s="212">
        <f>(B116-B117)*InfoInicial!B4</f>
        <v>38073258.411150537</v>
      </c>
      <c r="C118" s="212">
        <f>(C116-C117)*InfoInicial!B4</f>
        <v>55725541.418435521</v>
      </c>
      <c r="D118" s="212">
        <f>(D116-D117)*InfoInicial!B4</f>
        <v>55693816.317108959</v>
      </c>
      <c r="E118" s="212">
        <f>(E116-E117)*InfoInicial!B4</f>
        <v>55681630.773210444</v>
      </c>
      <c r="F118" s="216">
        <f>(F116-F117)*InfoInicial!B4</f>
        <v>55681629.368960857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25"/>
      <c r="B119" s="212"/>
      <c r="C119" s="212"/>
      <c r="D119" s="212"/>
      <c r="E119" s="212"/>
      <c r="F119" s="216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136" t="s">
        <v>352</v>
      </c>
      <c r="B120" s="212">
        <f t="shared" ref="B120:F120" si="45">B116-B117-B118</f>
        <v>70707479.906422436</v>
      </c>
      <c r="C120" s="212">
        <f t="shared" si="45"/>
        <v>103490291.20566598</v>
      </c>
      <c r="D120" s="212">
        <f t="shared" si="45"/>
        <v>103431373.16034523</v>
      </c>
      <c r="E120" s="212">
        <f t="shared" si="45"/>
        <v>103408742.86453369</v>
      </c>
      <c r="F120" s="212">
        <f t="shared" si="45"/>
        <v>103408740.2566416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25" t="s">
        <v>353</v>
      </c>
      <c r="B121" s="217">
        <f t="shared" ref="B121:F121" si="46">B120/B88</f>
        <v>0.31558456819218378</v>
      </c>
      <c r="C121" s="217">
        <f t="shared" si="46"/>
        <v>0.33723951288161041</v>
      </c>
      <c r="D121" s="217">
        <f t="shared" si="46"/>
        <v>0.33704751909482689</v>
      </c>
      <c r="E121" s="217">
        <f t="shared" si="46"/>
        <v>0.3369737746899466</v>
      </c>
      <c r="F121" s="217">
        <f t="shared" si="46"/>
        <v>0.33697376619171698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25"/>
      <c r="B122" s="217"/>
      <c r="C122" s="217"/>
      <c r="D122" s="217"/>
      <c r="E122" s="217"/>
      <c r="F122" s="218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25" t="s">
        <v>354</v>
      </c>
      <c r="B123" s="217"/>
      <c r="C123" s="217"/>
      <c r="D123" s="217"/>
      <c r="E123" s="217"/>
      <c r="F123" s="21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136" t="s">
        <v>355</v>
      </c>
      <c r="B124" s="219">
        <f t="shared" ref="B124:F124" si="47">B120</f>
        <v>70707479.906422436</v>
      </c>
      <c r="C124" s="219">
        <f t="shared" si="47"/>
        <v>103490291.20566598</v>
      </c>
      <c r="D124" s="219">
        <f t="shared" si="47"/>
        <v>103431373.16034523</v>
      </c>
      <c r="E124" s="219">
        <f t="shared" si="47"/>
        <v>103408742.86453369</v>
      </c>
      <c r="F124" s="219">
        <f t="shared" si="47"/>
        <v>103408740.2566416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25" t="s">
        <v>356</v>
      </c>
      <c r="B125" s="219">
        <f>'E-Inv AF y Am'!D71</f>
        <v>31230738.043836448</v>
      </c>
      <c r="C125" s="219">
        <f>'E-Inv AF y Am'!D71</f>
        <v>31230738.043836448</v>
      </c>
      <c r="D125" s="219">
        <f>'E-Inv AF y Am'!D71</f>
        <v>31230738.043836448</v>
      </c>
      <c r="E125" s="219">
        <f>'E-Inv AF y Am'!E71</f>
        <v>31230738.043836448</v>
      </c>
      <c r="F125" s="220">
        <f>'E-Inv AF y Am'!E71</f>
        <v>31230738.043836448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105" t="s">
        <v>357</v>
      </c>
      <c r="B126" s="219">
        <f t="shared" ref="B126:F126" si="48">B124+B125</f>
        <v>101938217.95025888</v>
      </c>
      <c r="C126" s="219">
        <f t="shared" si="48"/>
        <v>134721029.24950242</v>
      </c>
      <c r="D126" s="219">
        <f t="shared" si="48"/>
        <v>134662111.20418167</v>
      </c>
      <c r="E126" s="219">
        <f t="shared" si="48"/>
        <v>134639480.90837014</v>
      </c>
      <c r="F126" s="219">
        <f t="shared" si="48"/>
        <v>134639478.30047804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25"/>
      <c r="B127" s="28"/>
      <c r="C127" s="28"/>
      <c r="D127" s="28"/>
      <c r="E127" s="28"/>
      <c r="F127" s="124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25" t="s">
        <v>358</v>
      </c>
      <c r="B128" s="28">
        <f t="shared" ref="B128:F128" si="49">B46*B43</f>
        <v>37801457.939956903</v>
      </c>
      <c r="C128" s="28">
        <f t="shared" si="49"/>
        <v>46777702.011033431</v>
      </c>
      <c r="D128" s="28">
        <f t="shared" si="49"/>
        <v>46685325.979911193</v>
      </c>
      <c r="E128" s="28">
        <f t="shared" si="49"/>
        <v>46719056.061805971</v>
      </c>
      <c r="F128" s="28">
        <f t="shared" si="49"/>
        <v>46719255.813303195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136" t="s">
        <v>359</v>
      </c>
      <c r="B129" s="28">
        <f t="shared" ref="B129:F129" si="50">B43*B47</f>
        <v>12097237.931541976</v>
      </c>
      <c r="C129" s="28">
        <f t="shared" si="50"/>
        <v>17997007.268805385</v>
      </c>
      <c r="D129" s="28">
        <f t="shared" si="50"/>
        <v>17961467</v>
      </c>
      <c r="E129" s="28">
        <f t="shared" si="50"/>
        <v>17961390.204471834</v>
      </c>
      <c r="F129" s="28">
        <f t="shared" si="50"/>
        <v>17961467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25" t="s">
        <v>360</v>
      </c>
      <c r="B130" s="28">
        <f t="shared" ref="B130:F130" si="51">B61*B63</f>
        <v>15390700.410294108</v>
      </c>
      <c r="C130" s="28">
        <f t="shared" si="51"/>
        <v>16049805.240813209</v>
      </c>
      <c r="D130" s="28">
        <f t="shared" si="51"/>
        <v>16049805.240813209</v>
      </c>
      <c r="E130" s="28">
        <f t="shared" si="51"/>
        <v>16051879.617117211</v>
      </c>
      <c r="F130" s="28">
        <f t="shared" si="51"/>
        <v>16051879.617117211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136" t="s">
        <v>361</v>
      </c>
      <c r="B131" s="28">
        <f t="shared" ref="B131:F131" si="52">B61*B64</f>
        <v>0</v>
      </c>
      <c r="C131" s="28">
        <f t="shared" si="52"/>
        <v>0</v>
      </c>
      <c r="D131" s="28">
        <f t="shared" si="52"/>
        <v>0</v>
      </c>
      <c r="E131" s="28">
        <f t="shared" si="52"/>
        <v>0</v>
      </c>
      <c r="F131" s="28">
        <f t="shared" si="52"/>
        <v>0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25" t="s">
        <v>362</v>
      </c>
      <c r="B132" s="28">
        <f t="shared" ref="B132:F132" si="53">B78*B80</f>
        <v>25518008.547499999</v>
      </c>
      <c r="C132" s="28">
        <f t="shared" si="53"/>
        <v>34504524.774999999</v>
      </c>
      <c r="D132" s="28">
        <f t="shared" si="53"/>
        <v>34504524.774999999</v>
      </c>
      <c r="E132" s="28">
        <f t="shared" si="53"/>
        <v>34506035.2230177</v>
      </c>
      <c r="F132" s="28">
        <f t="shared" si="53"/>
        <v>34506035.2230177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136" t="s">
        <v>363</v>
      </c>
      <c r="B133" s="28">
        <f t="shared" ref="B133:F133" si="54">B78*B81</f>
        <v>11570338.730138585</v>
      </c>
      <c r="C133" s="28">
        <f t="shared" si="54"/>
        <v>12882321.865833707</v>
      </c>
      <c r="D133" s="28">
        <f t="shared" si="54"/>
        <v>12882321.865833707</v>
      </c>
      <c r="E133" s="28">
        <f t="shared" si="54"/>
        <v>12882885.794119997</v>
      </c>
      <c r="F133" s="28">
        <f t="shared" si="54"/>
        <v>12882885.794119997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25" t="s">
        <v>364</v>
      </c>
      <c r="B134" s="28">
        <f t="shared" ref="B134:F134" si="55">B88-B129-B131-B133</f>
        <v>200384823.33831942</v>
      </c>
      <c r="C134" s="28">
        <f t="shared" si="55"/>
        <v>275995420.86536092</v>
      </c>
      <c r="D134" s="28">
        <f t="shared" si="55"/>
        <v>276030961.1341663</v>
      </c>
      <c r="E134" s="28">
        <f t="shared" si="55"/>
        <v>276030474.00140816</v>
      </c>
      <c r="F134" s="28">
        <f t="shared" si="55"/>
        <v>276030397.20587999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105" t="s">
        <v>365</v>
      </c>
      <c r="B135" s="221">
        <f t="shared" ref="B135:F135" si="56">(B128+B130+B132)/B134</f>
        <v>0.39279505097479767</v>
      </c>
      <c r="C135" s="221">
        <f t="shared" si="56"/>
        <v>0.35265814092737507</v>
      </c>
      <c r="D135" s="221">
        <f t="shared" si="56"/>
        <v>0.35227807632949032</v>
      </c>
      <c r="E135" s="221">
        <f t="shared" si="56"/>
        <v>0.35241388203189705</v>
      </c>
      <c r="F135" s="221">
        <f t="shared" si="56"/>
        <v>0.35241470373599099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6.5" customHeight="1">
      <c r="A136" s="222" t="s">
        <v>366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X1001" s="9"/>
      <c r="Y1001" s="9"/>
      <c r="Z1001" s="9"/>
    </row>
  </sheetData>
  <mergeCells count="61">
    <mergeCell ref="I85:J85"/>
    <mergeCell ref="I87:J87"/>
    <mergeCell ref="P70:S70"/>
    <mergeCell ref="P56:Q56"/>
    <mergeCell ref="I68:N68"/>
    <mergeCell ref="P71:S71"/>
    <mergeCell ref="I71:N71"/>
    <mergeCell ref="I59:J59"/>
    <mergeCell ref="I57:J57"/>
    <mergeCell ref="I69:N69"/>
    <mergeCell ref="I70:N70"/>
    <mergeCell ref="I64:J64"/>
    <mergeCell ref="I67:N67"/>
    <mergeCell ref="I65:J65"/>
    <mergeCell ref="K45:L45"/>
    <mergeCell ref="I62:J62"/>
    <mergeCell ref="I63:J63"/>
    <mergeCell ref="I55:J55"/>
    <mergeCell ref="I54:J54"/>
    <mergeCell ref="I50:J50"/>
    <mergeCell ref="I51:J51"/>
    <mergeCell ref="I53:J53"/>
    <mergeCell ref="I52:J52"/>
    <mergeCell ref="P91:Q91"/>
    <mergeCell ref="P72:S72"/>
    <mergeCell ref="P74:S74"/>
    <mergeCell ref="P73:S73"/>
    <mergeCell ref="S81:T81"/>
    <mergeCell ref="P88:S88"/>
    <mergeCell ref="K43:L43"/>
    <mergeCell ref="K44:L44"/>
    <mergeCell ref="K42:L42"/>
    <mergeCell ref="P89:S89"/>
    <mergeCell ref="P90:R90"/>
    <mergeCell ref="I75:N75"/>
    <mergeCell ref="I74:N74"/>
    <mergeCell ref="I81:J81"/>
    <mergeCell ref="I79:K79"/>
    <mergeCell ref="I84:J84"/>
    <mergeCell ref="I82:J82"/>
    <mergeCell ref="I83:J83"/>
    <mergeCell ref="I73:N73"/>
    <mergeCell ref="I72:N72"/>
    <mergeCell ref="I60:J60"/>
    <mergeCell ref="I61:J61"/>
    <mergeCell ref="P38:Q38"/>
    <mergeCell ref="P39:Q39"/>
    <mergeCell ref="K17:L17"/>
    <mergeCell ref="K14:L14"/>
    <mergeCell ref="K15:L15"/>
    <mergeCell ref="K16:L16"/>
    <mergeCell ref="K25:L25"/>
    <mergeCell ref="K22:L22"/>
    <mergeCell ref="K27:N27"/>
    <mergeCell ref="T24:U24"/>
    <mergeCell ref="P37:Q37"/>
    <mergeCell ref="K21:L21"/>
    <mergeCell ref="K20:L20"/>
    <mergeCell ref="N5:P5"/>
    <mergeCell ref="K18:L18"/>
    <mergeCell ref="K19:L1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5.42578125" customWidth="1"/>
    <col min="2" max="7" width="14.7109375" customWidth="1"/>
    <col min="8" max="26" width="9" customWidth="1"/>
  </cols>
  <sheetData>
    <row r="1" spans="1:26" ht="14.25" customHeight="1">
      <c r="A1" s="2" t="s">
        <v>3</v>
      </c>
      <c r="E1" s="6">
        <f>InfoInicial!E1</f>
        <v>13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>
      <c r="A3" s="33" t="s">
        <v>145</v>
      </c>
      <c r="B3" s="34"/>
      <c r="C3" s="34"/>
      <c r="D3" s="34"/>
      <c r="E3" s="34"/>
      <c r="F3" s="34"/>
      <c r="G3" s="3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38" t="s">
        <v>99</v>
      </c>
      <c r="B4" s="14" t="s">
        <v>37</v>
      </c>
      <c r="C4" s="14" t="s">
        <v>41</v>
      </c>
      <c r="D4" s="14" t="s">
        <v>56</v>
      </c>
      <c r="E4" s="14" t="s">
        <v>57</v>
      </c>
      <c r="F4" s="14" t="s">
        <v>58</v>
      </c>
      <c r="G4" s="15" t="s">
        <v>59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69" t="s">
        <v>147</v>
      </c>
      <c r="B5" s="71"/>
      <c r="C5" s="49"/>
      <c r="D5" s="49"/>
      <c r="E5" s="49"/>
      <c r="F5" s="49"/>
      <c r="G5" s="7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73" t="s">
        <v>149</v>
      </c>
      <c r="B6" s="74">
        <f>C6*0.8</f>
        <v>489996</v>
      </c>
      <c r="C6" s="70">
        <f>InfoInicial!$B$19*InfoInicial!$B$20*0.02</f>
        <v>612495</v>
      </c>
      <c r="D6" s="70">
        <f>InfoInicial!$B$19*InfoInicial!$B$20*0.02</f>
        <v>612495</v>
      </c>
      <c r="E6" s="70">
        <f>InfoInicial!$B$19*InfoInicial!$B$20*0.02</f>
        <v>612495</v>
      </c>
      <c r="F6" s="70">
        <f>InfoInicial!$B$19*InfoInicial!$B$20*0.02</f>
        <v>612495</v>
      </c>
      <c r="G6" s="78">
        <f>InfoInicial!$B$19*InfoInicial!$B$20*0.02</f>
        <v>612495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69" t="s">
        <v>153</v>
      </c>
      <c r="B7" s="80">
        <v>0</v>
      </c>
      <c r="C7" s="70">
        <f>InfoInicial!B39*'Información relevante'!B24/365</f>
        <v>0</v>
      </c>
      <c r="D7" s="70">
        <f>InfoInicial!B39*'Información relevante'!C24/365</f>
        <v>0</v>
      </c>
      <c r="E7" s="70">
        <f>InfoInicial!B39*'Información relevante'!D24/365</f>
        <v>0</v>
      </c>
      <c r="F7" s="70">
        <f>InfoInicial!B39*'Información relevante'!E24/365</f>
        <v>0</v>
      </c>
      <c r="G7" s="78">
        <f>InfoInicial!B39*'Información relevante'!F24/365</f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83"/>
      <c r="B8" s="85"/>
      <c r="C8" s="70"/>
      <c r="D8" s="70"/>
      <c r="E8" s="70"/>
      <c r="F8" s="70"/>
      <c r="G8" s="7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69" t="s">
        <v>163</v>
      </c>
      <c r="B9" s="74">
        <f t="shared" ref="B9:G9" si="0">SUM(B10:B13)</f>
        <v>1441625.8719331627</v>
      </c>
      <c r="C9" s="70">
        <f t="shared" si="0"/>
        <v>2359073.2118976233</v>
      </c>
      <c r="D9" s="70">
        <f t="shared" si="0"/>
        <v>1830098.7429145924</v>
      </c>
      <c r="E9" s="70">
        <f t="shared" si="0"/>
        <v>1830098.7429145924</v>
      </c>
      <c r="F9" s="87">
        <f t="shared" si="0"/>
        <v>1830375.2899399833</v>
      </c>
      <c r="G9" s="88">
        <f t="shared" si="0"/>
        <v>1830375.2899399833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83" t="s">
        <v>166</v>
      </c>
      <c r="B10" s="74">
        <f>'Información relevante'!B29*'Información relevante'!C29</f>
        <v>613750</v>
      </c>
      <c r="C10" s="70">
        <f>'Información relevante'!$B$30*'Información relevante'!$C$30</f>
        <v>118512.5</v>
      </c>
      <c r="D10" s="70">
        <f>'Información relevante'!$B$30*'Información relevante'!$C$30</f>
        <v>118512.5</v>
      </c>
      <c r="E10" s="70">
        <f>'Información relevante'!$B$30*'Información relevante'!$C$30</f>
        <v>118512.5</v>
      </c>
      <c r="F10" s="70">
        <f>'Información relevante'!$B$30*'Información relevante'!$C$30</f>
        <v>118512.5</v>
      </c>
      <c r="G10" s="78">
        <f>'Información relevante'!$B$30*'Información relevante'!$C$30</f>
        <v>118512.5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83" t="s">
        <v>169</v>
      </c>
      <c r="B11" s="74">
        <f>C11*0.8</f>
        <v>827875.87193316268</v>
      </c>
      <c r="C11" s="70">
        <f>'E-Costos'!B12*3/12+'E-Costos'!B54/12+'E-Costos'!B71/12</f>
        <v>1034844.8399164533</v>
      </c>
      <c r="D11" s="70">
        <f>'E-Costos'!C12*3/12+'E-Costos'!C54/12+'E-Costos'!C71/12</f>
        <v>1184678.9017229371</v>
      </c>
      <c r="E11" s="70">
        <f>'E-Costos'!D12*3/12+'E-Costos'!D54/12+'E-Costos'!D71/12</f>
        <v>1184678.9017229371</v>
      </c>
      <c r="F11" s="70">
        <f>'E-Costos'!E12*3/12+'E-Costos'!E54/12+'E-Costos'!E71/12</f>
        <v>1184678.9017229371</v>
      </c>
      <c r="G11" s="78">
        <f>'E-Costos'!F12*3/12+'E-Costos'!F54/12+'E-Costos'!F71/12</f>
        <v>1184678.9017229371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83" t="s">
        <v>175</v>
      </c>
      <c r="B12" s="74">
        <v>0</v>
      </c>
      <c r="C12" s="70">
        <f>'E-Costos'!B35</f>
        <v>654823.64111927687</v>
      </c>
      <c r="D12" s="70">
        <f>'E-Costos'!C35</f>
        <v>526907.34119165526</v>
      </c>
      <c r="E12" s="70">
        <f>'E-Costos'!D35</f>
        <v>526907.34119165526</v>
      </c>
      <c r="F12" s="70">
        <f>'E-Costos'!E35</f>
        <v>527183.88821704616</v>
      </c>
      <c r="G12" s="78">
        <f>'E-Costos'!F35</f>
        <v>527183.88821704616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83" t="s">
        <v>176</v>
      </c>
      <c r="B13" s="74">
        <v>0</v>
      </c>
      <c r="C13" s="70">
        <f>('E-Costos'!$B$101-'E-Costos'!$B$86)*'E-Costos'!B102</f>
        <v>550892.23086189316</v>
      </c>
      <c r="D13" s="70">
        <f>('E-Costos'!$C$101-'E-Costos'!$C$86)*'E-Costos'!C102</f>
        <v>0</v>
      </c>
      <c r="E13" s="70">
        <f>('E-Costos'!$D$101-'E-Costos'!$D$86)*'E-Costos'!D102</f>
        <v>0</v>
      </c>
      <c r="F13" s="87">
        <f>('E-Costos'!$E$101-'E-Costos'!$E$86)*'E-Costos'!E102</f>
        <v>0</v>
      </c>
      <c r="G13" s="88">
        <f>('E-Costos'!$F$101-'E-Costos'!$F$86)*'E-Costos'!F102</f>
        <v>0</v>
      </c>
      <c r="H13" s="3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83"/>
      <c r="B14" s="74"/>
      <c r="C14" s="70"/>
      <c r="D14" s="70"/>
      <c r="E14" s="70"/>
      <c r="F14" s="70"/>
      <c r="G14" s="7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69" t="s">
        <v>181</v>
      </c>
      <c r="B15" s="74">
        <f t="shared" ref="B15:E15" si="1">B6+B7+B9</f>
        <v>1931621.8719331627</v>
      </c>
      <c r="C15" s="70">
        <f t="shared" si="1"/>
        <v>2971568.2118976233</v>
      </c>
      <c r="D15" s="70">
        <f t="shared" si="1"/>
        <v>2442593.7429145924</v>
      </c>
      <c r="E15" s="70">
        <f t="shared" si="1"/>
        <v>2442593.7429145924</v>
      </c>
      <c r="F15" s="70">
        <f t="shared" ref="F15:G15" si="2">F6+F9</f>
        <v>2442870.2899399833</v>
      </c>
      <c r="G15" s="78">
        <f t="shared" si="2"/>
        <v>2442870.2899399833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69" t="s">
        <v>186</v>
      </c>
      <c r="B16" s="74"/>
      <c r="C16" s="70"/>
      <c r="D16" s="70"/>
      <c r="E16" s="70"/>
      <c r="F16" s="70"/>
      <c r="G16" s="7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83" t="s">
        <v>187</v>
      </c>
      <c r="B17" s="74">
        <v>0</v>
      </c>
      <c r="C17" s="70">
        <f>'E-Costos'!B28</f>
        <v>309963.19997027179</v>
      </c>
      <c r="D17" s="70">
        <f>'E-Costos'!C28</f>
        <v>228833.68156156529</v>
      </c>
      <c r="E17" s="70">
        <f>'E-Costos'!D28</f>
        <v>228833.68156156529</v>
      </c>
      <c r="F17" s="70">
        <f>'E-Costos'!E28</f>
        <v>229093.10653847983</v>
      </c>
      <c r="G17" s="78">
        <f>'E-Costos'!F28</f>
        <v>229093.10653847983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83" t="s">
        <v>189</v>
      </c>
      <c r="B18" s="106">
        <v>0</v>
      </c>
      <c r="C18" s="108">
        <f>('E-Costos'!B10-'E-Costos'!B28)/'E-Costos'!B101*('E-Costos'!$B$101-'E-Costos'!$B$86)</f>
        <v>306541.14022032451</v>
      </c>
      <c r="D18" s="108">
        <f>('E-Costos'!C10-'E-Costos'!C28)/'E-Costos'!C101*('E-Costos'!$B$101-'E-Costos'!$B$86)</f>
        <v>226968.55970216892</v>
      </c>
      <c r="E18" s="108">
        <f>('E-Costos'!D10-'E-Costos'!D28)/'E-Costos'!D101*('E-Costos'!$B$101-'E-Costos'!$B$86)</f>
        <v>226968.55970216892</v>
      </c>
      <c r="F18" s="108">
        <f>('E-Costos'!E10-'E-Costos'!E28)/'E-Costos'!E101*('E-Costos'!$B$101-'E-Costos'!$B$86)</f>
        <v>227225.87022114175</v>
      </c>
      <c r="G18" s="113">
        <f>('E-Costos'!F10-'E-Costos'!F28)/'E-Costos'!F101*('E-Costos'!$B$101-'E-Costos'!$B$86)</f>
        <v>227225.87022114175</v>
      </c>
      <c r="H18" s="9"/>
      <c r="I18" s="114"/>
      <c r="J18" s="117"/>
      <c r="K18" s="117"/>
      <c r="L18" s="117"/>
      <c r="M18" s="11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83" t="s">
        <v>201</v>
      </c>
      <c r="B19" s="106">
        <v>0</v>
      </c>
      <c r="C19" s="70">
        <f>C7*'E-Costos'!B121</f>
        <v>0</v>
      </c>
      <c r="D19" s="70">
        <f>D7*'E-Costos'!C121</f>
        <v>0</v>
      </c>
      <c r="E19" s="70">
        <f>E7*'E-Costos'!D121</f>
        <v>0</v>
      </c>
      <c r="F19" s="70">
        <f>F7*'E-Costos'!E121</f>
        <v>0</v>
      </c>
      <c r="G19" s="78">
        <f>G7*'E-Costos'!F121</f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83" t="s">
        <v>202</v>
      </c>
      <c r="B20" s="74">
        <v>0</v>
      </c>
      <c r="C20" s="108">
        <v>0</v>
      </c>
      <c r="D20" s="108">
        <v>0</v>
      </c>
      <c r="E20" s="108">
        <v>0</v>
      </c>
      <c r="F20" s="108">
        <v>0</v>
      </c>
      <c r="G20" s="113"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83"/>
      <c r="B21" s="74"/>
      <c r="C21" s="70"/>
      <c r="D21" s="70"/>
      <c r="E21" s="70"/>
      <c r="F21" s="70"/>
      <c r="G21" s="7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69" t="s">
        <v>203</v>
      </c>
      <c r="B22" s="106">
        <f t="shared" ref="B22:G22" si="3">B15-B17-B18-B19-B20</f>
        <v>1931621.8719331627</v>
      </c>
      <c r="C22" s="108">
        <f t="shared" si="3"/>
        <v>2355063.8717070268</v>
      </c>
      <c r="D22" s="108">
        <f t="shared" si="3"/>
        <v>1986791.501650858</v>
      </c>
      <c r="E22" s="108">
        <f t="shared" si="3"/>
        <v>1986791.501650858</v>
      </c>
      <c r="F22" s="108">
        <f t="shared" si="3"/>
        <v>1986551.3131803619</v>
      </c>
      <c r="G22" s="113">
        <f t="shared" si="3"/>
        <v>1986551.3131803619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83"/>
      <c r="B23" s="74"/>
      <c r="C23" s="70"/>
      <c r="D23" s="70"/>
      <c r="E23" s="70"/>
      <c r="F23" s="70"/>
      <c r="G23" s="7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69" t="s">
        <v>205</v>
      </c>
      <c r="B24" s="74">
        <f>B15</f>
        <v>1931621.8719331627</v>
      </c>
      <c r="C24" s="70">
        <f t="shared" ref="C24:G24" si="4">C15-B15</f>
        <v>1039946.3399644606</v>
      </c>
      <c r="D24" s="108">
        <f t="shared" si="4"/>
        <v>-528974.46898303088</v>
      </c>
      <c r="E24" s="108">
        <f t="shared" si="4"/>
        <v>0</v>
      </c>
      <c r="F24" s="70">
        <f t="shared" si="4"/>
        <v>276.54702539090067</v>
      </c>
      <c r="G24" s="78">
        <f t="shared" si="4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69" t="s">
        <v>206</v>
      </c>
      <c r="B25" s="106">
        <f>B22</f>
        <v>1931621.8719331627</v>
      </c>
      <c r="C25" s="108">
        <f t="shared" ref="C25:G25" si="5">C22-B22</f>
        <v>423441.99977386417</v>
      </c>
      <c r="D25" s="70">
        <f t="shared" si="5"/>
        <v>-368272.37005616887</v>
      </c>
      <c r="E25" s="108">
        <f t="shared" si="5"/>
        <v>0</v>
      </c>
      <c r="F25" s="70">
        <f t="shared" si="5"/>
        <v>-240.18847049609758</v>
      </c>
      <c r="G25" s="78">
        <f t="shared" si="5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83"/>
      <c r="B26" s="74"/>
      <c r="C26" s="70"/>
      <c r="D26" s="70"/>
      <c r="E26" s="70"/>
      <c r="F26" s="70"/>
      <c r="G26" s="7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69" t="s">
        <v>207</v>
      </c>
      <c r="B27" s="74"/>
      <c r="C27" s="70"/>
      <c r="D27" s="70"/>
      <c r="E27" s="70"/>
      <c r="F27" s="70"/>
      <c r="G27" s="7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83" t="s">
        <v>208</v>
      </c>
      <c r="B28" s="74"/>
      <c r="C28" s="70"/>
      <c r="D28" s="70"/>
      <c r="E28" s="70"/>
      <c r="F28" s="70"/>
      <c r="G28" s="7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83" t="s">
        <v>209</v>
      </c>
      <c r="B29" s="74"/>
      <c r="C29" s="70"/>
      <c r="D29" s="70"/>
      <c r="E29" s="70"/>
      <c r="F29" s="70"/>
      <c r="G29" s="7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83" t="s">
        <v>210</v>
      </c>
      <c r="B30" s="74">
        <f>B10*InfoInicial!B3</f>
        <v>128887.5</v>
      </c>
      <c r="C30" s="108">
        <v>0</v>
      </c>
      <c r="D30" s="108">
        <v>0</v>
      </c>
      <c r="E30" s="108">
        <v>0</v>
      </c>
      <c r="F30" s="108">
        <v>0</v>
      </c>
      <c r="G30" s="113"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83" t="s">
        <v>211</v>
      </c>
      <c r="B31" s="74">
        <f>B11*InfoInicial!B3</f>
        <v>173853.93310596416</v>
      </c>
      <c r="C31" s="70">
        <f>(C11-B11)*InfoInicial!B3</f>
        <v>43463.483276491039</v>
      </c>
      <c r="D31" s="70">
        <f>(D11-C11)*InfoInicial!B3</f>
        <v>31465.152979361592</v>
      </c>
      <c r="E31" s="70">
        <f>(E11-D11)*InfoInicial!B3</f>
        <v>0</v>
      </c>
      <c r="F31" s="70">
        <f>(F11-E11)*InfoInicial!B3</f>
        <v>0</v>
      </c>
      <c r="G31" s="78">
        <f>(G11-F11)*InfoInicial!B3</f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83" t="s">
        <v>212</v>
      </c>
      <c r="B32" s="106">
        <v>0</v>
      </c>
      <c r="C32" s="70">
        <f>('E-Costos'!B26+'E-Costos'!B31+'E-Costos'!B32+'E-Costos'!B33)*InfoInicial!B3</f>
        <v>21978.50659497362</v>
      </c>
      <c r="D32" s="70">
        <f>('E-Costos'!C26+'E-Costos'!C31+'E-Costos'!C32+'E-Costos'!C33)*InfoInicial!B3-C32</f>
        <v>-4872.1886603114363</v>
      </c>
      <c r="E32" s="70">
        <f>('E-Costos'!D26+'E-Costos'!D31+'E-Costos'!D32+'E-Costos'!D33)*InfoInicial!B3-('E-Costos'!C26+'E-Costos'!C31+'E-Costos'!C32+'E-Costos'!C33)*InfoInicial!B3</f>
        <v>0</v>
      </c>
      <c r="F32" s="70">
        <f>('E-Costos'!E26+'E-Costos'!E31+'E-Costos'!E32+'E-Costos'!E33)*InfoInicial!B3-('E-Costos'!D26+'E-Costos'!D31+'E-Costos'!D32+'E-Costos'!D33)*InfoInicial!B3</f>
        <v>0</v>
      </c>
      <c r="G32" s="78">
        <f>('E-Costos'!F26+'E-Costos'!F31+'E-Costos'!F32+'E-Costos'!F33)*InfoInicial!B3-('E-Costos'!E26+'E-Costos'!E31+'E-Costos'!E32+'E-Costos'!E33)*InfoInicial!B3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83" t="s">
        <v>214</v>
      </c>
      <c r="B33" s="106">
        <v>0</v>
      </c>
      <c r="C33" s="108">
        <f>(C13-B13)*InfoInicial!B3</f>
        <v>115687.36848099755</v>
      </c>
      <c r="D33" s="108">
        <f>(D13-C13)*0.21</f>
        <v>-115687.36848099755</v>
      </c>
      <c r="E33" s="70">
        <f>('E-Costos'!D27+'E-Costos'!D32+'E-Costos'!D33+'E-Costos'!D34)*InfoInicial!B4-('E-Costos'!C27+'E-Costos'!C32+'E-Costos'!C33+'E-Costos'!C34)*InfoInicial!B4</f>
        <v>0</v>
      </c>
      <c r="F33" s="70">
        <f>('E-Costos'!E27+'E-Costos'!E32+'E-Costos'!E33+'E-Costos'!E34)*InfoInicial!C4-('E-Costos'!D27+'E-Costos'!D32+'E-Costos'!D33+'E-Costos'!D34)*InfoInicial!C4</f>
        <v>0</v>
      </c>
      <c r="G33" s="78">
        <f>('E-Costos'!F27+'E-Costos'!F32+'E-Costos'!F33+'E-Costos'!F34)*InfoInicial!D4-('E-Costos'!E27+'E-Costos'!E32+'E-Costos'!E33+'E-Costos'!E34)*InfoInicial!D4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69" t="s">
        <v>220</v>
      </c>
      <c r="B34" s="137">
        <f t="shared" ref="B34:G34" si="6">B33+B32+B31+B30</f>
        <v>302741.43310596416</v>
      </c>
      <c r="C34" s="108">
        <f t="shared" si="6"/>
        <v>181129.35835246224</v>
      </c>
      <c r="D34" s="108">
        <f t="shared" si="6"/>
        <v>-89094.404161947401</v>
      </c>
      <c r="E34" s="143">
        <f t="shared" si="6"/>
        <v>0</v>
      </c>
      <c r="F34" s="143">
        <f t="shared" si="6"/>
        <v>0</v>
      </c>
      <c r="G34" s="145">
        <f t="shared" si="6"/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83"/>
      <c r="B35" s="149"/>
      <c r="C35" s="139"/>
      <c r="D35" s="139"/>
      <c r="E35" s="139"/>
      <c r="F35" s="139"/>
      <c r="G35" s="15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>
      <c r="A36" s="152" t="s">
        <v>226</v>
      </c>
      <c r="B36" s="154">
        <f t="shared" ref="B36:G36" si="7">B25+B34</f>
        <v>2234363.3050391269</v>
      </c>
      <c r="C36" s="156">
        <f t="shared" si="7"/>
        <v>604571.35812632646</v>
      </c>
      <c r="D36" s="156">
        <f t="shared" si="7"/>
        <v>-457366.7742181163</v>
      </c>
      <c r="E36" s="156">
        <f t="shared" si="7"/>
        <v>0</v>
      </c>
      <c r="F36" s="156">
        <f t="shared" si="7"/>
        <v>-240.18847049609758</v>
      </c>
      <c r="G36" s="158">
        <f t="shared" si="7"/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/>
  </sheetViews>
  <sheetFormatPr baseColWidth="10" defaultColWidth="14.42578125" defaultRowHeight="15" customHeight="1"/>
  <cols>
    <col min="1" max="1" width="28" customWidth="1"/>
    <col min="2" max="2" width="13.85546875" customWidth="1"/>
    <col min="3" max="3" width="15.85546875" bestFit="1" customWidth="1"/>
    <col min="4" max="4" width="14.85546875" bestFit="1" customWidth="1"/>
    <col min="5" max="5" width="12.85546875" bestFit="1" customWidth="1"/>
    <col min="6" max="6" width="12" customWidth="1"/>
    <col min="7" max="8" width="13.85546875" customWidth="1"/>
    <col min="9" max="9" width="15.85546875" bestFit="1" customWidth="1"/>
    <col min="10" max="11" width="9" customWidth="1"/>
    <col min="12" max="12" width="11.28515625" customWidth="1"/>
    <col min="13" max="13" width="12.42578125" customWidth="1"/>
    <col min="14" max="14" width="11" customWidth="1"/>
    <col min="15" max="28" width="9" customWidth="1"/>
  </cols>
  <sheetData>
    <row r="1" spans="1:28" ht="14.25" customHeight="1">
      <c r="A1" s="2" t="s">
        <v>3</v>
      </c>
      <c r="E1" s="9"/>
      <c r="F1" s="9"/>
      <c r="G1" s="6">
        <f>InfoInicial!E1</f>
        <v>13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6.5" customHeight="1">
      <c r="A3" s="33" t="s">
        <v>367</v>
      </c>
      <c r="B3" s="34"/>
      <c r="C3" s="34"/>
      <c r="D3" s="34"/>
      <c r="E3" s="34"/>
      <c r="F3" s="34"/>
      <c r="G3" s="34"/>
      <c r="H3" s="34"/>
      <c r="I3" s="3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26.25" customHeight="1">
      <c r="A4" s="38" t="s">
        <v>99</v>
      </c>
      <c r="B4" s="223" t="s">
        <v>368</v>
      </c>
      <c r="C4" s="223" t="s">
        <v>369</v>
      </c>
      <c r="D4" s="14" t="s">
        <v>41</v>
      </c>
      <c r="E4" s="14" t="s">
        <v>56</v>
      </c>
      <c r="F4" s="14" t="s">
        <v>57</v>
      </c>
      <c r="G4" s="14" t="s">
        <v>58</v>
      </c>
      <c r="H4" s="224" t="s">
        <v>59</v>
      </c>
      <c r="I4" s="15" t="s">
        <v>370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3.5" customHeight="1">
      <c r="A5" s="69" t="s">
        <v>371</v>
      </c>
      <c r="B5" s="49"/>
      <c r="C5" s="49"/>
      <c r="D5" s="49"/>
      <c r="E5" s="49"/>
      <c r="F5" s="49"/>
      <c r="G5" s="49"/>
      <c r="H5" s="225"/>
      <c r="I5" s="5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2.75" customHeight="1">
      <c r="A6" s="83" t="s">
        <v>372</v>
      </c>
      <c r="B6" s="70"/>
      <c r="C6" s="70">
        <f>'E-Inv AF y Am'!B7+'E-Inv AF y Am'!B9+'E-Inv AF y Am'!B11+'E-Inv AF y Am'!D14+'E-Inv AF y Am'!B16+'E-Inv AF y Am'!B19+'E-Inv AF y Am'!D22+'E-Inv AF y Am'!B24+'E-Inv AF y Am'!B26+'E-Inv AF y Am'!B31+'E-Inv AF y Am'!D31</f>
        <v>433843177.63799995</v>
      </c>
      <c r="D6" s="108">
        <v>0</v>
      </c>
      <c r="E6" s="108">
        <v>0</v>
      </c>
      <c r="F6" s="108">
        <v>0</v>
      </c>
      <c r="G6" s="108">
        <v>0</v>
      </c>
      <c r="H6" s="226">
        <v>0</v>
      </c>
      <c r="I6" s="76">
        <f t="shared" ref="I6:I8" si="0">SUM(C6:H6)</f>
        <v>433843177.63799995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2.75" customHeight="1">
      <c r="A7" s="83" t="s">
        <v>373</v>
      </c>
      <c r="B7" s="70">
        <f>'E-Inv AF y Am'!B35</f>
        <v>60000</v>
      </c>
      <c r="C7" s="70">
        <f>'E-Inv AF y Am'!B36+'E-Inv AF y Am'!B37+'E-Inv AF y Am'!B42</f>
        <v>142540</v>
      </c>
      <c r="D7" s="108">
        <f>'E-Inv AF y Am'!C38</f>
        <v>8759071.7478488944</v>
      </c>
      <c r="E7" s="108">
        <v>0</v>
      </c>
      <c r="F7" s="108">
        <v>0</v>
      </c>
      <c r="G7" s="108">
        <v>0</v>
      </c>
      <c r="H7" s="226">
        <v>0</v>
      </c>
      <c r="I7" s="76">
        <f t="shared" si="0"/>
        <v>8901611.7478488944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2.75" customHeight="1">
      <c r="A8" s="69" t="s">
        <v>374</v>
      </c>
      <c r="B8" s="70">
        <f t="shared" ref="B8:H8" si="1">B6+B7</f>
        <v>60000</v>
      </c>
      <c r="C8" s="212">
        <f t="shared" si="1"/>
        <v>433985717.63799995</v>
      </c>
      <c r="D8" s="212">
        <f t="shared" si="1"/>
        <v>8759071.7478488944</v>
      </c>
      <c r="E8" s="212">
        <f t="shared" si="1"/>
        <v>0</v>
      </c>
      <c r="F8" s="212">
        <f t="shared" si="1"/>
        <v>0</v>
      </c>
      <c r="G8" s="212">
        <f t="shared" si="1"/>
        <v>0</v>
      </c>
      <c r="H8" s="212">
        <f t="shared" si="1"/>
        <v>0</v>
      </c>
      <c r="I8" s="216">
        <f t="shared" si="0"/>
        <v>442744789.38584882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2.75" customHeight="1">
      <c r="A9" s="83"/>
      <c r="B9" s="70"/>
      <c r="C9" s="70"/>
      <c r="D9" s="70"/>
      <c r="E9" s="70"/>
      <c r="F9" s="70"/>
      <c r="G9" s="70"/>
      <c r="H9" s="227"/>
      <c r="I9" s="7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2.75" customHeight="1">
      <c r="A10" s="69" t="s">
        <v>375</v>
      </c>
      <c r="B10" s="70"/>
      <c r="C10" s="70"/>
      <c r="D10" s="70"/>
      <c r="E10" s="70"/>
      <c r="F10" s="70"/>
      <c r="G10" s="70"/>
      <c r="H10" s="227"/>
      <c r="I10" s="7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2.75" customHeight="1">
      <c r="A11" s="83" t="s">
        <v>376</v>
      </c>
      <c r="B11" s="70"/>
      <c r="C11" s="70">
        <f>'E-InvAT'!B6</f>
        <v>489996</v>
      </c>
      <c r="D11" s="70">
        <f>'E-InvAT'!C6-'E-InvAT'!B6</f>
        <v>122499</v>
      </c>
      <c r="E11" s="70">
        <f>'E-InvAT'!D6-'E-InvAT'!C6</f>
        <v>0</v>
      </c>
      <c r="F11" s="70">
        <f>'E-InvAT'!E6-'E-InvAT'!D6</f>
        <v>0</v>
      </c>
      <c r="G11" s="70">
        <f>'E-InvAT'!F6-'E-InvAT'!E6</f>
        <v>0</v>
      </c>
      <c r="H11" s="70">
        <f>'E-InvAT'!G6-'E-InvAT'!F6</f>
        <v>0</v>
      </c>
      <c r="I11" s="76">
        <f>SUM(C11:H11)</f>
        <v>612495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2.75" customHeight="1">
      <c r="A12" s="83" t="s">
        <v>377</v>
      </c>
      <c r="B12" s="70"/>
      <c r="C12" s="70"/>
      <c r="D12" s="70"/>
      <c r="E12" s="70"/>
      <c r="F12" s="70"/>
      <c r="G12" s="70"/>
      <c r="H12" s="227"/>
      <c r="I12" s="7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2.75" customHeight="1">
      <c r="A13" s="83" t="s">
        <v>378</v>
      </c>
      <c r="B13" s="70"/>
      <c r="C13" s="70"/>
      <c r="D13" s="70"/>
      <c r="E13" s="70"/>
      <c r="F13" s="70"/>
      <c r="G13" s="70"/>
      <c r="H13" s="227"/>
      <c r="I13" s="7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2.75" customHeight="1">
      <c r="A14" s="83" t="s">
        <v>379</v>
      </c>
      <c r="B14" s="70"/>
      <c r="C14" s="70">
        <f>'E-InvAT'!B10</f>
        <v>613750</v>
      </c>
      <c r="D14" s="70">
        <f>'E-InvAT'!C10-'E-InvAT'!B10</f>
        <v>-495237.5</v>
      </c>
      <c r="E14" s="70">
        <f>'E-InvAT'!D10-'E-InvAT'!C10</f>
        <v>0</v>
      </c>
      <c r="F14" s="70">
        <f>'E-InvAT'!E10-'E-InvAT'!D10</f>
        <v>0</v>
      </c>
      <c r="G14" s="70">
        <f>'E-InvAT'!F10-'E-InvAT'!E10</f>
        <v>0</v>
      </c>
      <c r="H14" s="70">
        <f>'E-InvAT'!G10-'E-InvAT'!F10</f>
        <v>0</v>
      </c>
      <c r="I14" s="76">
        <f t="shared" ref="I14:I18" si="2">SUM(C14:H14)</f>
        <v>118512.5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2.75" customHeight="1">
      <c r="A15" s="83" t="s">
        <v>380</v>
      </c>
      <c r="B15" s="70"/>
      <c r="C15" s="70">
        <f>'E-InvAT'!B11</f>
        <v>827875.87193316268</v>
      </c>
      <c r="D15" s="70">
        <f>'E-InvAT'!C11-'E-InvAT'!B11</f>
        <v>206968.96798329067</v>
      </c>
      <c r="E15" s="70">
        <f>'E-InvAT'!D11-'E-InvAT'!C11</f>
        <v>149834.06180648378</v>
      </c>
      <c r="F15" s="70">
        <f>'E-InvAT'!E11-'E-InvAT'!D11</f>
        <v>0</v>
      </c>
      <c r="G15" s="70">
        <f>'E-InvAT'!F11-'E-InvAT'!E11</f>
        <v>0</v>
      </c>
      <c r="H15" s="70">
        <f>'E-InvAT'!G11-'E-InvAT'!F11</f>
        <v>0</v>
      </c>
      <c r="I15" s="76">
        <f t="shared" si="2"/>
        <v>1184678.9017229371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2.75" customHeight="1">
      <c r="A16" s="83" t="s">
        <v>382</v>
      </c>
      <c r="B16" s="70"/>
      <c r="C16" s="108" t="s">
        <v>383</v>
      </c>
      <c r="D16" s="70">
        <f>'E-InvAT'!C12-'E-InvAT'!B12</f>
        <v>654823.64111927687</v>
      </c>
      <c r="E16" s="70">
        <f>'E-InvAT'!D12-'E-InvAT'!C12</f>
        <v>-127916.29992762161</v>
      </c>
      <c r="F16" s="70">
        <f>'E-InvAT'!E12-'E-InvAT'!D12</f>
        <v>0</v>
      </c>
      <c r="G16" s="70">
        <f>'E-InvAT'!F12-'E-InvAT'!E12</f>
        <v>276.54702539090067</v>
      </c>
      <c r="H16" s="70">
        <f>'E-InvAT'!G12-'E-InvAT'!F12</f>
        <v>0</v>
      </c>
      <c r="I16" s="76">
        <f t="shared" si="2"/>
        <v>527183.88821704616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2.75" customHeight="1">
      <c r="A17" s="83" t="s">
        <v>384</v>
      </c>
      <c r="B17" s="70"/>
      <c r="C17" s="108" t="s">
        <v>383</v>
      </c>
      <c r="D17" s="70">
        <f>'E-InvAT'!C13-'E-InvAT'!B13</f>
        <v>550892.23086189316</v>
      </c>
      <c r="E17" s="232">
        <f>'E-InvAT'!D13-'E-InvAT'!C13</f>
        <v>-550892.23086189316</v>
      </c>
      <c r="F17" s="232">
        <f>'E-InvAT'!E13-'E-InvAT'!D13</f>
        <v>0</v>
      </c>
      <c r="G17" s="232">
        <f>'E-InvAT'!F13-'E-InvAT'!E13</f>
        <v>0</v>
      </c>
      <c r="H17" s="232">
        <f>'E-InvAT'!G13-'E-InvAT'!F13</f>
        <v>0</v>
      </c>
      <c r="I17" s="76">
        <f t="shared" si="2"/>
        <v>0</v>
      </c>
      <c r="J17" s="9"/>
      <c r="K17" s="9"/>
      <c r="L17" s="9"/>
      <c r="M17" s="36" t="s">
        <v>41</v>
      </c>
      <c r="N17" s="36" t="s">
        <v>56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2.75" customHeight="1">
      <c r="A18" s="69" t="s">
        <v>387</v>
      </c>
      <c r="B18" s="70"/>
      <c r="C18" s="212">
        <f t="shared" ref="C18:D18" si="3">SUM(C11:C17)</f>
        <v>1931621.8719331627</v>
      </c>
      <c r="D18" s="212">
        <f t="shared" si="3"/>
        <v>1039946.3399644607</v>
      </c>
      <c r="E18" s="212">
        <f t="shared" ref="E18:H18" si="4">SUM(E14:E17)</f>
        <v>-528974.46898303099</v>
      </c>
      <c r="F18" s="212">
        <f t="shared" si="4"/>
        <v>0</v>
      </c>
      <c r="G18" s="212">
        <f t="shared" si="4"/>
        <v>276.54702539090067</v>
      </c>
      <c r="H18" s="212">
        <f t="shared" si="4"/>
        <v>0</v>
      </c>
      <c r="I18" s="216">
        <f t="shared" si="2"/>
        <v>2442870.2899399833</v>
      </c>
      <c r="J18" s="9"/>
      <c r="K18" s="9"/>
      <c r="L18" s="36" t="s">
        <v>389</v>
      </c>
      <c r="M18" s="237">
        <f>D17</f>
        <v>550892.23086189316</v>
      </c>
      <c r="N18" s="237">
        <f>D17-E17</f>
        <v>1101784.4617237863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12.75" customHeight="1">
      <c r="A19" s="83"/>
      <c r="B19" s="70"/>
      <c r="C19" s="70"/>
      <c r="D19" s="70"/>
      <c r="E19" s="70"/>
      <c r="F19" s="70"/>
      <c r="G19" s="70"/>
      <c r="H19" s="227"/>
      <c r="I19" s="21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2.75" customHeight="1">
      <c r="A20" s="69" t="s">
        <v>390</v>
      </c>
      <c r="B20" s="70"/>
      <c r="C20" s="70"/>
      <c r="D20" s="70"/>
      <c r="E20" s="70"/>
      <c r="F20" s="70"/>
      <c r="G20" s="70"/>
      <c r="H20" s="227"/>
      <c r="I20" s="21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2.75" customHeight="1">
      <c r="A21" s="83" t="s">
        <v>391</v>
      </c>
      <c r="B21" s="70">
        <f>'E-Inv AF y Am'!B35*InfoInicial!B3</f>
        <v>12600</v>
      </c>
      <c r="C21" s="70">
        <f t="shared" ref="C21:H21" si="5">0.21*C8</f>
        <v>91137000.703979984</v>
      </c>
      <c r="D21" s="70">
        <f t="shared" si="5"/>
        <v>1839405.0670482677</v>
      </c>
      <c r="E21" s="70">
        <f t="shared" si="5"/>
        <v>0</v>
      </c>
      <c r="F21" s="70">
        <f t="shared" si="5"/>
        <v>0</v>
      </c>
      <c r="G21" s="70">
        <f t="shared" si="5"/>
        <v>0</v>
      </c>
      <c r="H21" s="70">
        <f t="shared" si="5"/>
        <v>0</v>
      </c>
      <c r="I21" s="76">
        <f t="shared" ref="I21:I23" si="6">SUM(C21:H21)</f>
        <v>92976405.77102825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2.75" customHeight="1">
      <c r="A22" s="83" t="s">
        <v>392</v>
      </c>
      <c r="B22" s="108">
        <v>0</v>
      </c>
      <c r="C22" s="70">
        <f>InfoInicial!B3*SUM(C14:C17)</f>
        <v>302741.43310596416</v>
      </c>
      <c r="D22" s="70">
        <f t="shared" ref="D22:H22" si="7">0.21*D18</f>
        <v>218388.73139253675</v>
      </c>
      <c r="E22" s="70">
        <f t="shared" si="7"/>
        <v>-111084.63848643651</v>
      </c>
      <c r="F22" s="70">
        <f t="shared" si="7"/>
        <v>0</v>
      </c>
      <c r="G22" s="70">
        <f t="shared" si="7"/>
        <v>58.074875332089135</v>
      </c>
      <c r="H22" s="70">
        <f t="shared" si="7"/>
        <v>0</v>
      </c>
      <c r="I22" s="76">
        <f t="shared" si="6"/>
        <v>410103.60088739643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12.75" customHeight="1">
      <c r="A23" s="69" t="s">
        <v>393</v>
      </c>
      <c r="B23" s="70">
        <f t="shared" ref="B23:H23" si="8">SUM(B21:B22)</f>
        <v>12600</v>
      </c>
      <c r="C23" s="212">
        <f t="shared" si="8"/>
        <v>91439742.137085944</v>
      </c>
      <c r="D23" s="212">
        <f t="shared" si="8"/>
        <v>2057793.7984408045</v>
      </c>
      <c r="E23" s="212">
        <f t="shared" si="8"/>
        <v>-111084.63848643651</v>
      </c>
      <c r="F23" s="212">
        <f t="shared" si="8"/>
        <v>0</v>
      </c>
      <c r="G23" s="212">
        <f t="shared" si="8"/>
        <v>58.074875332089135</v>
      </c>
      <c r="H23" s="212">
        <f t="shared" si="8"/>
        <v>0</v>
      </c>
      <c r="I23" s="216">
        <f t="shared" si="6"/>
        <v>93386509.371915638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12.75" customHeight="1">
      <c r="A24" s="69"/>
      <c r="B24" s="70"/>
      <c r="C24" s="70"/>
      <c r="D24" s="70"/>
      <c r="E24" s="70"/>
      <c r="F24" s="70"/>
      <c r="G24" s="70"/>
      <c r="H24" s="227"/>
      <c r="I24" s="7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3.5" customHeight="1">
      <c r="A25" s="152" t="s">
        <v>395</v>
      </c>
      <c r="B25" s="156">
        <f t="shared" ref="B25:H25" si="9">B8+B18+B23</f>
        <v>72600</v>
      </c>
      <c r="C25" s="240">
        <f t="shared" si="9"/>
        <v>527357081.64701903</v>
      </c>
      <c r="D25" s="240">
        <f t="shared" si="9"/>
        <v>11856811.88625416</v>
      </c>
      <c r="E25" s="240">
        <f t="shared" si="9"/>
        <v>-640059.10746946745</v>
      </c>
      <c r="F25" s="240">
        <f t="shared" si="9"/>
        <v>0</v>
      </c>
      <c r="G25" s="240">
        <f t="shared" si="9"/>
        <v>334.62190072298984</v>
      </c>
      <c r="H25" s="240">
        <f t="shared" si="9"/>
        <v>0</v>
      </c>
      <c r="I25" s="241">
        <f>SUM(C25:H25)</f>
        <v>538574169.04770446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  <row r="1000" spans="1:28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8" customWidth="1"/>
    <col min="2" max="2" width="14.5703125" customWidth="1"/>
    <col min="3" max="3" width="15.42578125" bestFit="1" customWidth="1"/>
    <col min="4" max="7" width="14.85546875" bestFit="1" customWidth="1"/>
    <col min="8" max="26" width="9" customWidth="1"/>
  </cols>
  <sheetData>
    <row r="1" spans="1:26" ht="14.25" customHeight="1">
      <c r="A1" s="2" t="s">
        <v>3</v>
      </c>
      <c r="E1" s="9"/>
      <c r="F1" s="9"/>
      <c r="G1" s="6">
        <f>InfoInicial!E1</f>
        <v>13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>
      <c r="A2" s="228" t="s">
        <v>381</v>
      </c>
      <c r="B2" s="34"/>
      <c r="C2" s="34"/>
      <c r="D2" s="34"/>
      <c r="E2" s="34"/>
      <c r="F2" s="34"/>
      <c r="G2" s="3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>
      <c r="A3" s="229"/>
      <c r="B3" s="230" t="s">
        <v>385</v>
      </c>
      <c r="C3" s="230"/>
      <c r="D3" s="230"/>
      <c r="E3" s="230"/>
      <c r="F3" s="230"/>
      <c r="G3" s="23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233" t="s">
        <v>99</v>
      </c>
      <c r="B4" s="223" t="s">
        <v>37</v>
      </c>
      <c r="C4" s="14" t="s">
        <v>41</v>
      </c>
      <c r="D4" s="14" t="s">
        <v>56</v>
      </c>
      <c r="E4" s="14" t="s">
        <v>57</v>
      </c>
      <c r="F4" s="14" t="s">
        <v>58</v>
      </c>
      <c r="G4" s="15" t="s">
        <v>59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34" t="s">
        <v>386</v>
      </c>
      <c r="B5" s="235">
        <v>0</v>
      </c>
      <c r="C5" s="49"/>
      <c r="D5" s="49"/>
      <c r="E5" s="49"/>
      <c r="F5" s="49"/>
      <c r="G5" s="5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236" t="s">
        <v>388</v>
      </c>
      <c r="B6" s="235">
        <v>0</v>
      </c>
      <c r="C6" s="238">
        <f>'E-Costos'!B7*InfoInicial!$B$3</f>
        <v>1829856</v>
      </c>
      <c r="D6" s="238">
        <f>'E-Costos'!C7*InfoInicial!$B$3</f>
        <v>2478603.75</v>
      </c>
      <c r="E6" s="238">
        <f>'E-Costos'!D7*InfoInicial!$B$3</f>
        <v>2478603.75</v>
      </c>
      <c r="F6" s="238">
        <f>'E-Costos'!E7*InfoInicial!$B$3</f>
        <v>2478603.75</v>
      </c>
      <c r="G6" s="238">
        <f>'E-Costos'!F7*InfoInicial!$B$3</f>
        <v>2478603.75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236" t="s">
        <v>172</v>
      </c>
      <c r="B7" s="235">
        <v>0</v>
      </c>
      <c r="C7" s="70">
        <f>'E-Costos'!B12*InfoInicial!$B$3</f>
        <v>764079.94100886828</v>
      </c>
      <c r="D7" s="70">
        <f>'E-Costos'!C12*InfoInicial!$B$3</f>
        <v>878252.8057573199</v>
      </c>
      <c r="E7" s="70">
        <f>'E-Costos'!D12*InfoInicial!$B$3</f>
        <v>878252.8057573199</v>
      </c>
      <c r="F7" s="70">
        <f>'E-Costos'!E12*InfoInicial!$B$3</f>
        <v>878252.8057573199</v>
      </c>
      <c r="G7" s="70">
        <f>'E-Costos'!F12*InfoInicial!$B$3</f>
        <v>878252.8057573199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236" t="s">
        <v>182</v>
      </c>
      <c r="B8" s="235">
        <v>0</v>
      </c>
      <c r="C8" s="70">
        <f>'E-Costos'!B13*InfoInicial!$B$3</f>
        <v>84938.799354023999</v>
      </c>
      <c r="D8" s="70">
        <f>'E-Costos'!C13*InfoInicial!$B$3</f>
        <v>89409.262477919998</v>
      </c>
      <c r="E8" s="70">
        <f>'E-Costos'!D13*InfoInicial!$B$3</f>
        <v>89409.262477919998</v>
      </c>
      <c r="F8" s="70">
        <f>'E-Costos'!E13*InfoInicial!$B$3</f>
        <v>89409.262477919998</v>
      </c>
      <c r="G8" s="70">
        <f>'E-Costos'!F13*InfoInicial!$B$3</f>
        <v>89409.262477919998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236" t="s">
        <v>195</v>
      </c>
      <c r="B9" s="235">
        <v>0</v>
      </c>
      <c r="C9" s="70">
        <f>'E-Costos'!B14*InfoInicial!$B$3</f>
        <v>1676.548125</v>
      </c>
      <c r="D9" s="70">
        <f>'E-Costos'!C14*InfoInicial!$B$3</f>
        <v>1764.7874999999999</v>
      </c>
      <c r="E9" s="70">
        <f>'E-Costos'!D14*InfoInicial!$B$3</f>
        <v>1764.7874999999999</v>
      </c>
      <c r="F9" s="70">
        <f>'E-Costos'!E14*InfoInicial!$B$3</f>
        <v>1764.7874999999999</v>
      </c>
      <c r="G9" s="70">
        <f>'E-Costos'!F14*InfoInicial!$B$3</f>
        <v>1764.7874999999999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236" t="s">
        <v>394</v>
      </c>
      <c r="B10" s="235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236" t="s">
        <v>291</v>
      </c>
      <c r="B11" s="235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239" t="s">
        <v>219</v>
      </c>
      <c r="B12" s="235">
        <v>0</v>
      </c>
      <c r="C12" s="70">
        <f t="shared" ref="C12:G12" si="0">SUM(C6:C11)</f>
        <v>2680551.2884878921</v>
      </c>
      <c r="D12" s="70">
        <f t="shared" si="0"/>
        <v>3448030.60573524</v>
      </c>
      <c r="E12" s="70">
        <f t="shared" si="0"/>
        <v>3448030.60573524</v>
      </c>
      <c r="F12" s="70">
        <f t="shared" si="0"/>
        <v>3448030.60573524</v>
      </c>
      <c r="G12" s="70">
        <f t="shared" si="0"/>
        <v>3448030.60573524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236" t="s">
        <v>396</v>
      </c>
      <c r="B13" s="235">
        <v>0</v>
      </c>
      <c r="C13" s="70">
        <f>('E-Costos'!G35-'E-Costos'!G26)*InfoInicial!B3</f>
        <v>1617497.0679250881</v>
      </c>
      <c r="D13" s="70"/>
      <c r="E13" s="70"/>
      <c r="F13" s="70"/>
      <c r="G13" s="76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236" t="s">
        <v>397</v>
      </c>
      <c r="B14" s="235">
        <v>0</v>
      </c>
      <c r="C14" s="70"/>
      <c r="D14" s="70"/>
      <c r="E14" s="70"/>
      <c r="F14" s="70"/>
      <c r="G14" s="7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236" t="s">
        <v>398</v>
      </c>
      <c r="B15" s="235">
        <v>0</v>
      </c>
      <c r="C15" s="70">
        <f>'E-InvAT'!C32</f>
        <v>21978.50659497362</v>
      </c>
      <c r="D15" s="70">
        <f>'E-InvAT'!D32</f>
        <v>-4872.1886603114363</v>
      </c>
      <c r="E15" s="70">
        <f>'E-InvAT'!E32</f>
        <v>0</v>
      </c>
      <c r="F15" s="70">
        <f>'E-InvAT'!F32</f>
        <v>0</v>
      </c>
      <c r="G15" s="70">
        <f>'E-InvAT'!G32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236" t="s">
        <v>399</v>
      </c>
      <c r="B16" s="235">
        <v>0</v>
      </c>
      <c r="C16" s="70">
        <f>'E-InvAT'!C33</f>
        <v>115687.36848099755</v>
      </c>
      <c r="D16" s="70">
        <f>'E-InvAT'!D33</f>
        <v>-115687.36848099755</v>
      </c>
      <c r="E16" s="70">
        <f>'E-InvAT'!E33</f>
        <v>0</v>
      </c>
      <c r="F16" s="70">
        <f>'E-InvAT'!F33</f>
        <v>0</v>
      </c>
      <c r="G16" s="70">
        <f>'E-InvAT'!G33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239" t="s">
        <v>400</v>
      </c>
      <c r="B17" s="235">
        <v>0</v>
      </c>
      <c r="C17" s="70">
        <f t="shared" ref="C17:G17" si="1">C12-C13-C15-C16</f>
        <v>925388.3454868329</v>
      </c>
      <c r="D17" s="70">
        <f t="shared" si="1"/>
        <v>3568590.1628765492</v>
      </c>
      <c r="E17" s="70">
        <f t="shared" si="1"/>
        <v>3448030.60573524</v>
      </c>
      <c r="F17" s="70">
        <f t="shared" si="1"/>
        <v>3448030.60573524</v>
      </c>
      <c r="G17" s="70">
        <f t="shared" si="1"/>
        <v>3448030.60573524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239" t="s">
        <v>401</v>
      </c>
      <c r="B18" s="235">
        <v>0</v>
      </c>
      <c r="C18" s="70">
        <f>('E-Costos'!B54+'E-Costos'!B55+'E-Costos'!B56+'E-Costos'!B57)*InfoInicial!$B$3</f>
        <v>275920.7019971307</v>
      </c>
      <c r="D18" s="70">
        <f>('E-Costos'!C54+'E-Costos'!C55+'E-Costos'!C56+'E-Costos'!C57)*InfoInicial!$B$3</f>
        <v>292638.74201496498</v>
      </c>
      <c r="E18" s="70">
        <f>('E-Costos'!D54+'E-Costos'!D55+'E-Costos'!D56+'E-Costos'!D57)*InfoInicial!$B$3</f>
        <v>292638.74201496498</v>
      </c>
      <c r="F18" s="70">
        <f>('E-Costos'!E54+'E-Costos'!E55+'E-Costos'!E56+'E-Costos'!E57)*InfoInicial!$B$3</f>
        <v>292638.74201496498</v>
      </c>
      <c r="G18" s="70">
        <f>('E-Costos'!F54+'E-Costos'!F55+'E-Costos'!F56+'E-Costos'!F57)*InfoInicial!$B$3</f>
        <v>292638.74201496498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239" t="s">
        <v>402</v>
      </c>
      <c r="B19" s="235">
        <v>0</v>
      </c>
      <c r="C19" s="70">
        <f>('E-Costos'!B71+'E-Costos'!B72+'E-Costos'!B73+'E-Costos'!B74)*InfoInicial!$B$3</f>
        <v>3363606.9250832838</v>
      </c>
      <c r="D19" s="70">
        <f>('E-Costos'!C71+'E-Costos'!C72+'E-Costos'!C73+'E-Costos'!C74)*InfoInicial!$B$3</f>
        <v>4421563.0278703151</v>
      </c>
      <c r="E19" s="70">
        <f>('E-Costos'!D71+'E-Costos'!D72+'E-Costos'!D73+'E-Costos'!D74)*InfoInicial!$B$3</f>
        <v>4421563.0278703151</v>
      </c>
      <c r="F19" s="70">
        <f>('E-Costos'!E71+'E-Costos'!E72+'E-Costos'!E73+'E-Costos'!E74)*InfoInicial!$B$3</f>
        <v>4421563.0278703151</v>
      </c>
      <c r="G19" s="70">
        <f>('E-Costos'!F71+'E-Costos'!F72+'E-Costos'!F73+'E-Costos'!F74)*InfoInicial!$B$3</f>
        <v>4421563.0278703151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239"/>
      <c r="B20" s="235"/>
      <c r="C20" s="70"/>
      <c r="D20" s="70"/>
      <c r="E20" s="70"/>
      <c r="F20" s="70"/>
      <c r="G20" s="7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236" t="s">
        <v>403</v>
      </c>
      <c r="B21" s="235">
        <v>0</v>
      </c>
      <c r="C21" s="70">
        <f t="shared" ref="C21:G21" si="2">SUM(C17:C19)</f>
        <v>4564915.9725672472</v>
      </c>
      <c r="D21" s="70">
        <f t="shared" si="2"/>
        <v>8282791.9327618293</v>
      </c>
      <c r="E21" s="70">
        <f t="shared" si="2"/>
        <v>8162232.3756205197</v>
      </c>
      <c r="F21" s="70">
        <f t="shared" si="2"/>
        <v>8162232.3756205197</v>
      </c>
      <c r="G21" s="70">
        <f t="shared" si="2"/>
        <v>8162232.3756205197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236" t="s">
        <v>404</v>
      </c>
      <c r="B22" s="235">
        <v>0</v>
      </c>
      <c r="C22" s="70">
        <f>'E-Costos'!B88*InfoInicial!$B$3</f>
        <v>47051004</v>
      </c>
      <c r="D22" s="70">
        <f>'E-Costos'!C88*InfoInicial!$B$3</f>
        <v>64443697.5</v>
      </c>
      <c r="E22" s="70">
        <f>'E-Costos'!D88*InfoInicial!$B$3</f>
        <v>64443697.5</v>
      </c>
      <c r="F22" s="70">
        <f>'E-Costos'!E88*InfoInicial!$B$3</f>
        <v>64443697.5</v>
      </c>
      <c r="G22" s="70">
        <f>'E-Costos'!F88*InfoInicial!$B$3</f>
        <v>64443697.5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239" t="s">
        <v>405</v>
      </c>
      <c r="B23" s="235">
        <v>0</v>
      </c>
      <c r="C23" s="70">
        <f t="shared" ref="C23:G23" si="3">C22-C21</f>
        <v>42486088.027432755</v>
      </c>
      <c r="D23" s="70">
        <f t="shared" si="3"/>
        <v>56160905.567238167</v>
      </c>
      <c r="E23" s="70">
        <f t="shared" si="3"/>
        <v>56281465.124379478</v>
      </c>
      <c r="F23" s="70">
        <f t="shared" si="3"/>
        <v>56281465.124379478</v>
      </c>
      <c r="G23" s="70">
        <f t="shared" si="3"/>
        <v>56281465.124379478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236"/>
      <c r="B24" s="235"/>
      <c r="C24" s="70"/>
      <c r="D24" s="70"/>
      <c r="E24" s="70"/>
      <c r="F24" s="70"/>
      <c r="G24" s="76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242" t="s">
        <v>406</v>
      </c>
      <c r="B25" s="235">
        <v>0</v>
      </c>
      <c r="C25" s="70">
        <f>B26</f>
        <v>91452342.137085944</v>
      </c>
      <c r="D25" s="70"/>
      <c r="E25" s="70"/>
      <c r="F25" s="70"/>
      <c r="G25" s="7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242" t="s">
        <v>407</v>
      </c>
      <c r="B26" s="238">
        <f>'E-Cal Inv.'!$C$23+'E-Cal Inv.'!$B23</f>
        <v>91452342.137085944</v>
      </c>
      <c r="C26" s="70">
        <f>'E-Cal Inv.'!D23</f>
        <v>2057793.7984408045</v>
      </c>
      <c r="D26" s="70">
        <f>'E-Cal Inv.'!E23</f>
        <v>-111084.63848643651</v>
      </c>
      <c r="E26" s="70">
        <f>'E-Cal Inv.'!F23</f>
        <v>0</v>
      </c>
      <c r="F26" s="70">
        <f>'E-Cal Inv.'!G23</f>
        <v>58.074875332089135</v>
      </c>
      <c r="G26" s="70">
        <f>'E-Cal Inv.'!H23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239" t="s">
        <v>408</v>
      </c>
      <c r="B27" s="238">
        <f>'E-Cal Inv.'!$C$23+'E-Cal Inv.'!$B$23</f>
        <v>91452342.137085944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239" t="s">
        <v>409</v>
      </c>
      <c r="B28" s="238"/>
      <c r="C28" s="70">
        <f>C25+C26</f>
        <v>93510135.935526744</v>
      </c>
      <c r="D28" s="70">
        <f t="shared" ref="D28:G28" si="4">D26</f>
        <v>-111084.63848643651</v>
      </c>
      <c r="E28" s="70">
        <f t="shared" si="4"/>
        <v>0</v>
      </c>
      <c r="F28" s="70">
        <f t="shared" si="4"/>
        <v>58.074875332089135</v>
      </c>
      <c r="G28" s="70">
        <f t="shared" si="4"/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236"/>
      <c r="B29" s="238"/>
      <c r="C29" s="70"/>
      <c r="D29" s="70"/>
      <c r="E29" s="70"/>
      <c r="F29" s="70"/>
      <c r="G29" s="7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>
      <c r="A30" s="243" t="s">
        <v>410</v>
      </c>
      <c r="B30" s="244">
        <v>0</v>
      </c>
      <c r="C30" s="156">
        <f t="shared" ref="C30:G30" si="5">C23-C28</f>
        <v>-51024047.908093989</v>
      </c>
      <c r="D30" s="156">
        <f t="shared" si="5"/>
        <v>56271990.205724604</v>
      </c>
      <c r="E30" s="156">
        <f t="shared" si="5"/>
        <v>56281465.124379478</v>
      </c>
      <c r="F30" s="156">
        <f t="shared" si="5"/>
        <v>56281407.049504146</v>
      </c>
      <c r="G30" s="156">
        <f t="shared" si="5"/>
        <v>56281465.124379478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7.85546875" customWidth="1"/>
    <col min="2" max="2" width="16.5703125" bestFit="1" customWidth="1"/>
    <col min="3" max="3" width="20" customWidth="1"/>
    <col min="4" max="4" width="16" customWidth="1"/>
    <col min="5" max="5" width="14.7109375" customWidth="1"/>
    <col min="6" max="6" width="16" customWidth="1"/>
    <col min="7" max="7" width="16.5703125" bestFit="1" customWidth="1"/>
    <col min="8" max="8" width="19.5703125" customWidth="1"/>
    <col min="9" max="9" width="17.140625" customWidth="1"/>
    <col min="10" max="10" width="14.7109375" customWidth="1"/>
    <col min="11" max="11" width="17.85546875" customWidth="1"/>
    <col min="12" max="12" width="18.28515625" customWidth="1"/>
    <col min="13" max="13" width="16.5703125" bestFit="1" customWidth="1"/>
    <col min="14" max="26" width="9" customWidth="1"/>
  </cols>
  <sheetData>
    <row r="1" spans="1:26" ht="14.25" customHeight="1">
      <c r="A1" s="2" t="s">
        <v>3</v>
      </c>
      <c r="E1" s="9"/>
      <c r="F1" s="9"/>
      <c r="G1" s="9">
        <f>InfoInicial!E1</f>
        <v>13</v>
      </c>
      <c r="H1" s="6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>
      <c r="A2" s="228" t="s">
        <v>411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9" customHeight="1">
      <c r="A3" s="233" t="s">
        <v>412</v>
      </c>
      <c r="B3" s="223" t="s">
        <v>413</v>
      </c>
      <c r="C3" s="223" t="s">
        <v>414</v>
      </c>
      <c r="D3" s="223" t="s">
        <v>415</v>
      </c>
      <c r="E3" s="223" t="s">
        <v>69</v>
      </c>
      <c r="F3" s="223" t="s">
        <v>416</v>
      </c>
      <c r="G3" s="223" t="s">
        <v>417</v>
      </c>
      <c r="H3" s="223" t="s">
        <v>418</v>
      </c>
      <c r="I3" s="223" t="s">
        <v>148</v>
      </c>
      <c r="J3" s="223" t="s">
        <v>419</v>
      </c>
      <c r="K3" s="223" t="s">
        <v>420</v>
      </c>
      <c r="L3" s="245" t="s">
        <v>421</v>
      </c>
      <c r="M3" s="246" t="s">
        <v>422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>
      <c r="A4" s="247">
        <v>0</v>
      </c>
      <c r="B4" s="248">
        <f>'E-Inv AF y Am'!B46+'E-Inv AF y Am'!D46</f>
        <v>434045717.63799995</v>
      </c>
      <c r="C4" s="248">
        <f>'E-Cal Inv.'!C18</f>
        <v>1931621.8719331627</v>
      </c>
      <c r="D4" s="248">
        <f>'E-IVA '!B26</f>
        <v>91452342.137085944</v>
      </c>
      <c r="E4" s="248">
        <v>0</v>
      </c>
      <c r="F4" s="248">
        <v>0</v>
      </c>
      <c r="G4" s="49">
        <f t="shared" ref="G4:G9" si="0">B4+C4+D4+E4+F4</f>
        <v>527429681.64701903</v>
      </c>
      <c r="H4" s="248">
        <v>0</v>
      </c>
      <c r="I4" s="248">
        <v>0</v>
      </c>
      <c r="J4" s="248">
        <v>0</v>
      </c>
      <c r="K4" s="49">
        <f t="shared" ref="K4:K9" si="1">H4+I4+J4</f>
        <v>0</v>
      </c>
      <c r="L4" s="225">
        <f t="shared" ref="L4:L9" si="2">K4-G4</f>
        <v>-527429681.64701903</v>
      </c>
      <c r="M4" s="52">
        <f>L4</f>
        <v>-527429681.64701903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249">
        <v>1</v>
      </c>
      <c r="B5" s="70">
        <f>'E-Inv AF y Am'!C44</f>
        <v>8759071.7478488944</v>
      </c>
      <c r="C5" s="70">
        <f>'E-Cal Inv.'!D18-'E-Cal Inv.'!C18</f>
        <v>-891675.53196870198</v>
      </c>
      <c r="D5" s="70">
        <f>+'E-IVA '!C26</f>
        <v>2057793.7984408045</v>
      </c>
      <c r="E5" s="70">
        <f>'E-Costos'!B117</f>
        <v>13444810.353857335</v>
      </c>
      <c r="F5" s="70">
        <f>'E-Costos'!B118</f>
        <v>38073258.411150537</v>
      </c>
      <c r="G5" s="49">
        <f t="shared" si="0"/>
        <v>61443258.779328868</v>
      </c>
      <c r="H5" s="70">
        <f>'E-Costos'!B116</f>
        <v>122225548.67143032</v>
      </c>
      <c r="I5" s="70">
        <f>'E-Inv AF y Am'!D71</f>
        <v>31230738.043836448</v>
      </c>
      <c r="J5" s="70">
        <f>'E-IVA '!C28</f>
        <v>93510135.935526744</v>
      </c>
      <c r="K5" s="49">
        <f t="shared" si="1"/>
        <v>246966422.65079349</v>
      </c>
      <c r="L5" s="225">
        <f t="shared" si="2"/>
        <v>185523163.87146461</v>
      </c>
      <c r="M5" s="76">
        <f>L5+L4</f>
        <v>-341906517.77555442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A6" s="249">
        <v>2</v>
      </c>
      <c r="B6" s="70">
        <v>0</v>
      </c>
      <c r="C6" s="70"/>
      <c r="D6" s="70">
        <f>+'E-IVA '!D26</f>
        <v>-111084.63848643651</v>
      </c>
      <c r="E6" s="70">
        <f>'E-Costos'!C117</f>
        <v>19678361.335563105</v>
      </c>
      <c r="F6" s="70">
        <f>'E-Costos'!C118</f>
        <v>55725541.418435521</v>
      </c>
      <c r="G6" s="49">
        <f t="shared" si="0"/>
        <v>75292818.115512192</v>
      </c>
      <c r="H6" s="70">
        <f>'E-Costos'!C116</f>
        <v>178894193.95966458</v>
      </c>
      <c r="I6" s="70">
        <f>'E-Inv AF y Am'!D71</f>
        <v>31230738.043836448</v>
      </c>
      <c r="J6" s="70">
        <f>'E-IVA '!D28</f>
        <v>-111084.63848643651</v>
      </c>
      <c r="K6" s="49">
        <f t="shared" si="1"/>
        <v>210013847.36501458</v>
      </c>
      <c r="L6" s="225">
        <f t="shared" si="2"/>
        <v>134721029.24950239</v>
      </c>
      <c r="M6" s="76">
        <f t="shared" ref="M6:M9" si="3">M5+L6</f>
        <v>-207185488.52605203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249">
        <v>3</v>
      </c>
      <c r="B7" s="70">
        <v>0</v>
      </c>
      <c r="C7" s="70">
        <f>'E-Cal Inv.'!F18-'E-Cal Inv.'!E18</f>
        <v>528974.46898303099</v>
      </c>
      <c r="D7" s="70">
        <f>+'E-IVA '!E26</f>
        <v>0</v>
      </c>
      <c r="E7" s="70">
        <f>'E-Costos'!D117</f>
        <v>19667158.250022426</v>
      </c>
      <c r="F7" s="70">
        <f>'E-Costos'!D118</f>
        <v>55693816.317108959</v>
      </c>
      <c r="G7" s="49">
        <f t="shared" si="0"/>
        <v>75889949.036114424</v>
      </c>
      <c r="H7" s="70">
        <f>'E-Costos'!D116</f>
        <v>178792347.7274766</v>
      </c>
      <c r="I7" s="250">
        <f>'E-Inv AF y Am'!D71</f>
        <v>31230738.043836448</v>
      </c>
      <c r="J7" s="70">
        <f>'E-IVA '!E28</f>
        <v>0</v>
      </c>
      <c r="K7" s="49">
        <f t="shared" si="1"/>
        <v>210023085.77131304</v>
      </c>
      <c r="L7" s="225">
        <f t="shared" si="2"/>
        <v>134133136.73519862</v>
      </c>
      <c r="M7" s="251">
        <f t="shared" si="3"/>
        <v>-73052351.790853411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249">
        <v>4</v>
      </c>
      <c r="B8" s="70">
        <v>0</v>
      </c>
      <c r="C8" s="70">
        <f>'E-Cal Inv.'!G18-'E-Cal Inv.'!F18</f>
        <v>276.54702539090067</v>
      </c>
      <c r="D8" s="70">
        <f>+'E-IVA '!F26</f>
        <v>58.074875332089135</v>
      </c>
      <c r="E8" s="70">
        <f>'E-Costos'!D117</f>
        <v>19667158.250022426</v>
      </c>
      <c r="F8" s="70">
        <f>'E-Costos'!E118</f>
        <v>55681630.773210444</v>
      </c>
      <c r="G8" s="49">
        <f t="shared" si="0"/>
        <v>75349123.645133585</v>
      </c>
      <c r="H8" s="70">
        <f>'E-Costos'!E116</f>
        <v>178753228.80645406</v>
      </c>
      <c r="I8" s="250">
        <f>'E-Inv AF y Am'!E71</f>
        <v>31230738.043836448</v>
      </c>
      <c r="J8" s="70">
        <f>'E-IVA '!F28</f>
        <v>58.074875332089135</v>
      </c>
      <c r="K8" s="49">
        <f t="shared" si="1"/>
        <v>209984024.92516583</v>
      </c>
      <c r="L8" s="225">
        <f t="shared" si="2"/>
        <v>134634901.28003225</v>
      </c>
      <c r="M8" s="252">
        <f t="shared" si="3"/>
        <v>61582549.489178836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249">
        <v>5</v>
      </c>
      <c r="B9" s="70">
        <f>-'E-Inv AF y Am'!H66</f>
        <v>-286651099.16666663</v>
      </c>
      <c r="C9" s="70">
        <f>-SUM(C4:C8)</f>
        <v>-1569197.3559728826</v>
      </c>
      <c r="D9" s="70">
        <f>+'E-IVA '!G26</f>
        <v>0</v>
      </c>
      <c r="E9" s="70">
        <f>'E-Costos'!E117</f>
        <v>19662855.168709949</v>
      </c>
      <c r="F9" s="70">
        <f>'E-Costos'!F118</f>
        <v>55681629.368960857</v>
      </c>
      <c r="G9" s="49">
        <f t="shared" si="0"/>
        <v>-212875811.98496872</v>
      </c>
      <c r="H9" s="70">
        <f>'E-Costos'!F116</f>
        <v>178753224.29842973</v>
      </c>
      <c r="I9" s="250">
        <f>'E-Inv AF y Am'!E71</f>
        <v>31230738.043836448</v>
      </c>
      <c r="J9" s="70">
        <f>'E-IVA '!G28</f>
        <v>0</v>
      </c>
      <c r="K9" s="49">
        <f t="shared" si="1"/>
        <v>209983962.34226617</v>
      </c>
      <c r="L9" s="225">
        <f t="shared" si="2"/>
        <v>422859774.32723486</v>
      </c>
      <c r="M9" s="252">
        <f t="shared" si="3"/>
        <v>484442323.8164137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249"/>
      <c r="B10" s="70"/>
      <c r="C10" s="70"/>
      <c r="D10" s="70"/>
      <c r="E10" s="70">
        <f>'E-Costos'!B122</f>
        <v>0</v>
      </c>
      <c r="F10" s="70"/>
      <c r="G10" s="70"/>
      <c r="H10" s="70"/>
      <c r="I10" s="70"/>
      <c r="J10" s="70"/>
      <c r="K10" s="70"/>
      <c r="L10" s="227"/>
      <c r="M10" s="25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253" t="s">
        <v>423</v>
      </c>
      <c r="B11" s="156">
        <f>B4+B5+B9+B6+B7+B8</f>
        <v>156153690.21918219</v>
      </c>
      <c r="C11" s="156">
        <f>SUM(C4:C9)</f>
        <v>0</v>
      </c>
      <c r="D11" s="156">
        <f>D4+D5+D6+D7+D8+D9</f>
        <v>93399109.371915638</v>
      </c>
      <c r="E11" s="156">
        <f t="shared" ref="E11:F11" si="4">SUM(E4:E9)</f>
        <v>92120343.358175233</v>
      </c>
      <c r="F11" s="156">
        <f t="shared" si="4"/>
        <v>260855876.28886631</v>
      </c>
      <c r="G11" s="156">
        <f>G4+G5+G6+G7+G8+G9</f>
        <v>602529019.23813939</v>
      </c>
      <c r="H11" s="156">
        <f>SUM(H4:H9)</f>
        <v>837418543.46345532</v>
      </c>
      <c r="I11" s="156">
        <f t="shared" ref="I11:K11" si="5">I4+I5+I6+I7+I8+I9</f>
        <v>156153690.21918225</v>
      </c>
      <c r="J11" s="156">
        <f t="shared" si="5"/>
        <v>93399109.371915638</v>
      </c>
      <c r="K11" s="156">
        <f t="shared" si="5"/>
        <v>1086971343.054553</v>
      </c>
      <c r="L11" s="257">
        <f>SUM(L4:L9)</f>
        <v>484442323.8164137</v>
      </c>
      <c r="M11" s="25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9"/>
      <c r="B13" s="9"/>
      <c r="C13" s="30" t="s">
        <v>428</v>
      </c>
      <c r="D13" s="259">
        <f>H11-E11-F11</f>
        <v>484442323.81641376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47"/>
      <c r="B14" s="9"/>
      <c r="C14" s="30" t="s">
        <v>434</v>
      </c>
      <c r="D14" s="260">
        <f>-(M4*360/L5)/360</f>
        <v>2.8429316891794514</v>
      </c>
      <c r="E14" s="9" t="s">
        <v>435</v>
      </c>
      <c r="F14" s="9"/>
      <c r="G14" s="125"/>
      <c r="H14" s="43"/>
      <c r="I14" s="125"/>
      <c r="J14" s="26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9"/>
      <c r="B15" s="9"/>
      <c r="C15" s="30" t="s">
        <v>437</v>
      </c>
      <c r="D15" s="262">
        <f>IRR(L4:L9,1%)</f>
        <v>0.22487424596968997</v>
      </c>
      <c r="E15" s="9"/>
      <c r="F15" s="9"/>
      <c r="G15" s="92"/>
      <c r="H15" s="169"/>
      <c r="I15" s="125"/>
      <c r="J15" s="92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9"/>
      <c r="B16" s="9"/>
      <c r="C16" s="9"/>
      <c r="D16" s="9"/>
      <c r="E16" s="9"/>
      <c r="F16" s="9"/>
      <c r="G16" s="92"/>
      <c r="H16" s="156"/>
      <c r="I16" s="163"/>
      <c r="J16" s="163"/>
      <c r="K16" s="9"/>
      <c r="L16" s="383" t="s">
        <v>439</v>
      </c>
      <c r="M16" s="347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9"/>
      <c r="B17" s="9"/>
      <c r="C17" s="9"/>
      <c r="D17" s="9"/>
      <c r="E17" s="9"/>
      <c r="F17" s="9"/>
      <c r="G17" s="9"/>
      <c r="H17" s="9"/>
      <c r="I17" s="9"/>
      <c r="K17" s="9"/>
      <c r="L17" s="383" t="s">
        <v>440</v>
      </c>
      <c r="M17" s="347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264" t="s">
        <v>148</v>
      </c>
      <c r="M18" s="266" t="str">
        <f>IF(B11=I11,"OK","MAL")</f>
        <v>OK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264" t="s">
        <v>441</v>
      </c>
      <c r="M19" s="266" t="str">
        <f>IF(D11=J11,"OK","MAL")</f>
        <v>OK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64" t="s">
        <v>442</v>
      </c>
      <c r="M20" s="266" t="str">
        <f>IF(C11=0,"OK","MAL")</f>
        <v>OK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9"/>
      <c r="B21" s="9"/>
      <c r="C21" s="9"/>
      <c r="D21" s="9"/>
      <c r="E21" s="9"/>
      <c r="F21" s="9"/>
      <c r="H21" s="9"/>
      <c r="I21" s="9"/>
      <c r="J21" s="9"/>
      <c r="K21" s="9"/>
      <c r="L21" s="264" t="s">
        <v>444</v>
      </c>
      <c r="M21" s="266" t="str">
        <f>IF((H11-F11-E11)=L11,IF(L11=M9,"OK","MAL"),"MAL")</f>
        <v>OK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">
    <mergeCell ref="L16:M16"/>
    <mergeCell ref="L17:M17"/>
  </mergeCells>
  <conditionalFormatting sqref="M18">
    <cfRule type="cellIs" dxfId="41" priority="1" operator="equal">
      <formula>"OK"</formula>
    </cfRule>
  </conditionalFormatting>
  <conditionalFormatting sqref="M18">
    <cfRule type="cellIs" dxfId="40" priority="2" operator="equal">
      <formula>"MAL"</formula>
    </cfRule>
  </conditionalFormatting>
  <conditionalFormatting sqref="M19">
    <cfRule type="cellIs" dxfId="39" priority="3" operator="equal">
      <formula>"OK"</formula>
    </cfRule>
  </conditionalFormatting>
  <conditionalFormatting sqref="M19">
    <cfRule type="cellIs" dxfId="38" priority="4" operator="equal">
      <formula>"MAL"</formula>
    </cfRule>
  </conditionalFormatting>
  <conditionalFormatting sqref="M20">
    <cfRule type="cellIs" dxfId="37" priority="5" operator="equal">
      <formula>"OK"</formula>
    </cfRule>
  </conditionalFormatting>
  <conditionalFormatting sqref="M20">
    <cfRule type="cellIs" dxfId="36" priority="6" operator="equal">
      <formula>"MAL"</formula>
    </cfRule>
  </conditionalFormatting>
  <conditionalFormatting sqref="M21">
    <cfRule type="cellIs" dxfId="35" priority="7" operator="equal">
      <formula>"OK"</formula>
    </cfRule>
  </conditionalFormatting>
  <conditionalFormatting sqref="M21">
    <cfRule type="cellIs" dxfId="34" priority="8" operator="equal">
      <formula>"MAL"</formula>
    </cfRule>
  </conditionalFormatting>
  <conditionalFormatting sqref="J14">
    <cfRule type="cellIs" dxfId="33" priority="9" operator="equal">
      <formula>"OK"</formula>
    </cfRule>
  </conditionalFormatting>
  <conditionalFormatting sqref="J14">
    <cfRule type="cellIs" dxfId="32" priority="10" operator="equal">
      <formula>"MAL"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workbookViewId="0"/>
  </sheetViews>
  <sheetFormatPr baseColWidth="10" defaultColWidth="14.42578125" defaultRowHeight="15" customHeight="1"/>
  <cols>
    <col min="1" max="1" width="27.140625" customWidth="1"/>
    <col min="2" max="4" width="15.85546875" bestFit="1" customWidth="1"/>
    <col min="5" max="5" width="15" customWidth="1"/>
    <col min="6" max="6" width="15.85546875" bestFit="1" customWidth="1"/>
    <col min="7" max="9" width="15" customWidth="1"/>
    <col min="10" max="26" width="9" customWidth="1"/>
  </cols>
  <sheetData>
    <row r="1" spans="1:26" ht="14.25" customHeight="1">
      <c r="A1" s="2" t="s">
        <v>3</v>
      </c>
      <c r="E1" s="9"/>
      <c r="F1" s="254">
        <f>InfoInicial!E1</f>
        <v>13</v>
      </c>
      <c r="G1" s="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>
      <c r="A2" s="255" t="s">
        <v>424</v>
      </c>
      <c r="B2" s="207"/>
      <c r="C2" s="207"/>
      <c r="D2" s="207"/>
      <c r="E2" s="207"/>
      <c r="F2" s="207"/>
      <c r="G2" s="20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38" t="s">
        <v>99</v>
      </c>
      <c r="B3" s="384" t="s">
        <v>425</v>
      </c>
      <c r="C3" s="385"/>
      <c r="D3" s="384" t="s">
        <v>426</v>
      </c>
      <c r="E3" s="385"/>
      <c r="F3" s="384" t="s">
        <v>427</v>
      </c>
      <c r="G3" s="386"/>
      <c r="H3" s="9"/>
      <c r="I3" s="36" t="s">
        <v>429</v>
      </c>
      <c r="J3" s="36">
        <v>0.06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38" t="s">
        <v>183</v>
      </c>
      <c r="B4" s="39" t="s">
        <v>430</v>
      </c>
      <c r="C4" s="39" t="s">
        <v>431</v>
      </c>
      <c r="D4" s="39" t="s">
        <v>430</v>
      </c>
      <c r="E4" s="39" t="s">
        <v>431</v>
      </c>
      <c r="F4" s="39" t="s">
        <v>430</v>
      </c>
      <c r="G4" s="40" t="s">
        <v>431</v>
      </c>
      <c r="H4" s="9"/>
      <c r="I4" s="36" t="s">
        <v>432</v>
      </c>
      <c r="J4" s="36">
        <v>0.02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57" t="s">
        <v>433</v>
      </c>
      <c r="B5" s="70">
        <f>SUM('E-Cal Inv.'!B8:D8)</f>
        <v>442804789.38584882</v>
      </c>
      <c r="C5" s="203">
        <f t="shared" ref="C5:C7" si="0">B5/$B$8</f>
        <v>0.82109378724599635</v>
      </c>
      <c r="D5" s="108">
        <f>B5*E5</f>
        <v>265682873.63150927</v>
      </c>
      <c r="E5" s="198">
        <v>0.6</v>
      </c>
      <c r="F5" s="70">
        <f>B5-D5</f>
        <v>177121915.75433955</v>
      </c>
      <c r="G5" s="204">
        <f>F5/B8</f>
        <v>0.32843751489839856</v>
      </c>
      <c r="H5" s="9"/>
      <c r="I5" s="3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27" t="s">
        <v>436</v>
      </c>
      <c r="B6" s="70">
        <f>SUM('E-Cal Inv.'!B18:D18)</f>
        <v>2971568.2118976233</v>
      </c>
      <c r="C6" s="203">
        <f t="shared" si="0"/>
        <v>5.510184748793976E-3</v>
      </c>
      <c r="D6" s="108">
        <v>0</v>
      </c>
      <c r="E6" s="198">
        <v>0</v>
      </c>
      <c r="F6" s="70">
        <f t="shared" ref="F6:F7" si="1">B6</f>
        <v>2971568.2118976233</v>
      </c>
      <c r="G6" s="204">
        <f>F6/B8</f>
        <v>5.510184748793976E-3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27" t="s">
        <v>438</v>
      </c>
      <c r="B7" s="70">
        <f>SUM('E-Cal Inv.'!B23:D23)</f>
        <v>93510135.935526744</v>
      </c>
      <c r="C7" s="203">
        <f t="shared" si="0"/>
        <v>0.17339602800520962</v>
      </c>
      <c r="D7" s="108">
        <v>0</v>
      </c>
      <c r="E7" s="198">
        <v>0</v>
      </c>
      <c r="F7" s="70">
        <f t="shared" si="1"/>
        <v>93510135.935526744</v>
      </c>
      <c r="G7" s="204">
        <f>F7/B8</f>
        <v>0.17339602800520962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105" t="s">
        <v>370</v>
      </c>
      <c r="B8" s="240">
        <f t="shared" ref="B8:D8" si="2">SUM(B5:B7)</f>
        <v>539286493.53327322</v>
      </c>
      <c r="C8" s="263">
        <f t="shared" si="2"/>
        <v>0.99999999999999989</v>
      </c>
      <c r="D8" s="240">
        <f t="shared" si="2"/>
        <v>265682873.63150927</v>
      </c>
      <c r="E8" s="265">
        <f>D8/B8</f>
        <v>0.49265627234759779</v>
      </c>
      <c r="F8" s="240">
        <f>SUM(F5:F7)</f>
        <v>273603619.90176392</v>
      </c>
      <c r="G8" s="267">
        <f>F8/B8</f>
        <v>0.50734372765240221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47"/>
      <c r="B9" s="161"/>
      <c r="C9" s="268"/>
      <c r="D9" s="161"/>
      <c r="E9" s="161"/>
      <c r="F9" s="161"/>
      <c r="G9" s="161"/>
      <c r="H9" s="9"/>
      <c r="I9" s="9"/>
      <c r="J9" s="9"/>
      <c r="K9" s="9"/>
      <c r="L9" s="237">
        <f>'F- Form'!B24-F8</f>
        <v>17076053.052217245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6.5" customHeight="1">
      <c r="A10" s="269" t="s">
        <v>443</v>
      </c>
      <c r="B10" s="270"/>
      <c r="C10" s="270"/>
      <c r="D10" s="270"/>
      <c r="E10" s="270"/>
      <c r="F10" s="270"/>
      <c r="G10" s="270"/>
      <c r="H10" s="270"/>
      <c r="I10" s="27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272" t="s">
        <v>445</v>
      </c>
      <c r="B11" s="273" t="s">
        <v>446</v>
      </c>
      <c r="C11" s="273" t="s">
        <v>448</v>
      </c>
      <c r="D11" s="273" t="s">
        <v>449</v>
      </c>
      <c r="E11" s="273" t="s">
        <v>448</v>
      </c>
      <c r="F11" s="273" t="s">
        <v>450</v>
      </c>
      <c r="G11" s="273" t="s">
        <v>449</v>
      </c>
      <c r="H11" s="273"/>
      <c r="I11" s="274" t="s">
        <v>451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>
      <c r="A12" s="275"/>
      <c r="B12" s="276"/>
      <c r="C12" s="276" t="s">
        <v>453</v>
      </c>
      <c r="D12" s="276" t="s">
        <v>453</v>
      </c>
      <c r="E12" s="276" t="s">
        <v>121</v>
      </c>
      <c r="F12" s="276" t="s">
        <v>455</v>
      </c>
      <c r="G12" s="276" t="s">
        <v>121</v>
      </c>
      <c r="H12" s="276" t="s">
        <v>456</v>
      </c>
      <c r="I12" s="277" t="s">
        <v>457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278" t="s">
        <v>458</v>
      </c>
      <c r="B13" s="190">
        <f>D5/3</f>
        <v>88560957.877169758</v>
      </c>
      <c r="C13" s="190"/>
      <c r="D13" s="190"/>
      <c r="E13" s="190"/>
      <c r="F13" s="111"/>
      <c r="G13" s="190"/>
      <c r="H13" s="279"/>
      <c r="I13" s="76">
        <f t="shared" ref="I13:I15" si="3">B13*$J$4</f>
        <v>1771219.1575433952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280" t="s">
        <v>461</v>
      </c>
      <c r="B14" s="70">
        <f>D5*2/3</f>
        <v>177121915.75433952</v>
      </c>
      <c r="C14" s="70"/>
      <c r="D14" s="70">
        <f>(B13*J3)*3/6</f>
        <v>2656828.7363150925</v>
      </c>
      <c r="E14" s="70"/>
      <c r="F14" s="28"/>
      <c r="G14" s="70"/>
      <c r="H14" s="217"/>
      <c r="I14" s="76">
        <f t="shared" si="3"/>
        <v>3542438.3150867904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280" t="s">
        <v>463</v>
      </c>
      <c r="B15" s="70">
        <f>D5</f>
        <v>265682873.63150927</v>
      </c>
      <c r="C15" s="70"/>
      <c r="D15" s="70">
        <f>(B14*J3)*3/6</f>
        <v>5313657.4726301851</v>
      </c>
      <c r="E15" s="70"/>
      <c r="F15" s="28"/>
      <c r="G15" s="70"/>
      <c r="H15" s="217"/>
      <c r="I15" s="76">
        <f t="shared" si="3"/>
        <v>5313657.472630186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280" t="s">
        <v>464</v>
      </c>
      <c r="B16" s="70">
        <f>D5</f>
        <v>265682873.63150927</v>
      </c>
      <c r="C16" s="70"/>
      <c r="D16" s="70">
        <f>B15*J3*2/6</f>
        <v>5313657.4726301851</v>
      </c>
      <c r="E16" s="70"/>
      <c r="F16" s="28"/>
      <c r="G16" s="70"/>
      <c r="H16" s="217"/>
      <c r="I16" s="7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281"/>
      <c r="B17" s="70"/>
      <c r="C17" s="70"/>
      <c r="D17" s="70"/>
      <c r="E17" s="70"/>
      <c r="F17" s="28"/>
      <c r="G17" s="70"/>
      <c r="H17" s="217"/>
      <c r="I17" s="7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281"/>
      <c r="B18" s="70"/>
      <c r="C18" s="70"/>
      <c r="D18" s="70"/>
      <c r="E18" s="70"/>
      <c r="F18" s="28"/>
      <c r="G18" s="70"/>
      <c r="H18" s="217"/>
      <c r="I18" s="7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281"/>
      <c r="B19" s="70"/>
      <c r="C19" s="70"/>
      <c r="D19" s="70"/>
      <c r="E19" s="70"/>
      <c r="F19" s="28"/>
      <c r="G19" s="70"/>
      <c r="H19" s="217"/>
      <c r="I19" s="7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5" customHeight="1">
      <c r="A20" s="282"/>
      <c r="B20" s="184"/>
      <c r="C20" s="184"/>
      <c r="D20" s="184"/>
      <c r="E20" s="184"/>
      <c r="F20" s="32"/>
      <c r="G20" s="184"/>
      <c r="H20" s="283"/>
      <c r="I20" s="18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284" t="s">
        <v>468</v>
      </c>
      <c r="B21" s="285"/>
      <c r="C21" s="285"/>
      <c r="D21" s="70">
        <f>SUM(D13:D20)</f>
        <v>13284143.681575462</v>
      </c>
      <c r="E21" s="285"/>
      <c r="F21" s="285"/>
      <c r="G21" s="287">
        <f>D21</f>
        <v>13284143.681575462</v>
      </c>
      <c r="H21" s="285"/>
      <c r="I21" s="287">
        <f>SUM(I13:I19)</f>
        <v>10627314.945260372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3.5" customHeight="1">
      <c r="A22" s="288">
        <v>36892</v>
      </c>
      <c r="B22" s="288">
        <f>D5</f>
        <v>265682873.63150927</v>
      </c>
      <c r="C22" s="288"/>
      <c r="D22" s="288"/>
      <c r="E22" s="288"/>
      <c r="F22" s="288"/>
      <c r="G22" s="225"/>
      <c r="H22" s="217"/>
      <c r="I22" s="28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280" t="s">
        <v>472</v>
      </c>
      <c r="B23" s="70">
        <f>D5</f>
        <v>265682873.63150927</v>
      </c>
      <c r="C23" s="70"/>
      <c r="D23" s="70">
        <f t="shared" ref="D23:D32" si="4">B22*0.06</f>
        <v>15940972.417890556</v>
      </c>
      <c r="E23" s="70"/>
      <c r="F23" s="70"/>
      <c r="G23" s="227"/>
      <c r="H23" s="217"/>
      <c r="I23" s="29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133" t="s">
        <v>474</v>
      </c>
      <c r="B24" s="70">
        <f t="shared" ref="B24:B25" si="5">B23-C23</f>
        <v>265682873.63150927</v>
      </c>
      <c r="C24" s="70"/>
      <c r="D24" s="70">
        <f t="shared" si="4"/>
        <v>15940972.417890556</v>
      </c>
      <c r="E24" s="70"/>
      <c r="F24" s="70">
        <f>(B24+B23)/2</f>
        <v>265682873.63150927</v>
      </c>
      <c r="G24" s="227">
        <f>(D23+D24)</f>
        <v>31881944.835781112</v>
      </c>
      <c r="H24" s="217">
        <f>G24/F24</f>
        <v>0.12</v>
      </c>
      <c r="I24" s="29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133" t="s">
        <v>475</v>
      </c>
      <c r="B25" s="70">
        <f t="shared" si="5"/>
        <v>265682873.63150927</v>
      </c>
      <c r="C25" s="70"/>
      <c r="D25" s="70">
        <f t="shared" si="4"/>
        <v>15940972.417890556</v>
      </c>
      <c r="E25" s="70"/>
      <c r="F25" s="70"/>
      <c r="G25" s="227"/>
      <c r="H25" s="217"/>
      <c r="I25" s="29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133" t="s">
        <v>476</v>
      </c>
      <c r="B26" s="70">
        <f t="shared" ref="B26:B32" si="6">B25-C26</f>
        <v>221402394.69292438</v>
      </c>
      <c r="C26" s="70">
        <f t="shared" ref="C26:C31" si="7">D$5/6</f>
        <v>44280478.938584879</v>
      </c>
      <c r="D26" s="70">
        <f t="shared" si="4"/>
        <v>15940972.417890556</v>
      </c>
      <c r="E26" s="70">
        <f>C26+C25</f>
        <v>44280478.938584879</v>
      </c>
      <c r="F26" s="70">
        <f>(B26+B25)/2</f>
        <v>243542634.16221684</v>
      </c>
      <c r="G26" s="227">
        <f>(D25+D26)</f>
        <v>31881944.835781112</v>
      </c>
      <c r="H26" s="217">
        <f>G26/F26</f>
        <v>0.13090909090909089</v>
      </c>
      <c r="I26" s="29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133" t="s">
        <v>477</v>
      </c>
      <c r="B27" s="70">
        <f t="shared" si="6"/>
        <v>177121915.75433952</v>
      </c>
      <c r="C27" s="70">
        <f t="shared" si="7"/>
        <v>44280478.938584879</v>
      </c>
      <c r="D27" s="70">
        <f t="shared" si="4"/>
        <v>13284143.681575462</v>
      </c>
      <c r="E27" s="70"/>
      <c r="F27" s="70"/>
      <c r="G27" s="227"/>
      <c r="H27" s="217"/>
      <c r="I27" s="29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133" t="s">
        <v>478</v>
      </c>
      <c r="B28" s="70">
        <f t="shared" si="6"/>
        <v>132841436.81575464</v>
      </c>
      <c r="C28" s="70">
        <f t="shared" si="7"/>
        <v>44280478.938584879</v>
      </c>
      <c r="D28" s="70">
        <f t="shared" si="4"/>
        <v>10627314.94526037</v>
      </c>
      <c r="E28" s="70">
        <f>C28+C27</f>
        <v>88560957.877169758</v>
      </c>
      <c r="F28" s="70">
        <f>(B28+B27)/2</f>
        <v>154981676.28504708</v>
      </c>
      <c r="G28" s="227">
        <f>(D27+D28)</f>
        <v>23911458.626835831</v>
      </c>
      <c r="H28" s="217">
        <f>G28/F28</f>
        <v>0.15428571428571425</v>
      </c>
      <c r="I28" s="291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133" t="s">
        <v>479</v>
      </c>
      <c r="B29" s="70">
        <f t="shared" si="6"/>
        <v>88560957.877169758</v>
      </c>
      <c r="C29" s="70">
        <f t="shared" si="7"/>
        <v>44280478.938584879</v>
      </c>
      <c r="D29" s="70">
        <f t="shared" si="4"/>
        <v>7970486.2089452781</v>
      </c>
      <c r="E29" s="70"/>
      <c r="F29" s="70"/>
      <c r="G29" s="227"/>
      <c r="H29" s="217"/>
      <c r="I29" s="29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133" t="s">
        <v>480</v>
      </c>
      <c r="B30" s="70">
        <f t="shared" si="6"/>
        <v>44280478.938584879</v>
      </c>
      <c r="C30" s="70">
        <f t="shared" si="7"/>
        <v>44280478.938584879</v>
      </c>
      <c r="D30" s="70">
        <f t="shared" si="4"/>
        <v>5313657.4726301851</v>
      </c>
      <c r="E30" s="70">
        <f>C30+C29</f>
        <v>88560957.877169758</v>
      </c>
      <c r="F30" s="70">
        <f>(B30+B29)/2</f>
        <v>66420718.407877319</v>
      </c>
      <c r="G30" s="227">
        <f>(D29+D30)</f>
        <v>13284143.681575462</v>
      </c>
      <c r="H30" s="217">
        <f>G30/F30</f>
        <v>0.19999999999999998</v>
      </c>
      <c r="I30" s="29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133" t="s">
        <v>481</v>
      </c>
      <c r="B31" s="70">
        <f t="shared" si="6"/>
        <v>0</v>
      </c>
      <c r="C31" s="70">
        <f t="shared" si="7"/>
        <v>44280478.938584879</v>
      </c>
      <c r="D31" s="70">
        <f t="shared" si="4"/>
        <v>2656828.7363150925</v>
      </c>
      <c r="E31" s="70"/>
      <c r="F31" s="70"/>
      <c r="G31" s="227"/>
      <c r="H31" s="217"/>
      <c r="I31" s="76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133" t="s">
        <v>482</v>
      </c>
      <c r="B32" s="70">
        <f t="shared" si="6"/>
        <v>0</v>
      </c>
      <c r="C32" s="70"/>
      <c r="D32" s="70">
        <f t="shared" si="4"/>
        <v>0</v>
      </c>
      <c r="E32" s="70">
        <f>C32+C31</f>
        <v>44280478.938584879</v>
      </c>
      <c r="F32" s="70">
        <f>(B32+B31)/2</f>
        <v>0</v>
      </c>
      <c r="G32" s="227">
        <f>(D31+D32)</f>
        <v>2656828.7363150925</v>
      </c>
      <c r="H32" s="217"/>
      <c r="I32" s="7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188" t="s">
        <v>483</v>
      </c>
      <c r="B33" s="240"/>
      <c r="C33" s="240">
        <f t="shared" ref="C33:G33" si="8">C21+SUM(C22:C32)</f>
        <v>265682873.63150924</v>
      </c>
      <c r="D33" s="240">
        <f t="shared" si="8"/>
        <v>116900464.39786407</v>
      </c>
      <c r="E33" s="240">
        <f t="shared" si="8"/>
        <v>265682873.63150924</v>
      </c>
      <c r="F33" s="240">
        <f t="shared" si="8"/>
        <v>730627902.48665047</v>
      </c>
      <c r="G33" s="240">
        <f t="shared" si="8"/>
        <v>116900464.39786406</v>
      </c>
      <c r="H33" s="240"/>
      <c r="I33" s="240">
        <f>I21+SUM(I22:I32)</f>
        <v>10627314.945260372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</sheetData>
  <mergeCells count="3">
    <mergeCell ref="B3:C3"/>
    <mergeCell ref="D3:E3"/>
    <mergeCell ref="F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Información relevante</vt:lpstr>
      <vt:lpstr>InfoInicial</vt:lpstr>
      <vt:lpstr>E-Inv AF y Am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CASTILLA Macarena</dc:creator>
  <cp:lastModifiedBy>CASTILLA Macarena</cp:lastModifiedBy>
  <dcterms:created xsi:type="dcterms:W3CDTF">2018-11-27T14:59:08Z</dcterms:created>
  <dcterms:modified xsi:type="dcterms:W3CDTF">2018-11-27T14:59:08Z</dcterms:modified>
</cp:coreProperties>
</file>