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9720" windowHeight="5730" tabRatio="906" firstSheet="1" activeTab="8"/>
  </bookViews>
  <sheets>
    <sheet name="VER ADRI" sheetId="17" state="hidden" r:id="rId1"/>
    <sheet name="Entrada de Datos" sheetId="18" r:id="rId2"/>
    <sheet name="InfoInicial" sheetId="2" r:id="rId3"/>
    <sheet name="E-Inv AF y Am" sheetId="1" r:id="rId4"/>
    <sheet name="E-Costos" sheetId="4" r:id="rId5"/>
    <sheet name="E-InvAT" sheetId="5" r:id="rId6"/>
    <sheet name="E-Cal Inv." sheetId="6" r:id="rId7"/>
    <sheet name="E-IVA " sheetId="7" r:id="rId8"/>
    <sheet name="E-Form" sheetId="8" r:id="rId9"/>
  </sheets>
  <externalReferences>
    <externalReference r:id="rId10"/>
    <externalReference r:id="rId11"/>
    <externalReference r:id="rId12"/>
    <externalReference r:id="rId13"/>
  </externalReferences>
  <definedNames>
    <definedName name="_xlnm.Print_Area" localSheetId="4">'E-Costos'!$A$1:$L$49,'E-Costos'!$A$52:$K$89,'E-Costos'!$A$92:$K$146</definedName>
  </definedNames>
  <calcPr calcId="144525"/>
</workbook>
</file>

<file path=xl/calcChain.xml><?xml version="1.0" encoding="utf-8"?>
<calcChain xmlns="http://schemas.openxmlformats.org/spreadsheetml/2006/main">
  <c r="D37" i="18" l="1"/>
  <c r="C48" i="1"/>
  <c r="C47" i="1"/>
  <c r="C46" i="1"/>
  <c r="C45" i="1"/>
  <c r="C44" i="1"/>
  <c r="C43" i="1"/>
  <c r="C49" i="1"/>
  <c r="D49" i="1" s="1"/>
  <c r="E49" i="1" l="1"/>
  <c r="G49" i="1" s="1"/>
  <c r="B7" i="1"/>
  <c r="D10" i="18" l="1"/>
  <c r="B95" i="4" l="1"/>
  <c r="F78" i="4"/>
  <c r="E78" i="4"/>
  <c r="D78" i="4"/>
  <c r="C78" i="4"/>
  <c r="W8" i="18"/>
  <c r="B15" i="1"/>
  <c r="B9" i="5"/>
  <c r="G8" i="5"/>
  <c r="F8" i="5"/>
  <c r="E8" i="5"/>
  <c r="D8" i="5"/>
  <c r="C8" i="5"/>
  <c r="B8" i="5" s="1"/>
  <c r="W7" i="18"/>
  <c r="F10" i="4"/>
  <c r="F57" i="4" s="1"/>
  <c r="F77" i="4" s="1"/>
  <c r="E10" i="4"/>
  <c r="E57" i="4" s="1"/>
  <c r="E77" i="4" s="1"/>
  <c r="D10" i="4"/>
  <c r="D57" i="4" s="1"/>
  <c r="D77" i="4" s="1"/>
  <c r="C10" i="4"/>
  <c r="C57" i="4" s="1"/>
  <c r="C77" i="4" s="1"/>
  <c r="I22" i="6" l="1"/>
  <c r="B30" i="5" l="1"/>
  <c r="C11" i="4"/>
  <c r="B11" i="4" s="1"/>
  <c r="D11" i="4"/>
  <c r="E11" i="4"/>
  <c r="F11" i="4"/>
  <c r="W4" i="18"/>
  <c r="T17" i="18"/>
  <c r="B25" i="1"/>
  <c r="C25" i="1"/>
  <c r="B16" i="1"/>
  <c r="B12" i="1"/>
  <c r="B14" i="1" s="1"/>
  <c r="B18" i="1" s="1"/>
  <c r="J19" i="1"/>
  <c r="J18" i="1"/>
  <c r="J17" i="1"/>
  <c r="J16" i="1"/>
  <c r="J15" i="1"/>
  <c r="J14" i="1"/>
  <c r="J11" i="1"/>
  <c r="J10" i="1"/>
  <c r="J9" i="1"/>
  <c r="J8" i="1"/>
  <c r="J7" i="1"/>
  <c r="J23" i="1"/>
  <c r="B79" i="4" l="1"/>
  <c r="C79" i="4" s="1"/>
  <c r="D79" i="4" s="1"/>
  <c r="E79" i="4" s="1"/>
  <c r="F79" i="4" s="1"/>
  <c r="B14" i="4"/>
  <c r="C14" i="4" s="1"/>
  <c r="D14" i="4" s="1"/>
  <c r="E14" i="4" s="1"/>
  <c r="F14" i="4" s="1"/>
  <c r="B59" i="4"/>
  <c r="C59" i="4" s="1"/>
  <c r="D59" i="4" s="1"/>
  <c r="E59" i="4" s="1"/>
  <c r="F59" i="4" s="1"/>
  <c r="E26" i="18"/>
  <c r="K3" i="18"/>
  <c r="F95" i="4"/>
  <c r="E95" i="4"/>
  <c r="D95" i="4"/>
  <c r="C95" i="4"/>
  <c r="F94" i="4"/>
  <c r="E94" i="4"/>
  <c r="D94" i="4"/>
  <c r="C94" i="4"/>
  <c r="B94" i="4"/>
  <c r="B20" i="2"/>
  <c r="B19" i="2"/>
  <c r="C97" i="4" l="1"/>
  <c r="C110" i="4"/>
  <c r="E97" i="4"/>
  <c r="E110" i="4"/>
  <c r="B97" i="4"/>
  <c r="C22" i="7" s="1"/>
  <c r="B110" i="4"/>
  <c r="D97" i="4"/>
  <c r="D110" i="4"/>
  <c r="F97" i="4"/>
  <c r="F110" i="4"/>
  <c r="E20" i="18"/>
  <c r="E21" i="18" s="1"/>
  <c r="E25" i="18" s="1"/>
  <c r="C4" i="18"/>
  <c r="C53" i="1" l="1"/>
  <c r="C50" i="1"/>
  <c r="E1" i="1"/>
  <c r="C42" i="8" l="1"/>
  <c r="D42" i="8" s="1"/>
  <c r="E42" i="8" s="1"/>
  <c r="F42" i="8" s="1"/>
  <c r="G42" i="8" s="1"/>
  <c r="H42" i="8" s="1"/>
  <c r="I42" i="8" s="1"/>
  <c r="J42" i="8" s="1"/>
  <c r="K42" i="8" s="1"/>
  <c r="L42" i="8" s="1"/>
  <c r="W5" i="18"/>
  <c r="W6" i="18"/>
  <c r="K13" i="18"/>
  <c r="K18" i="18" s="1"/>
  <c r="K14" i="18"/>
  <c r="K19" i="18" s="1"/>
  <c r="V33" i="17"/>
  <c r="C22" i="17"/>
  <c r="C21" i="17"/>
  <c r="M12" i="17"/>
  <c r="L12" i="17"/>
  <c r="K12" i="17"/>
  <c r="J12" i="17"/>
  <c r="I12" i="17"/>
  <c r="H12" i="17"/>
  <c r="G12" i="17"/>
  <c r="F12" i="17"/>
  <c r="E12" i="17"/>
  <c r="D12" i="17"/>
  <c r="P10" i="17"/>
  <c r="D10" i="17"/>
  <c r="E10" i="17" s="1"/>
  <c r="F10" i="17" s="1"/>
  <c r="AC4" i="17"/>
  <c r="AC5" i="17" s="1"/>
  <c r="AC6" i="17" s="1"/>
  <c r="AC7" i="17" s="1"/>
  <c r="AB4" i="17"/>
  <c r="AB5" i="17" s="1"/>
  <c r="AB6" i="17" s="1"/>
  <c r="AB7" i="17" s="1"/>
  <c r="AA4" i="17"/>
  <c r="AA5" i="17" s="1"/>
  <c r="AA6" i="17" s="1"/>
  <c r="AA7" i="17" s="1"/>
  <c r="Z4" i="17"/>
  <c r="Z5" i="17" s="1"/>
  <c r="Z6" i="17" s="1"/>
  <c r="Z7" i="17" s="1"/>
  <c r="Y4" i="17"/>
  <c r="Y5" i="17" s="1"/>
  <c r="Y6" i="17" s="1"/>
  <c r="Y7" i="17" s="1"/>
  <c r="P4" i="17"/>
  <c r="P5" i="17" s="1"/>
  <c r="M4" i="17"/>
  <c r="M5" i="17" s="1"/>
  <c r="L4" i="17"/>
  <c r="K4" i="17"/>
  <c r="K5" i="17" s="1"/>
  <c r="J4" i="17"/>
  <c r="I4" i="17"/>
  <c r="H4" i="17"/>
  <c r="G4" i="17"/>
  <c r="F4" i="17"/>
  <c r="F5" i="17" s="1"/>
  <c r="F6" i="17" s="1"/>
  <c r="E4" i="17"/>
  <c r="D4" i="17"/>
  <c r="V3" i="17"/>
  <c r="C3" i="17"/>
  <c r="D2" i="17"/>
  <c r="E2" i="17" s="1"/>
  <c r="F2" i="17" s="1"/>
  <c r="G2" i="17" s="1"/>
  <c r="H2" i="17" s="1"/>
  <c r="I2" i="17" s="1"/>
  <c r="J2" i="17" s="1"/>
  <c r="K2" i="17" s="1"/>
  <c r="L2" i="17" s="1"/>
  <c r="M2" i="17" s="1"/>
  <c r="B46" i="1"/>
  <c r="V15" i="17"/>
  <c r="J5" i="17"/>
  <c r="V18" i="17"/>
  <c r="V29" i="17"/>
  <c r="B29" i="5"/>
  <c r="B11" i="7"/>
  <c r="B17" i="7" s="1"/>
  <c r="B19" i="7" s="1"/>
  <c r="G7" i="7"/>
  <c r="F7" i="7"/>
  <c r="E7" i="7"/>
  <c r="D7" i="7"/>
  <c r="H13" i="6"/>
  <c r="G13" i="6"/>
  <c r="F13" i="6"/>
  <c r="E13" i="6"/>
  <c r="H12" i="6"/>
  <c r="G12" i="6"/>
  <c r="F12" i="6"/>
  <c r="E12" i="6"/>
  <c r="D12" i="6"/>
  <c r="C15" i="6"/>
  <c r="C14" i="6"/>
  <c r="C12" i="6"/>
  <c r="B16" i="6"/>
  <c r="H6" i="6"/>
  <c r="H19" i="6" s="1"/>
  <c r="G6" i="6"/>
  <c r="G19" i="6" s="1"/>
  <c r="F6" i="6"/>
  <c r="B6" i="8" s="1"/>
  <c r="E6" i="6"/>
  <c r="B5" i="8" s="1"/>
  <c r="G29" i="5"/>
  <c r="F29" i="5"/>
  <c r="E29" i="5"/>
  <c r="D29" i="5"/>
  <c r="B28" i="5"/>
  <c r="B32" i="5" s="1"/>
  <c r="G28" i="5"/>
  <c r="F28" i="5"/>
  <c r="E28" i="5"/>
  <c r="D28" i="5"/>
  <c r="C28" i="5"/>
  <c r="B159" i="4"/>
  <c r="H159" i="4" s="1"/>
  <c r="E22" i="7"/>
  <c r="B10" i="4"/>
  <c r="B77" i="4"/>
  <c r="F58" i="4"/>
  <c r="E58" i="4"/>
  <c r="F8" i="7" s="1"/>
  <c r="D58" i="4"/>
  <c r="C58" i="4"/>
  <c r="B57" i="4"/>
  <c r="F10" i="7"/>
  <c r="D10" i="7"/>
  <c r="B42" i="1"/>
  <c r="G42" i="1" s="1"/>
  <c r="B7" i="8"/>
  <c r="C19" i="1"/>
  <c r="B44" i="1"/>
  <c r="F19" i="6"/>
  <c r="C13" i="6"/>
  <c r="D13" i="6"/>
  <c r="C29" i="5"/>
  <c r="B78" i="4"/>
  <c r="E5" i="17"/>
  <c r="L5" i="17"/>
  <c r="I5" i="17"/>
  <c r="G5" i="17"/>
  <c r="K22" i="17"/>
  <c r="E22" i="17"/>
  <c r="L22" i="17"/>
  <c r="D5" i="17"/>
  <c r="K6" i="17"/>
  <c r="K9" i="17" s="1"/>
  <c r="H5" i="17"/>
  <c r="H6" i="17" s="1"/>
  <c r="H9" i="17" s="1"/>
  <c r="V28" i="17"/>
  <c r="V12" i="17"/>
  <c r="V13" i="17"/>
  <c r="V14" i="17"/>
  <c r="V26" i="17"/>
  <c r="V31" i="17" s="1"/>
  <c r="P6" i="17"/>
  <c r="P11" i="17"/>
  <c r="K7" i="17"/>
  <c r="H7" i="17"/>
  <c r="E44" i="1"/>
  <c r="D76" i="4"/>
  <c r="E56" i="4"/>
  <c r="C76" i="4"/>
  <c r="B76" i="4" s="1"/>
  <c r="F56" i="4"/>
  <c r="I21" i="17"/>
  <c r="L21" i="17"/>
  <c r="K21" i="17"/>
  <c r="J21" i="17"/>
  <c r="F21" i="17"/>
  <c r="P7" i="17"/>
  <c r="E8" i="7"/>
  <c r="B43" i="1"/>
  <c r="E19" i="6"/>
  <c r="M22" i="17"/>
  <c r="I22" i="17"/>
  <c r="D22" i="17"/>
  <c r="P8" i="17"/>
  <c r="P12" i="17" s="1"/>
  <c r="P13" i="17" s="1"/>
  <c r="C8" i="17"/>
  <c r="C12" i="17"/>
  <c r="J22" i="17"/>
  <c r="E6" i="17"/>
  <c r="L6" i="17"/>
  <c r="D5" i="5"/>
  <c r="J6" i="17"/>
  <c r="F12" i="4"/>
  <c r="B12" i="4"/>
  <c r="C12" i="4"/>
  <c r="E43" i="1"/>
  <c r="E12" i="4"/>
  <c r="D12" i="4"/>
  <c r="D43" i="1"/>
  <c r="L9" i="17"/>
  <c r="L7" i="17"/>
  <c r="J7" i="17"/>
  <c r="J9" i="17"/>
  <c r="E9" i="17"/>
  <c r="E7" i="17"/>
  <c r="P9" i="17"/>
  <c r="B50" i="1"/>
  <c r="E50" i="1" s="1"/>
  <c r="B22" i="1"/>
  <c r="I159" i="4"/>
  <c r="G159" i="4"/>
  <c r="B48" i="1"/>
  <c r="D50" i="1"/>
  <c r="AC11" i="18" s="1"/>
  <c r="B5" i="6"/>
  <c r="F7" i="17" l="1"/>
  <c r="F9" i="17"/>
  <c r="Z26" i="17"/>
  <c r="Z14" i="17"/>
  <c r="Z12" i="17"/>
  <c r="Z13" i="17"/>
  <c r="Z33" i="17"/>
  <c r="Z15" i="17"/>
  <c r="Z28" i="17"/>
  <c r="AB29" i="17"/>
  <c r="AB12" i="17"/>
  <c r="AB15" i="17"/>
  <c r="AB14" i="17"/>
  <c r="AB26" i="17"/>
  <c r="AB28" i="17"/>
  <c r="AB33" i="17"/>
  <c r="AB13" i="17"/>
  <c r="AB18" i="17"/>
  <c r="Y14" i="17"/>
  <c r="Y18" i="17"/>
  <c r="Y26" i="17"/>
  <c r="Y29" i="17"/>
  <c r="AA33" i="17"/>
  <c r="AA18" i="17"/>
  <c r="AA14" i="17"/>
  <c r="AA26" i="17"/>
  <c r="AC12" i="17"/>
  <c r="AC26" i="17"/>
  <c r="AC14" i="17"/>
  <c r="AC28" i="17"/>
  <c r="AC15" i="17"/>
  <c r="G43" i="1"/>
  <c r="W10" i="18"/>
  <c r="G50" i="1"/>
  <c r="C7" i="7"/>
  <c r="I12" i="6"/>
  <c r="B6" i="6"/>
  <c r="I13" i="6"/>
  <c r="W21" i="18"/>
  <c r="P11" i="18"/>
  <c r="D48" i="1"/>
  <c r="B45" i="1"/>
  <c r="G8" i="7"/>
  <c r="E11" i="17"/>
  <c r="E13" i="17" s="1"/>
  <c r="D4" i="5"/>
  <c r="D159" i="4"/>
  <c r="D22" i="7"/>
  <c r="E159" i="4"/>
  <c r="M159" i="4"/>
  <c r="F159" i="4"/>
  <c r="L159" i="4"/>
  <c r="J159" i="4"/>
  <c r="K159" i="4"/>
  <c r="C159" i="4"/>
  <c r="F11" i="17"/>
  <c r="F13" i="17" s="1"/>
  <c r="G10" i="17"/>
  <c r="H10" i="17" s="1"/>
  <c r="I10" i="17" s="1"/>
  <c r="J10" i="17" s="1"/>
  <c r="F5" i="5"/>
  <c r="G4" i="5"/>
  <c r="D4" i="6"/>
  <c r="B19" i="1"/>
  <c r="C20" i="6"/>
  <c r="H11" i="17"/>
  <c r="H13" i="17" s="1"/>
  <c r="D45" i="1"/>
  <c r="E48" i="1"/>
  <c r="B21" i="7"/>
  <c r="B23" i="7" s="1"/>
  <c r="E46" i="1"/>
  <c r="D46" i="1"/>
  <c r="G46" i="1" s="1"/>
  <c r="D44" i="1"/>
  <c r="G44" i="1" s="1"/>
  <c r="B58" i="4"/>
  <c r="C8" i="7" s="1"/>
  <c r="D8" i="7"/>
  <c r="G22" i="7"/>
  <c r="G5" i="5"/>
  <c r="E5" i="5"/>
  <c r="E4" i="5"/>
  <c r="C4" i="17"/>
  <c r="G22" i="17"/>
  <c r="F22" i="17"/>
  <c r="H22" i="17"/>
  <c r="D6" i="17"/>
  <c r="G6" i="17"/>
  <c r="I6" i="17"/>
  <c r="M6" i="17"/>
  <c r="K21" i="18"/>
  <c r="V20" i="17"/>
  <c r="V34" i="17" s="1"/>
  <c r="V35" i="17" s="1"/>
  <c r="F22" i="7"/>
  <c r="F4" i="5"/>
  <c r="E76" i="4"/>
  <c r="B47" i="1"/>
  <c r="D56" i="4"/>
  <c r="F76" i="4"/>
  <c r="C56" i="4"/>
  <c r="Y13" i="17"/>
  <c r="Y28" i="17"/>
  <c r="Y31" i="17" s="1"/>
  <c r="Y15" i="17"/>
  <c r="Y12" i="17"/>
  <c r="Y20" i="17" s="1"/>
  <c r="Y33" i="17"/>
  <c r="Z29" i="17"/>
  <c r="Z31" i="17" s="1"/>
  <c r="Z34" i="17" s="1"/>
  <c r="Z35" i="17" s="1"/>
  <c r="Z18" i="17"/>
  <c r="Z20" i="17" s="1"/>
  <c r="AA15" i="17"/>
  <c r="AA12" i="17"/>
  <c r="AA28" i="17"/>
  <c r="AA13" i="17"/>
  <c r="AA29" i="17"/>
  <c r="AC29" i="17"/>
  <c r="AC31" i="17" s="1"/>
  <c r="AC33" i="17"/>
  <c r="AC18" i="17"/>
  <c r="AC13" i="17"/>
  <c r="AC20" i="17" s="1"/>
  <c r="M21" i="17"/>
  <c r="D21" i="17"/>
  <c r="H21" i="17"/>
  <c r="G21" i="17"/>
  <c r="E21" i="17"/>
  <c r="C10" i="7"/>
  <c r="E10" i="7"/>
  <c r="G10" i="7"/>
  <c r="E45" i="1" l="1"/>
  <c r="G45" i="1"/>
  <c r="AB31" i="17"/>
  <c r="AB34" i="17" s="1"/>
  <c r="AB35" i="17" s="1"/>
  <c r="G48" i="1"/>
  <c r="AB20" i="17"/>
  <c r="D61" i="4"/>
  <c r="D81" i="4" s="1"/>
  <c r="E61" i="4"/>
  <c r="E81" i="4" s="1"/>
  <c r="F61" i="4"/>
  <c r="F81" i="4" s="1"/>
  <c r="B61" i="4"/>
  <c r="B81" i="4" s="1"/>
  <c r="C61" i="4"/>
  <c r="C81" i="4" s="1"/>
  <c r="AC10" i="18"/>
  <c r="W27" i="18"/>
  <c r="B8" i="4" s="1"/>
  <c r="E8" i="4"/>
  <c r="C8" i="4"/>
  <c r="F8" i="4"/>
  <c r="D8" i="4"/>
  <c r="H190" i="4"/>
  <c r="H189" i="4"/>
  <c r="B23" i="1"/>
  <c r="C4" i="6"/>
  <c r="I4" i="6" s="1"/>
  <c r="AA20" i="17"/>
  <c r="Y34" i="17"/>
  <c r="Y35" i="17" s="1"/>
  <c r="B56" i="4"/>
  <c r="E47" i="1"/>
  <c r="E51" i="1" s="1"/>
  <c r="D47" i="1"/>
  <c r="D51" i="1" s="1"/>
  <c r="H9" i="6"/>
  <c r="G9" i="6"/>
  <c r="K26" i="18"/>
  <c r="E5" i="4"/>
  <c r="E100" i="4" s="1"/>
  <c r="C5" i="4"/>
  <c r="C100" i="4" s="1"/>
  <c r="F5" i="4"/>
  <c r="F100" i="4" s="1"/>
  <c r="D5" i="4"/>
  <c r="D100" i="4" s="1"/>
  <c r="I7" i="17"/>
  <c r="I9" i="17"/>
  <c r="I11" i="17"/>
  <c r="I13" i="17" s="1"/>
  <c r="D7" i="17"/>
  <c r="D9" i="17"/>
  <c r="D11" i="17"/>
  <c r="D13" i="17" s="1"/>
  <c r="C5" i="17"/>
  <c r="C6" i="17"/>
  <c r="B152" i="4"/>
  <c r="C5" i="5"/>
  <c r="C4" i="5"/>
  <c r="AC34" i="17"/>
  <c r="AC35" i="17" s="1"/>
  <c r="AA31" i="17"/>
  <c r="AA34" i="17" s="1"/>
  <c r="AA35" i="17" s="1"/>
  <c r="I26" i="17"/>
  <c r="M26" i="17"/>
  <c r="K26" i="17"/>
  <c r="J26" i="17"/>
  <c r="C26" i="17"/>
  <c r="H26" i="17"/>
  <c r="G26" i="17"/>
  <c r="L26" i="17"/>
  <c r="F26" i="17"/>
  <c r="D26" i="17"/>
  <c r="E26" i="17"/>
  <c r="C15" i="17"/>
  <c r="E15" i="17"/>
  <c r="J15" i="17"/>
  <c r="I15" i="17"/>
  <c r="D15" i="17"/>
  <c r="M15" i="17"/>
  <c r="K15" i="17"/>
  <c r="H15" i="17"/>
  <c r="G15" i="17"/>
  <c r="F15" i="17"/>
  <c r="L15" i="17"/>
  <c r="M9" i="17"/>
  <c r="M7" i="17"/>
  <c r="G9" i="17"/>
  <c r="G7" i="17"/>
  <c r="G11" i="17"/>
  <c r="G13" i="17" s="1"/>
  <c r="F9" i="6"/>
  <c r="AC17" i="18"/>
  <c r="B51" i="1"/>
  <c r="J11" i="17"/>
  <c r="J13" i="17" s="1"/>
  <c r="K10" i="17"/>
  <c r="L25" i="17" l="1"/>
  <c r="D25" i="17"/>
  <c r="K25" i="17"/>
  <c r="H25" i="17"/>
  <c r="C25" i="17"/>
  <c r="I25" i="17"/>
  <c r="G25" i="17"/>
  <c r="E25" i="17"/>
  <c r="M25" i="17"/>
  <c r="F25" i="17"/>
  <c r="J25" i="17"/>
  <c r="G47" i="1"/>
  <c r="G51" i="1" s="1"/>
  <c r="G55" i="1" s="1"/>
  <c r="F74" i="4"/>
  <c r="F80" i="4" s="1"/>
  <c r="F54" i="4"/>
  <c r="F60" i="4" s="1"/>
  <c r="E74" i="4"/>
  <c r="E80" i="4" s="1"/>
  <c r="E54" i="4"/>
  <c r="E60" i="4" s="1"/>
  <c r="D74" i="4"/>
  <c r="D80" i="4" s="1"/>
  <c r="D54" i="4"/>
  <c r="D60" i="4" s="1"/>
  <c r="C74" i="4"/>
  <c r="C54" i="4"/>
  <c r="B27" i="1"/>
  <c r="B19" i="6"/>
  <c r="K11" i="17"/>
  <c r="K13" i="17" s="1"/>
  <c r="L10" i="17"/>
  <c r="AC8" i="18"/>
  <c r="I17" i="17"/>
  <c r="G17" i="17"/>
  <c r="H17" i="17"/>
  <c r="J17" i="17"/>
  <c r="L17" i="17"/>
  <c r="F17" i="17"/>
  <c r="D17" i="17"/>
  <c r="C17" i="17"/>
  <c r="K17" i="17"/>
  <c r="M17" i="17"/>
  <c r="E17" i="17"/>
  <c r="G24" i="17"/>
  <c r="G27" i="17" s="1"/>
  <c r="J24" i="17"/>
  <c r="J27" i="17" s="1"/>
  <c r="K24" i="17"/>
  <c r="K27" i="17" s="1"/>
  <c r="C24" i="17"/>
  <c r="C27" i="17" s="1"/>
  <c r="E24" i="17"/>
  <c r="E27" i="17" s="1"/>
  <c r="D24" i="17"/>
  <c r="D27" i="17" s="1"/>
  <c r="L24" i="17"/>
  <c r="L27" i="17" s="1"/>
  <c r="M24" i="17"/>
  <c r="M27" i="17" s="1"/>
  <c r="H24" i="17"/>
  <c r="H27" i="17" s="1"/>
  <c r="F24" i="17"/>
  <c r="F27" i="17" s="1"/>
  <c r="I24" i="17"/>
  <c r="I27" i="17" s="1"/>
  <c r="B4" i="5"/>
  <c r="D9" i="6" s="1"/>
  <c r="E9" i="6"/>
  <c r="K152" i="4"/>
  <c r="I152" i="4"/>
  <c r="J152" i="4"/>
  <c r="L152" i="4"/>
  <c r="C152" i="4"/>
  <c r="F152" i="4"/>
  <c r="D152" i="4"/>
  <c r="E152" i="4"/>
  <c r="M152" i="4"/>
  <c r="H152" i="4"/>
  <c r="G152" i="4"/>
  <c r="C9" i="17"/>
  <c r="Q6" i="17"/>
  <c r="C11" i="17"/>
  <c r="C13" i="17" s="1"/>
  <c r="C7" i="17"/>
  <c r="Q5" i="17"/>
  <c r="B5" i="4"/>
  <c r="I18" i="17"/>
  <c r="G18" i="17"/>
  <c r="E18" i="17"/>
  <c r="M18" i="17"/>
  <c r="D18" i="17"/>
  <c r="J18" i="17"/>
  <c r="L18" i="17"/>
  <c r="H18" i="17"/>
  <c r="K18" i="17"/>
  <c r="C18" i="17"/>
  <c r="F18" i="17"/>
  <c r="B54" i="4" l="1"/>
  <c r="C60" i="4"/>
  <c r="B60" i="4" s="1"/>
  <c r="B74" i="4"/>
  <c r="C80" i="4"/>
  <c r="B80" i="4" s="1"/>
  <c r="B21" i="6"/>
  <c r="B8" i="8"/>
  <c r="Q8" i="17"/>
  <c r="R8" i="17" s="1"/>
  <c r="M19" i="17"/>
  <c r="C19" i="17"/>
  <c r="F19" i="17"/>
  <c r="J19" i="17"/>
  <c r="G19" i="17"/>
  <c r="AC12" i="18"/>
  <c r="AC13" i="18" s="1"/>
  <c r="B100" i="4"/>
  <c r="H163" i="4"/>
  <c r="H164" i="4"/>
  <c r="C9" i="6"/>
  <c r="I9" i="6" s="1"/>
  <c r="B13" i="5"/>
  <c r="E19" i="17"/>
  <c r="K19" i="17"/>
  <c r="D19" i="17"/>
  <c r="L19" i="17"/>
  <c r="H19" i="17"/>
  <c r="I19" i="17"/>
  <c r="L11" i="17"/>
  <c r="L13" i="17" s="1"/>
  <c r="M10" i="17"/>
  <c r="M11" i="17" s="1"/>
  <c r="M13" i="17" s="1"/>
  <c r="B23" i="6" l="1"/>
  <c r="C16" i="6"/>
  <c r="Q9" i="17"/>
  <c r="R9" i="17" s="1"/>
  <c r="B22" i="5"/>
  <c r="B20" i="5"/>
  <c r="B23" i="5" s="1"/>
  <c r="B34" i="5" l="1"/>
  <c r="C3" i="8"/>
  <c r="E11" i="18" l="1"/>
  <c r="D11" i="18" l="1"/>
  <c r="F11" i="18"/>
  <c r="E10" i="18" l="1"/>
  <c r="E14" i="18" l="1"/>
  <c r="E15" i="18" s="1"/>
  <c r="E13" i="18"/>
  <c r="E19" i="18" s="1"/>
  <c r="E24" i="18" s="1"/>
  <c r="W22" i="18" l="1"/>
  <c r="K22" i="18"/>
  <c r="D20" i="18"/>
  <c r="F21" i="18" l="1"/>
  <c r="F25" i="18" s="1"/>
  <c r="D14" i="18" l="1"/>
  <c r="D13" i="18"/>
  <c r="D21" i="18"/>
  <c r="D25" i="18" s="1"/>
  <c r="F20" i="18"/>
  <c r="F10" i="18"/>
  <c r="F13" i="18" l="1"/>
  <c r="F14" i="18"/>
  <c r="F15" i="18" s="1"/>
  <c r="E24" i="4"/>
  <c r="C24" i="4"/>
  <c r="B24" i="4"/>
  <c r="F24" i="4"/>
  <c r="D24" i="4"/>
  <c r="D15" i="18"/>
  <c r="D4" i="4" l="1"/>
  <c r="D30" i="4" s="1"/>
  <c r="C4" i="4"/>
  <c r="C99" i="4" s="1"/>
  <c r="D99" i="4"/>
  <c r="E5" i="7"/>
  <c r="D5" i="7"/>
  <c r="C30" i="4"/>
  <c r="W23" i="18"/>
  <c r="W28" i="18"/>
  <c r="W29" i="18" s="1"/>
  <c r="B28" i="4" s="1"/>
  <c r="K27" i="18"/>
  <c r="K28" i="18"/>
  <c r="AC15" i="18"/>
  <c r="AC19" i="18" s="1"/>
  <c r="F4" i="4"/>
  <c r="E4" i="4"/>
  <c r="E30" i="4"/>
  <c r="F19" i="18"/>
  <c r="F22" i="18" s="1"/>
  <c r="F26" i="18" s="1"/>
  <c r="F24" i="18" l="1"/>
  <c r="K29" i="18"/>
  <c r="G25" i="4" s="1"/>
  <c r="F5" i="7"/>
  <c r="E99" i="4"/>
  <c r="AC20" i="18"/>
  <c r="AC21" i="18" s="1"/>
  <c r="E9" i="4"/>
  <c r="F9" i="4"/>
  <c r="AC25" i="18"/>
  <c r="F99" i="4"/>
  <c r="G5" i="7"/>
  <c r="C25" i="4"/>
  <c r="E25" i="4"/>
  <c r="B25" i="4"/>
  <c r="D25" i="4"/>
  <c r="F25" i="4"/>
  <c r="D28" i="4"/>
  <c r="F28" i="4"/>
  <c r="C28" i="4"/>
  <c r="E28" i="4"/>
  <c r="F30" i="4"/>
  <c r="G6" i="7" l="1"/>
  <c r="E29" i="4"/>
  <c r="E13" i="4" s="1"/>
  <c r="F29" i="4"/>
  <c r="F13" i="4" s="1"/>
  <c r="AC26" i="18"/>
  <c r="AC31" i="18"/>
  <c r="C9" i="4"/>
  <c r="D9" i="4"/>
  <c r="F6" i="7"/>
  <c r="E6" i="7" l="1"/>
  <c r="B9" i="4"/>
  <c r="F62" i="4"/>
  <c r="F82" i="4" s="1"/>
  <c r="G16" i="7"/>
  <c r="E62" i="4"/>
  <c r="E82" i="4" s="1"/>
  <c r="F16" i="7"/>
  <c r="D6" i="7"/>
  <c r="AC32" i="18"/>
  <c r="AC27" i="18"/>
  <c r="C29" i="4" l="1"/>
  <c r="D29" i="4"/>
  <c r="AC33" i="18"/>
  <c r="B29" i="4" s="1"/>
  <c r="F17" i="7"/>
  <c r="G9" i="7"/>
  <c r="G11" i="7" s="1"/>
  <c r="G17" i="7"/>
  <c r="C6" i="7"/>
  <c r="G18" i="7" l="1"/>
  <c r="F9" i="7"/>
  <c r="F11" i="7" s="1"/>
  <c r="F18" i="7"/>
  <c r="B13" i="4"/>
  <c r="C13" i="4"/>
  <c r="D13" i="4"/>
  <c r="AC34" i="18"/>
  <c r="G29" i="4" s="1"/>
  <c r="D62" i="4" l="1"/>
  <c r="D82" i="4" s="1"/>
  <c r="E16" i="7"/>
  <c r="B62" i="4"/>
  <c r="B82" i="4" s="1"/>
  <c r="C62" i="4"/>
  <c r="C82" i="4" s="1"/>
  <c r="D16" i="7"/>
  <c r="E17" i="7" l="1"/>
  <c r="E9" i="7"/>
  <c r="E11" i="7" s="1"/>
  <c r="D17" i="7"/>
  <c r="C17" i="7"/>
  <c r="D9" i="7" l="1"/>
  <c r="D11" i="7" s="1"/>
  <c r="D18" i="7"/>
  <c r="E18" i="7"/>
  <c r="D19" i="18"/>
  <c r="C18" i="7"/>
  <c r="C9" i="7"/>
  <c r="D22" i="18" l="1"/>
  <c r="D24" i="18"/>
  <c r="B4" i="4" s="1"/>
  <c r="D26" i="18" l="1"/>
  <c r="G24" i="4" s="1"/>
  <c r="G36" i="4" s="1"/>
  <c r="C5" i="7"/>
  <c r="C11" i="7" s="1"/>
  <c r="B99" i="4"/>
  <c r="C16" i="7"/>
  <c r="B34" i="4"/>
  <c r="B31" i="4"/>
  <c r="B32" i="4"/>
  <c r="F32" i="4"/>
  <c r="C32" i="4"/>
  <c r="E31" i="4"/>
  <c r="C34" i="4"/>
  <c r="B30" i="4"/>
  <c r="F33" i="4"/>
  <c r="C33" i="4"/>
  <c r="D33" i="4"/>
  <c r="C31" i="4"/>
  <c r="D34" i="4"/>
  <c r="F34" i="4"/>
  <c r="D31" i="4"/>
  <c r="E34" i="4"/>
  <c r="E32" i="4"/>
  <c r="F31" i="4"/>
  <c r="D32" i="4"/>
  <c r="E33" i="4"/>
  <c r="B33" i="4"/>
  <c r="C26" i="1" l="1"/>
  <c r="B105" i="4"/>
  <c r="C13" i="7"/>
  <c r="B41" i="4"/>
  <c r="B29" i="1" l="1"/>
  <c r="C30" i="1"/>
  <c r="D5" i="6" l="1"/>
  <c r="D6" i="6" s="1"/>
  <c r="B4" i="8" s="1"/>
  <c r="C32" i="1"/>
  <c r="C34" i="1" s="1"/>
  <c r="D19" i="6" s="1"/>
  <c r="B30" i="1"/>
  <c r="C5" i="6"/>
  <c r="I5" i="6" l="1"/>
  <c r="C6" i="6"/>
  <c r="B53" i="1"/>
  <c r="B32" i="1"/>
  <c r="B34" i="1" s="1"/>
  <c r="C19" i="6" s="1"/>
  <c r="B36" i="1"/>
  <c r="I19" i="6"/>
  <c r="C21" i="6"/>
  <c r="I6" i="6" l="1"/>
  <c r="B3" i="8"/>
  <c r="B10" i="8" s="1"/>
  <c r="B55" i="1"/>
  <c r="E53" i="1"/>
  <c r="E55" i="1" s="1"/>
  <c r="F55" i="4" s="1"/>
  <c r="D53" i="1"/>
  <c r="D55" i="1" s="1"/>
  <c r="P5" i="18"/>
  <c r="E55" i="4"/>
  <c r="F75" i="4"/>
  <c r="E75" i="4"/>
  <c r="F135" i="4"/>
  <c r="I8" i="8" s="1"/>
  <c r="E135" i="4"/>
  <c r="I7" i="8" s="1"/>
  <c r="C23" i="6"/>
  <c r="B26" i="7"/>
  <c r="C25" i="7"/>
  <c r="P10" i="18"/>
  <c r="P12" i="18" s="1"/>
  <c r="B55" i="4"/>
  <c r="D55" i="4"/>
  <c r="B75" i="4"/>
  <c r="B135" i="4"/>
  <c r="I4" i="8" s="1"/>
  <c r="C75" i="4"/>
  <c r="C135" i="4"/>
  <c r="I5" i="8" s="1"/>
  <c r="C55" i="4"/>
  <c r="D135" i="4"/>
  <c r="I6" i="8" s="1"/>
  <c r="D75" i="4"/>
  <c r="C83" i="4" l="1"/>
  <c r="C84" i="4" s="1"/>
  <c r="B83" i="4"/>
  <c r="B84" i="4" s="1"/>
  <c r="B63" i="4"/>
  <c r="E83" i="4"/>
  <c r="E84" i="4" s="1"/>
  <c r="E63" i="4"/>
  <c r="F7" i="4"/>
  <c r="E7" i="4"/>
  <c r="P6" i="18"/>
  <c r="P21" i="18" s="1"/>
  <c r="D83" i="4"/>
  <c r="D84" i="4" s="1"/>
  <c r="C63" i="4"/>
  <c r="I10" i="8"/>
  <c r="D63" i="4"/>
  <c r="C7" i="4"/>
  <c r="D7" i="4"/>
  <c r="B7" i="4"/>
  <c r="P14" i="18"/>
  <c r="P20" i="18" s="1"/>
  <c r="P15" i="18"/>
  <c r="P19" i="18" s="1"/>
  <c r="B27" i="4" s="1"/>
  <c r="B27" i="7"/>
  <c r="D3" i="8"/>
  <c r="G3" i="8" s="1"/>
  <c r="C44" i="8" s="1"/>
  <c r="D44" i="8" s="1"/>
  <c r="E44" i="8" s="1"/>
  <c r="F44" i="8" s="1"/>
  <c r="G44" i="8" s="1"/>
  <c r="H44" i="8" s="1"/>
  <c r="I44" i="8" s="1"/>
  <c r="J44" i="8" s="1"/>
  <c r="F83" i="4"/>
  <c r="F84" i="4" s="1"/>
  <c r="F63" i="4"/>
  <c r="E64" i="4" l="1"/>
  <c r="E66" i="4" s="1"/>
  <c r="F64" i="4"/>
  <c r="F66" i="4" s="1"/>
  <c r="D64" i="4"/>
  <c r="D66" i="4" s="1"/>
  <c r="C64" i="4"/>
  <c r="C66" i="4" s="1"/>
  <c r="B64" i="4"/>
  <c r="K44" i="8"/>
  <c r="L44" i="8" s="1"/>
  <c r="M44" i="8"/>
  <c r="B30" i="7"/>
  <c r="B28" i="7"/>
  <c r="D27" i="4"/>
  <c r="C27" i="4"/>
  <c r="D15" i="4"/>
  <c r="D101" i="4" s="1"/>
  <c r="D103" i="4" s="1"/>
  <c r="D86" i="4"/>
  <c r="D88" i="4" s="1"/>
  <c r="D142" i="4" s="1"/>
  <c r="E15" i="4"/>
  <c r="E16" i="4" s="1"/>
  <c r="E40" i="4" s="1"/>
  <c r="F86" i="4"/>
  <c r="F88" i="4" s="1"/>
  <c r="C15" i="5"/>
  <c r="B36" i="4"/>
  <c r="B15" i="4"/>
  <c r="B101" i="4" s="1"/>
  <c r="B103" i="4" s="1"/>
  <c r="C15" i="4"/>
  <c r="C101" i="4" s="1"/>
  <c r="C103" i="4" s="1"/>
  <c r="E27" i="4"/>
  <c r="F27" i="4"/>
  <c r="F15" i="4"/>
  <c r="F16" i="4" s="1"/>
  <c r="F40" i="4" s="1"/>
  <c r="E86" i="4"/>
  <c r="E88" i="4" s="1"/>
  <c r="E142" i="4" s="1"/>
  <c r="B86" i="4"/>
  <c r="B88" i="4" s="1"/>
  <c r="B142" i="4" s="1"/>
  <c r="C86" i="4"/>
  <c r="C88" i="4" s="1"/>
  <c r="C142" i="4" s="1"/>
  <c r="C140" i="4" l="1"/>
  <c r="C69" i="4"/>
  <c r="C141" i="4" s="1"/>
  <c r="C119" i="4"/>
  <c r="F69" i="4"/>
  <c r="F141" i="4" s="1"/>
  <c r="F119" i="4"/>
  <c r="F140" i="4"/>
  <c r="D69" i="4"/>
  <c r="D141" i="4" s="1"/>
  <c r="D119" i="4"/>
  <c r="D140" i="4"/>
  <c r="E69" i="4"/>
  <c r="E141" i="4" s="1"/>
  <c r="E119" i="4"/>
  <c r="E140" i="4"/>
  <c r="B66" i="4"/>
  <c r="F101" i="4"/>
  <c r="F103" i="4" s="1"/>
  <c r="B16" i="4"/>
  <c r="B40" i="4" s="1"/>
  <c r="C16" i="4"/>
  <c r="C40" i="4" s="1"/>
  <c r="C120" i="4"/>
  <c r="C89" i="4"/>
  <c r="C143" i="4" s="1"/>
  <c r="B120" i="4"/>
  <c r="B89" i="4"/>
  <c r="B143" i="4" s="1"/>
  <c r="E120" i="4"/>
  <c r="E89" i="4"/>
  <c r="E143" i="4" s="1"/>
  <c r="F19" i="4"/>
  <c r="F139" i="4" s="1"/>
  <c r="G15" i="5"/>
  <c r="F36" i="4"/>
  <c r="F142" i="4"/>
  <c r="F120" i="4"/>
  <c r="E19" i="4"/>
  <c r="E139" i="4" s="1"/>
  <c r="E101" i="4"/>
  <c r="E103" i="4" s="1"/>
  <c r="E18" i="4"/>
  <c r="E138" i="4" s="1"/>
  <c r="D120" i="4"/>
  <c r="D89" i="4"/>
  <c r="D143" i="4" s="1"/>
  <c r="D15" i="5"/>
  <c r="C36" i="4"/>
  <c r="J3" i="8"/>
  <c r="K3" i="8" s="1"/>
  <c r="L3" i="8" s="1"/>
  <c r="M3" i="8" s="1"/>
  <c r="F18" i="4"/>
  <c r="F138" i="4" s="1"/>
  <c r="F15" i="5"/>
  <c r="E36" i="4"/>
  <c r="B42" i="4"/>
  <c r="B106" i="4"/>
  <c r="B109" i="4" s="1"/>
  <c r="C10" i="5"/>
  <c r="D16" i="4"/>
  <c r="D18" i="4" s="1"/>
  <c r="D138" i="4" s="1"/>
  <c r="E15" i="5"/>
  <c r="D36" i="4"/>
  <c r="F89" i="4"/>
  <c r="F143" i="4" s="1"/>
  <c r="B18" i="4" l="1"/>
  <c r="B138" i="4" s="1"/>
  <c r="B119" i="4"/>
  <c r="B140" i="4"/>
  <c r="B19" i="4"/>
  <c r="B139" i="4" s="1"/>
  <c r="B69" i="4"/>
  <c r="B141" i="4" s="1"/>
  <c r="C18" i="4"/>
  <c r="C138" i="4" s="1"/>
  <c r="C144" i="4" s="1"/>
  <c r="C19" i="4"/>
  <c r="C139" i="4" s="1"/>
  <c r="B111" i="4"/>
  <c r="B113" i="4" s="1"/>
  <c r="D144" i="4"/>
  <c r="D106" i="4"/>
  <c r="E10" i="5"/>
  <c r="D42" i="4"/>
  <c r="E106" i="4"/>
  <c r="E42" i="4"/>
  <c r="F10" i="5"/>
  <c r="F144" i="4"/>
  <c r="F145" i="4" s="1"/>
  <c r="B156" i="4"/>
  <c r="D40" i="4"/>
  <c r="D19" i="4"/>
  <c r="D139" i="4" s="1"/>
  <c r="C30" i="5"/>
  <c r="B49" i="4"/>
  <c r="B48" i="4"/>
  <c r="C43" i="4"/>
  <c r="C107" i="4"/>
  <c r="B44" i="4"/>
  <c r="D10" i="5"/>
  <c r="C106" i="4"/>
  <c r="C42" i="4"/>
  <c r="E144" i="4"/>
  <c r="E145" i="4" s="1"/>
  <c r="B45" i="4"/>
  <c r="B46" i="4" s="1"/>
  <c r="G10" i="5"/>
  <c r="F42" i="4"/>
  <c r="F106" i="4"/>
  <c r="B157" i="4"/>
  <c r="C157" i="4" s="1"/>
  <c r="D157" i="4" s="1"/>
  <c r="E157" i="4" s="1"/>
  <c r="F157" i="4" s="1"/>
  <c r="G157" i="4" s="1"/>
  <c r="H157" i="4" s="1"/>
  <c r="I157" i="4" s="1"/>
  <c r="J157" i="4" s="1"/>
  <c r="K157" i="4" s="1"/>
  <c r="L157" i="4" s="1"/>
  <c r="M157" i="4" s="1"/>
  <c r="B149" i="4" l="1"/>
  <c r="C149" i="4" s="1"/>
  <c r="B144" i="4"/>
  <c r="B145" i="4" s="1"/>
  <c r="C145" i="4"/>
  <c r="C109" i="4"/>
  <c r="C111" i="4" s="1"/>
  <c r="C113" i="4" s="1"/>
  <c r="B115" i="4"/>
  <c r="C11" i="5" s="1"/>
  <c r="C114" i="4"/>
  <c r="B117" i="4"/>
  <c r="B122" i="4" s="1"/>
  <c r="B150" i="4"/>
  <c r="C150" i="4" s="1"/>
  <c r="D150" i="4" s="1"/>
  <c r="E150" i="4" s="1"/>
  <c r="F150" i="4" s="1"/>
  <c r="G150" i="4" s="1"/>
  <c r="G30" i="5"/>
  <c r="G156" i="4"/>
  <c r="G158" i="4" s="1"/>
  <c r="M156" i="4"/>
  <c r="M158" i="4" s="1"/>
  <c r="E156" i="4"/>
  <c r="E158" i="4" s="1"/>
  <c r="D156" i="4"/>
  <c r="D158" i="4" s="1"/>
  <c r="I156" i="4"/>
  <c r="I158" i="4" s="1"/>
  <c r="K156" i="4"/>
  <c r="K158" i="4" s="1"/>
  <c r="L156" i="4"/>
  <c r="L158" i="4" s="1"/>
  <c r="H156" i="4"/>
  <c r="H158" i="4" s="1"/>
  <c r="F156" i="4"/>
  <c r="F158" i="4" s="1"/>
  <c r="C156" i="4"/>
  <c r="C158" i="4" s="1"/>
  <c r="J156" i="4"/>
  <c r="J158" i="4" s="1"/>
  <c r="B158" i="4"/>
  <c r="F43" i="4"/>
  <c r="F45" i="4" s="1"/>
  <c r="F46" i="4" s="1"/>
  <c r="F107" i="4"/>
  <c r="F109" i="4" s="1"/>
  <c r="E30" i="5"/>
  <c r="D145" i="4"/>
  <c r="F48" i="4"/>
  <c r="D107" i="4"/>
  <c r="D109" i="4" s="1"/>
  <c r="D43" i="4"/>
  <c r="D45" i="4" s="1"/>
  <c r="D46" i="4" s="1"/>
  <c r="C49" i="4"/>
  <c r="C44" i="4"/>
  <c r="C48" i="4"/>
  <c r="C45" i="4"/>
  <c r="C46" i="4" s="1"/>
  <c r="D30" i="5"/>
  <c r="C14" i="7"/>
  <c r="F30" i="5"/>
  <c r="E43" i="4"/>
  <c r="E49" i="4" s="1"/>
  <c r="E107" i="4"/>
  <c r="E109" i="4" s="1"/>
  <c r="C151" i="4" l="1"/>
  <c r="J149" i="4"/>
  <c r="I149" i="4"/>
  <c r="G149" i="4"/>
  <c r="G151" i="4" s="1"/>
  <c r="K149" i="4"/>
  <c r="F149" i="4"/>
  <c r="F151" i="4" s="1"/>
  <c r="E149" i="4"/>
  <c r="E151" i="4" s="1"/>
  <c r="H149" i="4"/>
  <c r="D149" i="4"/>
  <c r="D151" i="4" s="1"/>
  <c r="M149" i="4"/>
  <c r="L149" i="4"/>
  <c r="C16" i="5"/>
  <c r="C18" i="5" s="1"/>
  <c r="D48" i="4"/>
  <c r="D44" i="4"/>
  <c r="D49" i="4"/>
  <c r="B151" i="4"/>
  <c r="C117" i="4"/>
  <c r="C122" i="4" s="1"/>
  <c r="F44" i="4"/>
  <c r="F49" i="4"/>
  <c r="C115" i="4"/>
  <c r="D11" i="5" s="1"/>
  <c r="C13" i="5"/>
  <c r="C22" i="5" s="1"/>
  <c r="E111" i="4"/>
  <c r="E113" i="4" s="1"/>
  <c r="E114" i="4" s="1"/>
  <c r="E115" i="4" s="1"/>
  <c r="F14" i="7"/>
  <c r="E14" i="7"/>
  <c r="E45" i="4"/>
  <c r="E46" i="4" s="1"/>
  <c r="E48" i="4"/>
  <c r="H150" i="4"/>
  <c r="G14" i="7"/>
  <c r="B126" i="4"/>
  <c r="B124" i="4"/>
  <c r="D14" i="7"/>
  <c r="D111" i="4"/>
  <c r="D113" i="4" s="1"/>
  <c r="D114" i="4" s="1"/>
  <c r="D115" i="4" s="1"/>
  <c r="E44" i="4"/>
  <c r="F111" i="4"/>
  <c r="F113" i="4" s="1"/>
  <c r="F114" i="4" s="1"/>
  <c r="F115" i="4" s="1"/>
  <c r="H193" i="4"/>
  <c r="H194" i="4"/>
  <c r="C31" i="5" l="1"/>
  <c r="C32" i="5" s="1"/>
  <c r="D16" i="5"/>
  <c r="D18" i="5" s="1"/>
  <c r="H197" i="4"/>
  <c r="H198" i="4" s="1"/>
  <c r="F117" i="4"/>
  <c r="F122" i="4" s="1"/>
  <c r="D117" i="4"/>
  <c r="E117" i="4"/>
  <c r="E122" i="4" s="1"/>
  <c r="E11" i="5"/>
  <c r="D13" i="5"/>
  <c r="D22" i="5" s="1"/>
  <c r="C124" i="4"/>
  <c r="C126" i="4"/>
  <c r="H151" i="4"/>
  <c r="I150" i="4"/>
  <c r="H4" i="8"/>
  <c r="B128" i="4"/>
  <c r="F4" i="8" s="1"/>
  <c r="B127" i="4"/>
  <c r="C15" i="7" l="1"/>
  <c r="C19" i="7" s="1"/>
  <c r="C21" i="7" s="1"/>
  <c r="C23" i="7" s="1"/>
  <c r="E16" i="5"/>
  <c r="E18" i="5" s="1"/>
  <c r="D31" i="5"/>
  <c r="D32" i="5" s="1"/>
  <c r="E20" i="6" s="1"/>
  <c r="E21" i="6" s="1"/>
  <c r="B130" i="4"/>
  <c r="B131" i="4" s="1"/>
  <c r="C17" i="5" s="1"/>
  <c r="D122" i="4"/>
  <c r="E31" i="5" s="1"/>
  <c r="E13" i="5"/>
  <c r="E22" i="5" s="1"/>
  <c r="F11" i="5"/>
  <c r="E5" i="8"/>
  <c r="E4" i="8"/>
  <c r="E7" i="8"/>
  <c r="E6" i="8"/>
  <c r="E8" i="8"/>
  <c r="F126" i="4"/>
  <c r="F124" i="4"/>
  <c r="E124" i="4"/>
  <c r="E126" i="4"/>
  <c r="D20" i="6"/>
  <c r="I151" i="4"/>
  <c r="J150" i="4"/>
  <c r="C127" i="4"/>
  <c r="H5" i="8"/>
  <c r="C128" i="4"/>
  <c r="F5" i="8" s="1"/>
  <c r="B134" i="4" l="1"/>
  <c r="B136" i="4" s="1"/>
  <c r="D15" i="7"/>
  <c r="D19" i="7" s="1"/>
  <c r="D21" i="7" s="1"/>
  <c r="D23" i="7" s="1"/>
  <c r="D124" i="4"/>
  <c r="D126" i="4"/>
  <c r="D127" i="4" s="1"/>
  <c r="F13" i="5"/>
  <c r="F22" i="5" s="1"/>
  <c r="G11" i="5"/>
  <c r="F16" i="5"/>
  <c r="J151" i="4"/>
  <c r="K150" i="4"/>
  <c r="E15" i="7"/>
  <c r="E19" i="7" s="1"/>
  <c r="E32" i="5"/>
  <c r="F20" i="6" s="1"/>
  <c r="F21" i="6" s="1"/>
  <c r="H8" i="8"/>
  <c r="F128" i="4"/>
  <c r="F8" i="8" s="1"/>
  <c r="F127" i="4"/>
  <c r="E10" i="8"/>
  <c r="C130" i="4"/>
  <c r="D10" i="6"/>
  <c r="C20" i="5"/>
  <c r="C23" i="5" s="1"/>
  <c r="D21" i="6"/>
  <c r="D26" i="7"/>
  <c r="D5" i="8" s="1"/>
  <c r="H7" i="8"/>
  <c r="E128" i="4"/>
  <c r="F7" i="8" s="1"/>
  <c r="E127" i="4"/>
  <c r="D128" i="4" l="1"/>
  <c r="F6" i="8" s="1"/>
  <c r="F10" i="8" s="1"/>
  <c r="H6" i="8"/>
  <c r="H10" i="8" s="1"/>
  <c r="F18" i="5"/>
  <c r="F31" i="5"/>
  <c r="G13" i="5"/>
  <c r="G22" i="5" s="1"/>
  <c r="G16" i="5"/>
  <c r="G18" i="5" s="1"/>
  <c r="E130" i="4"/>
  <c r="E134" i="4" s="1"/>
  <c r="E136" i="4" s="1"/>
  <c r="F130" i="4"/>
  <c r="F131" i="4" s="1"/>
  <c r="G17" i="5" s="1"/>
  <c r="C34" i="5"/>
  <c r="C4" i="8"/>
  <c r="C131" i="4"/>
  <c r="D17" i="5" s="1"/>
  <c r="C134" i="4"/>
  <c r="C136" i="4" s="1"/>
  <c r="E26" i="7"/>
  <c r="D6" i="8" s="1"/>
  <c r="C26" i="7"/>
  <c r="D16" i="6"/>
  <c r="E21" i="7"/>
  <c r="E23" i="7" s="1"/>
  <c r="K151" i="4"/>
  <c r="L150" i="4"/>
  <c r="E131" i="4" l="1"/>
  <c r="F17" i="5" s="1"/>
  <c r="F20" i="5" s="1"/>
  <c r="D12" i="8"/>
  <c r="F134" i="4"/>
  <c r="F136" i="4" s="1"/>
  <c r="D130" i="4"/>
  <c r="D134" i="4" s="1"/>
  <c r="D136" i="4" s="1"/>
  <c r="G31" i="5"/>
  <c r="G32" i="5" s="1"/>
  <c r="H20" i="6" s="1"/>
  <c r="H21" i="6" s="1"/>
  <c r="F15" i="7"/>
  <c r="F19" i="7" s="1"/>
  <c r="F32" i="5"/>
  <c r="G20" i="6" s="1"/>
  <c r="E10" i="6"/>
  <c r="D20" i="5"/>
  <c r="D23" i="5" s="1"/>
  <c r="L151" i="4"/>
  <c r="M150" i="4"/>
  <c r="M151" i="4" s="1"/>
  <c r="D23" i="6"/>
  <c r="D4" i="8"/>
  <c r="C27" i="7"/>
  <c r="G20" i="5"/>
  <c r="D131" i="4" l="1"/>
  <c r="E17" i="5" s="1"/>
  <c r="E20" i="5" s="1"/>
  <c r="E23" i="5" s="1"/>
  <c r="C6" i="8" s="1"/>
  <c r="G6" i="8" s="1"/>
  <c r="H167" i="4"/>
  <c r="G15" i="7"/>
  <c r="G19" i="7" s="1"/>
  <c r="G21" i="7" s="1"/>
  <c r="G23" i="7" s="1"/>
  <c r="G21" i="6"/>
  <c r="I20" i="6"/>
  <c r="G26" i="7"/>
  <c r="D8" i="8" s="1"/>
  <c r="F21" i="7"/>
  <c r="F23" i="7" s="1"/>
  <c r="G4" i="8"/>
  <c r="E16" i="6"/>
  <c r="H168" i="4"/>
  <c r="G23" i="5"/>
  <c r="G34" i="5" s="1"/>
  <c r="C28" i="7"/>
  <c r="J4" i="8" s="1"/>
  <c r="D25" i="7"/>
  <c r="D27" i="7" s="1"/>
  <c r="C30" i="7"/>
  <c r="D34" i="5"/>
  <c r="C5" i="8"/>
  <c r="H171" i="4" l="1"/>
  <c r="H172" i="4" s="1"/>
  <c r="E34" i="5"/>
  <c r="F23" i="5"/>
  <c r="F34" i="5" s="1"/>
  <c r="F10" i="6"/>
  <c r="I21" i="6"/>
  <c r="F26" i="7"/>
  <c r="D7" i="8" s="1"/>
  <c r="D10" i="8" s="1"/>
  <c r="G5" i="8"/>
  <c r="K4" i="8"/>
  <c r="D30" i="7"/>
  <c r="D28" i="7"/>
  <c r="J5" i="8" s="1"/>
  <c r="K5" i="8" s="1"/>
  <c r="E25" i="7"/>
  <c r="E27" i="7" s="1"/>
  <c r="E23" i="6"/>
  <c r="C7" i="8" l="1"/>
  <c r="C8" i="8" s="1"/>
  <c r="G8" i="8" s="1"/>
  <c r="F16" i="6"/>
  <c r="F23" i="6" s="1"/>
  <c r="G10" i="6"/>
  <c r="L5" i="8"/>
  <c r="G7" i="8"/>
  <c r="E28" i="7"/>
  <c r="J6" i="8" s="1"/>
  <c r="K6" i="8" s="1"/>
  <c r="L6" i="8" s="1"/>
  <c r="F25" i="7"/>
  <c r="F27" i="7" s="1"/>
  <c r="E30" i="7"/>
  <c r="L4" i="8"/>
  <c r="G10" i="8" l="1"/>
  <c r="C10" i="8"/>
  <c r="G16" i="6"/>
  <c r="G23" i="6" s="1"/>
  <c r="H10" i="6"/>
  <c r="H16" i="6" s="1"/>
  <c r="H23" i="6" s="1"/>
  <c r="G25" i="7"/>
  <c r="G27" i="7" s="1"/>
  <c r="F28" i="7"/>
  <c r="J7" i="8" s="1"/>
  <c r="F30" i="7"/>
  <c r="M4" i="8"/>
  <c r="I23" i="6" l="1"/>
  <c r="I10" i="6"/>
  <c r="I16" i="6"/>
  <c r="M5" i="8"/>
  <c r="D13" i="8"/>
  <c r="G28" i="7"/>
  <c r="J8" i="8" s="1"/>
  <c r="K8" i="8" s="1"/>
  <c r="L8" i="8" s="1"/>
  <c r="G30" i="7"/>
  <c r="M6" i="8"/>
  <c r="K7" i="8"/>
  <c r="J10" i="8" l="1"/>
  <c r="L7" i="8"/>
  <c r="M7" i="8" s="1"/>
  <c r="M8" i="8" s="1"/>
  <c r="K10" i="8"/>
  <c r="J43" i="8" l="1"/>
  <c r="J45" i="8" s="1"/>
  <c r="H43" i="8"/>
  <c r="H45" i="8" s="1"/>
  <c r="I43" i="8"/>
  <c r="I45" i="8" s="1"/>
  <c r="L10" i="8"/>
  <c r="C43" i="8"/>
  <c r="C45" i="8" s="1"/>
  <c r="D43" i="8"/>
  <c r="D45" i="8" s="1"/>
  <c r="D14" i="8"/>
  <c r="D15" i="8"/>
  <c r="K43" i="8"/>
  <c r="K45" i="8" s="1"/>
  <c r="L43" i="8"/>
  <c r="L45" i="8" s="1"/>
  <c r="F43" i="8"/>
  <c r="F45" i="8" s="1"/>
  <c r="M43" i="8"/>
  <c r="M45" i="8" s="1"/>
  <c r="G43" i="8"/>
  <c r="G45" i="8" s="1"/>
  <c r="E43" i="8"/>
  <c r="E45" i="8" s="1"/>
  <c r="E46" i="8" l="1"/>
  <c r="H46" i="8"/>
  <c r="D46" i="8"/>
  <c r="J46" i="8"/>
  <c r="C46" i="8"/>
  <c r="I46" i="8"/>
  <c r="F46" i="8"/>
  <c r="M46" i="8"/>
  <c r="K46" i="8"/>
  <c r="L46" i="8"/>
  <c r="G46" i="8"/>
</calcChain>
</file>

<file path=xl/comments1.xml><?xml version="1.0" encoding="utf-8"?>
<comments xmlns="http://schemas.openxmlformats.org/spreadsheetml/2006/main">
  <authors>
    <author>Norberto Yacovone</author>
  </authors>
  <commentList>
    <comment ref="E22" authorId="0">
      <text>
        <r>
          <rPr>
            <b/>
            <sz val="9"/>
            <color indexed="81"/>
            <rFont val="Tahoma"/>
            <family val="2"/>
          </rPr>
          <t>Norberto Yacovone:</t>
        </r>
        <r>
          <rPr>
            <sz val="9"/>
            <color indexed="81"/>
            <rFont val="Tahoma"/>
            <family val="2"/>
          </rPr>
          <t xml:space="preserve">
El semi elaborado que se compra por unidad no tiene consumo excesivo de puesta en marcha.</t>
        </r>
      </text>
    </comment>
  </commentList>
</comments>
</file>

<file path=xl/comments2.xml><?xml version="1.0" encoding="utf-8"?>
<comments xmlns="http://schemas.openxmlformats.org/spreadsheetml/2006/main">
  <authors>
    <author>fer</author>
  </authors>
  <commentList>
    <comment ref="I15" authorId="0">
      <text>
        <r>
          <rPr>
            <b/>
            <sz val="9"/>
            <color indexed="81"/>
            <rFont val="Tahoma"/>
            <family val="2"/>
          </rPr>
          <t>fer:</t>
        </r>
        <r>
          <rPr>
            <sz val="9"/>
            <color indexed="81"/>
            <rFont val="Tahoma"/>
            <family val="2"/>
          </rPr>
          <t xml:space="preserve">
Con colocacion</t>
        </r>
      </text>
    </comment>
    <comment ref="I19" authorId="0">
      <text>
        <r>
          <rPr>
            <b/>
            <sz val="9"/>
            <color indexed="81"/>
            <rFont val="Tahoma"/>
            <family val="2"/>
          </rPr>
          <t>fer:</t>
        </r>
        <r>
          <rPr>
            <sz val="9"/>
            <color indexed="81"/>
            <rFont val="Tahoma"/>
            <family val="2"/>
          </rPr>
          <t xml:space="preserve">
Con colocacion
</t>
        </r>
      </text>
    </comment>
  </commentList>
</comments>
</file>

<file path=xl/comments3.xml><?xml version="1.0" encoding="utf-8"?>
<comments xmlns="http://schemas.openxmlformats.org/spreadsheetml/2006/main">
  <authors>
    <author>PPM</author>
  </authors>
  <commentList>
    <comment ref="B10" authorId="0">
      <text>
        <r>
          <rPr>
            <sz val="9"/>
            <color indexed="81"/>
            <rFont val="Tahoma"/>
            <family val="2"/>
          </rPr>
          <t xml:space="preserve">
3/5 Variable
2/5 Fijo</t>
        </r>
      </text>
    </comment>
    <comment ref="B61" authorId="0">
      <text>
        <r>
          <rPr>
            <sz val="9"/>
            <color indexed="81"/>
            <rFont val="Tahoma"/>
            <family val="2"/>
          </rPr>
          <t>Patente+ARBA+Sellos+SIRCREB</t>
        </r>
      </text>
    </comment>
    <comment ref="C61" authorId="0">
      <text>
        <r>
          <rPr>
            <sz val="9"/>
            <color indexed="81"/>
            <rFont val="Tahoma"/>
            <family val="2"/>
          </rPr>
          <t>Patente+ARBA+Sellos+SIRCREB</t>
        </r>
      </text>
    </comment>
    <comment ref="D61" authorId="0">
      <text>
        <r>
          <rPr>
            <sz val="9"/>
            <color indexed="81"/>
            <rFont val="Tahoma"/>
            <family val="2"/>
          </rPr>
          <t>Patente+ARBA+Sellos+SIRCREB</t>
        </r>
      </text>
    </comment>
    <comment ref="E61" authorId="0">
      <text>
        <r>
          <rPr>
            <sz val="9"/>
            <color indexed="81"/>
            <rFont val="Tahoma"/>
            <family val="2"/>
          </rPr>
          <t>Patente+ARBA+Sellos+SIRCREB</t>
        </r>
      </text>
    </comment>
    <comment ref="F61" authorId="0">
      <text>
        <r>
          <rPr>
            <sz val="9"/>
            <color indexed="81"/>
            <rFont val="Tahoma"/>
            <family val="2"/>
          </rPr>
          <t>Patente+ARBA+Sellos+SIRCREB</t>
        </r>
      </text>
    </comment>
    <comment ref="B76" authorId="0">
      <text>
        <r>
          <rPr>
            <sz val="9"/>
            <color indexed="81"/>
            <rFont val="Tahoma"/>
            <family val="2"/>
          </rPr>
          <t xml:space="preserve">
Fijos: 0,4
Variables: 0,6</t>
        </r>
      </text>
    </comment>
    <comment ref="B80" authorId="0">
      <text>
        <r>
          <rPr>
            <sz val="9"/>
            <color indexed="81"/>
            <rFont val="Tahoma"/>
            <family val="2"/>
          </rPr>
          <t xml:space="preserve">
Fijos: 0,4
Variables: 0,6</t>
        </r>
      </text>
    </comment>
    <comment ref="B81" authorId="0">
      <text>
        <r>
          <rPr>
            <sz val="9"/>
            <color indexed="81"/>
            <rFont val="Tahoma"/>
            <family val="2"/>
          </rPr>
          <t xml:space="preserve">
Fijo: 0,4
Variable: 0,6</t>
        </r>
      </text>
    </comment>
    <comment ref="C81" authorId="0">
      <text>
        <r>
          <rPr>
            <sz val="9"/>
            <color indexed="81"/>
            <rFont val="Tahoma"/>
            <family val="2"/>
          </rPr>
          <t xml:space="preserve">
Fijo: 0,4
Variable: 0,6</t>
        </r>
      </text>
    </comment>
    <comment ref="D81" authorId="0">
      <text>
        <r>
          <rPr>
            <sz val="9"/>
            <color indexed="81"/>
            <rFont val="Tahoma"/>
            <family val="2"/>
          </rPr>
          <t xml:space="preserve">
Fijo: 0,4
Variable: 0,6</t>
        </r>
      </text>
    </comment>
    <comment ref="E81" authorId="0">
      <text>
        <r>
          <rPr>
            <sz val="9"/>
            <color indexed="81"/>
            <rFont val="Tahoma"/>
            <family val="2"/>
          </rPr>
          <t xml:space="preserve">
Fijo: 0,4
Variable: 0,6</t>
        </r>
      </text>
    </comment>
    <comment ref="F81" authorId="0">
      <text>
        <r>
          <rPr>
            <sz val="9"/>
            <color indexed="81"/>
            <rFont val="Tahoma"/>
            <family val="2"/>
          </rPr>
          <t xml:space="preserve">
Fijo: 0,4
Variable: 0,6</t>
        </r>
      </text>
    </comment>
    <comment ref="B84" authorId="0">
      <text>
        <r>
          <rPr>
            <sz val="9"/>
            <color indexed="81"/>
            <rFont val="Tahoma"/>
            <family val="2"/>
          </rPr>
          <t xml:space="preserve">
50% Fijos
50% Variables</t>
        </r>
      </text>
    </comment>
    <comment ref="C84" authorId="0">
      <text>
        <r>
          <rPr>
            <sz val="9"/>
            <color indexed="81"/>
            <rFont val="Tahoma"/>
            <family val="2"/>
          </rPr>
          <t xml:space="preserve">
50% Fijos
50% Variables</t>
        </r>
      </text>
    </comment>
    <comment ref="D84" authorId="0">
      <text>
        <r>
          <rPr>
            <sz val="9"/>
            <color indexed="81"/>
            <rFont val="Tahoma"/>
            <family val="2"/>
          </rPr>
          <t xml:space="preserve">
50% Fijos
50% Variables</t>
        </r>
      </text>
    </comment>
    <comment ref="E84" authorId="0">
      <text>
        <r>
          <rPr>
            <sz val="9"/>
            <color indexed="81"/>
            <rFont val="Tahoma"/>
            <family val="2"/>
          </rPr>
          <t xml:space="preserve">
50% Fijos
50% Variables</t>
        </r>
      </text>
    </comment>
    <comment ref="F84" authorId="0">
      <text>
        <r>
          <rPr>
            <sz val="9"/>
            <color indexed="81"/>
            <rFont val="Tahoma"/>
            <family val="2"/>
          </rPr>
          <t xml:space="preserve">
50% Fijos
50% Variables</t>
        </r>
      </text>
    </comment>
  </commentList>
</comments>
</file>

<file path=xl/sharedStrings.xml><?xml version="1.0" encoding="utf-8"?>
<sst xmlns="http://schemas.openxmlformats.org/spreadsheetml/2006/main" count="641" uniqueCount="454">
  <si>
    <t>Inversión en Activo Fijo</t>
  </si>
  <si>
    <t>Bienes de Uso</t>
  </si>
  <si>
    <t>Terreno y sus mejoras:</t>
  </si>
  <si>
    <t>Edificio y obras complementarias:</t>
  </si>
  <si>
    <t>Instalaciones industriales:</t>
  </si>
  <si>
    <t>Máquinas operativas:</t>
  </si>
  <si>
    <t xml:space="preserve">    importadas, valor FOB, con repuestos:</t>
  </si>
  <si>
    <t xml:space="preserve">    nacionales, precio en fábrica del proveedor:</t>
  </si>
  <si>
    <t>Gastos conexos a la importación de maquinaria:</t>
  </si>
  <si>
    <t>Transporte y montaje de la maquinaria:</t>
  </si>
  <si>
    <t>Muebles y útiles:</t>
  </si>
  <si>
    <t>Infraestructura en predio propio:</t>
  </si>
  <si>
    <t xml:space="preserve">Imprevistos: </t>
  </si>
  <si>
    <t>Total Bienes de uso:</t>
  </si>
  <si>
    <t>b) Gastos asimilables o cargos diferidos:</t>
  </si>
  <si>
    <t>Investigaciones y estudios:</t>
  </si>
  <si>
    <t>Constitución y organización de la empresa:</t>
  </si>
  <si>
    <t>Gastos de Administración e Ingeniería</t>
  </si>
  <si>
    <t>Total gastos asimilables o cargos diferidos:</t>
  </si>
  <si>
    <t>c) Total Inversiones iniciales Activo Fijo, sin IVA</t>
  </si>
  <si>
    <t>e) TOTAL INVERSIONES INICIALES ACTIVO FIJO</t>
  </si>
  <si>
    <t>Rodados y equipos auxiliares:</t>
  </si>
  <si>
    <t>a) Bienes de Uso</t>
  </si>
  <si>
    <t>Año 0</t>
  </si>
  <si>
    <t>Año 1</t>
  </si>
  <si>
    <t>Año 2</t>
  </si>
  <si>
    <t>Año 3</t>
  </si>
  <si>
    <t>Año 4</t>
  </si>
  <si>
    <t>Año 5</t>
  </si>
  <si>
    <t>Inversión Inicial en Activo Fijo</t>
  </si>
  <si>
    <t>Gasto interno (en $)</t>
  </si>
  <si>
    <t>Gasto Externo (en U$S)</t>
  </si>
  <si>
    <t>Tasa de Cambio</t>
  </si>
  <si>
    <t>$ por cada</t>
  </si>
  <si>
    <t>U$S</t>
  </si>
  <si>
    <t>Tasa porcentual de IVA</t>
  </si>
  <si>
    <t>Tasa porcentual de Impuesto a las Ganancias</t>
  </si>
  <si>
    <t xml:space="preserve">    edificios y obras complementarias</t>
  </si>
  <si>
    <t>años</t>
  </si>
  <si>
    <t xml:space="preserve">    instalaciones industriales</t>
  </si>
  <si>
    <t xml:space="preserve">    máquinas, equipos y accesorios</t>
  </si>
  <si>
    <t xml:space="preserve">    rodados y equipos auxiliares</t>
  </si>
  <si>
    <t xml:space="preserve">    muebles y útiles</t>
  </si>
  <si>
    <t xml:space="preserve">    repuestos iniciales</t>
  </si>
  <si>
    <t>Se considera una depreciación lineal y un valor residual nulo</t>
  </si>
  <si>
    <t>Tiempo de Amortización Activos Fijos:</t>
  </si>
  <si>
    <t>Otros Activos y Cargos Diferidos</t>
  </si>
  <si>
    <t>Rubro</t>
  </si>
  <si>
    <t>Inversión</t>
  </si>
  <si>
    <t>Coeficiente</t>
  </si>
  <si>
    <t>Alícuotas de amortización</t>
  </si>
  <si>
    <t>Valor residual</t>
  </si>
  <si>
    <t>original</t>
  </si>
  <si>
    <t>Años 1/3</t>
  </si>
  <si>
    <t>Años 4/5</t>
  </si>
  <si>
    <t>Máquinas operativas: (*)</t>
  </si>
  <si>
    <t>Rodados y equipos auxiliares: (**)</t>
  </si>
  <si>
    <t>Muebles y útiles: (***)</t>
  </si>
  <si>
    <t>Imprevistos</t>
  </si>
  <si>
    <t>Repuestos (****)</t>
  </si>
  <si>
    <t>Subtotal</t>
  </si>
  <si>
    <t xml:space="preserve">Cargos Diferidos </t>
  </si>
  <si>
    <t>Totales, s/IVA</t>
  </si>
  <si>
    <t>Ventas Anuales Promedio</t>
  </si>
  <si>
    <t>Precio Promedio</t>
  </si>
  <si>
    <t>en Unidades</t>
  </si>
  <si>
    <t>en $</t>
  </si>
  <si>
    <t xml:space="preserve">Cantidad de personal total </t>
  </si>
  <si>
    <t>en Producción</t>
  </si>
  <si>
    <t>en Comercialización</t>
  </si>
  <si>
    <t>en Administración</t>
  </si>
  <si>
    <t>personas</t>
  </si>
  <si>
    <t>Nombre del Producto</t>
  </si>
  <si>
    <t>Tamaño de la planta en metros cuadrados</t>
  </si>
  <si>
    <t>m2</t>
  </si>
  <si>
    <t>Periodo de Instalación</t>
  </si>
  <si>
    <t>Período de Puesta en Marcha</t>
  </si>
  <si>
    <t>en meses</t>
  </si>
  <si>
    <t>Honorarios al Directorio</t>
  </si>
  <si>
    <t>Variable sobre Utilidad economica antes de HD e IG</t>
  </si>
  <si>
    <t>Rubros</t>
  </si>
  <si>
    <t>Gastos en el Area de Producción</t>
  </si>
  <si>
    <t>Gastos de fabricación:</t>
  </si>
  <si>
    <t>Gastos Total de Producción</t>
  </si>
  <si>
    <t>Gastos a activar</t>
  </si>
  <si>
    <t>Mercadería en Curso y Semielaborada</t>
  </si>
  <si>
    <t>Total gastos a activar</t>
  </si>
  <si>
    <t>Costo en el Area de Producción</t>
  </si>
  <si>
    <t>Costo de producción anual</t>
  </si>
  <si>
    <t>Materia prima</t>
  </si>
  <si>
    <t>Mano de obra directa</t>
  </si>
  <si>
    <t xml:space="preserve">  Amortizaciones</t>
  </si>
  <si>
    <t xml:space="preserve">  Personal indirecto</t>
  </si>
  <si>
    <t xml:space="preserve">  Materiales</t>
  </si>
  <si>
    <t xml:space="preserve">  Energía eléctrica</t>
  </si>
  <si>
    <t xml:space="preserve">  Combustibles</t>
  </si>
  <si>
    <t xml:space="preserve">  Tasas e impuestos</t>
  </si>
  <si>
    <t xml:space="preserve">  Seguros</t>
  </si>
  <si>
    <t xml:space="preserve">  Imprevistos</t>
  </si>
  <si>
    <t>COSTO TOTAL DE PRODUCCION</t>
  </si>
  <si>
    <t>Puesta en marcha</t>
  </si>
  <si>
    <t>Total acumulado:</t>
  </si>
  <si>
    <t>Personal</t>
  </si>
  <si>
    <t>Amortizaciones de A. Fijo</t>
  </si>
  <si>
    <t>Materiales</t>
  </si>
  <si>
    <t>Electricidad</t>
  </si>
  <si>
    <t>Combustible</t>
  </si>
  <si>
    <t>Varios</t>
  </si>
  <si>
    <t>Tasas e impuestos</t>
  </si>
  <si>
    <t>Seguros</t>
  </si>
  <si>
    <t>Costo total de Admistración</t>
  </si>
  <si>
    <t>Gastos en el Area de Administración</t>
  </si>
  <si>
    <t>Gastos en el Area de Comercialización</t>
  </si>
  <si>
    <t>Costo total de Comercialización</t>
  </si>
  <si>
    <t>Energía Eléctrica</t>
  </si>
  <si>
    <t>% Costo Variable</t>
  </si>
  <si>
    <t>% Costo Constante</t>
  </si>
  <si>
    <t>% Gasto Variable</t>
  </si>
  <si>
    <t>% Gasto Constante</t>
  </si>
  <si>
    <t>VENTAS ANUALES</t>
  </si>
  <si>
    <t>COSTO DE PRODUCCION DE LO VENDIDO</t>
  </si>
  <si>
    <t>UTILIDAD ECONOMICA (a/H. D. e Impuesto)</t>
  </si>
  <si>
    <t xml:space="preserve">Impuesto a la ganancia </t>
  </si>
  <si>
    <t>UTILIDAD ECONOMICA (d/H.D. e Impuesto)</t>
  </si>
  <si>
    <t>% sobre VENTAS</t>
  </si>
  <si>
    <t>Utilidad Económica (d/H.D. e Impuesto)</t>
  </si>
  <si>
    <t>Amortización anual</t>
  </si>
  <si>
    <t>Total</t>
  </si>
  <si>
    <t>COSTO TOTAL Y RESULTADO A NIVEL ECONOMICO</t>
  </si>
  <si>
    <t xml:space="preserve">Consumo de materia prima </t>
  </si>
  <si>
    <t>Gastos de fabricación</t>
  </si>
  <si>
    <t>Gastos de Producción</t>
  </si>
  <si>
    <t>Variación Mercadería en proceso</t>
  </si>
  <si>
    <t>GASTO DE ADMINISTRACION</t>
  </si>
  <si>
    <t xml:space="preserve">GASTO DE COMERCIALIZACION </t>
  </si>
  <si>
    <t>COSTO ANUAL DE LO VENDIDO</t>
  </si>
  <si>
    <t>FONDOS AUTOGENERADOS</t>
  </si>
  <si>
    <t>COSTO DE PRODUCCION ANUAL</t>
  </si>
  <si>
    <t>Producción anual en Unidades</t>
  </si>
  <si>
    <t>Costo de producción unitario Promedio</t>
  </si>
  <si>
    <t>Costo de prod. Unitario Promedio</t>
  </si>
  <si>
    <t>Costo total unitario promedio</t>
  </si>
  <si>
    <t>Costo Variable Sector de Producción</t>
  </si>
  <si>
    <t>Costo Constante Sector de Producción</t>
  </si>
  <si>
    <t>PUNTO DE EQUILIBRIO</t>
  </si>
  <si>
    <t>Costo Variable Sector de Administración</t>
  </si>
  <si>
    <t>Costo Constante Sector de Administración</t>
  </si>
  <si>
    <t>Costo Variable Sector de Comercialización</t>
  </si>
  <si>
    <t>Costo Constante Sector de Comercialización</t>
  </si>
  <si>
    <t>UTILIDAD MARGINAL</t>
  </si>
  <si>
    <r>
      <t xml:space="preserve">1. Activo de Trabajo: </t>
    </r>
    <r>
      <rPr>
        <sz val="10"/>
        <rFont val="Arial"/>
        <family val="2"/>
      </rPr>
      <t>(valor contable)</t>
    </r>
  </si>
  <si>
    <t xml:space="preserve">   a) Disponibilidad Mínima en Caja y Bancos:</t>
  </si>
  <si>
    <t xml:space="preserve">   c) Bienes de cambio:</t>
  </si>
  <si>
    <t xml:space="preserve">    Stock de materias prima:</t>
  </si>
  <si>
    <t xml:space="preserve">   Stock de materiales:</t>
  </si>
  <si>
    <t xml:space="preserve">   d) Total Activo de Trabajo, sin IVA:</t>
  </si>
  <si>
    <t>2. Menos:</t>
  </si>
  <si>
    <t xml:space="preserve">    Bienes de cambio:</t>
  </si>
  <si>
    <t xml:space="preserve">   Mercadería en curso y semielaborada</t>
  </si>
  <si>
    <t xml:space="preserve">   Stock de elaborados</t>
  </si>
  <si>
    <t xml:space="preserve">    Amortizaciones en Mercadería en proceso</t>
  </si>
  <si>
    <t xml:space="preserve">    Amortizaciones en Stock de elaborado</t>
  </si>
  <si>
    <t xml:space="preserve">    Utilidades en Crédito por ventas</t>
  </si>
  <si>
    <t xml:space="preserve">    Amortizaciones en Crédito por ventas</t>
  </si>
  <si>
    <t>3. Inversiones en Activo de Trabajo, sin IVA</t>
  </si>
  <si>
    <t>4. Incrementos de Activo de Trabajo</t>
  </si>
  <si>
    <t xml:space="preserve">    Incrementos de Inversión en Activo de Trabajo</t>
  </si>
  <si>
    <t>5. Incrementos IVA sobre Inversiones</t>
  </si>
  <si>
    <t xml:space="preserve">    Crédito por Ventas                             </t>
  </si>
  <si>
    <t xml:space="preserve">               Stock de materia prima</t>
  </si>
  <si>
    <t xml:space="preserve">               Stock de materiales</t>
  </si>
  <si>
    <t xml:space="preserve">               Mercadería en proceso</t>
  </si>
  <si>
    <t xml:space="preserve">               Stock de elaborados</t>
  </si>
  <si>
    <t xml:space="preserve">   Total incrementos IVA sobre inversiones</t>
  </si>
  <si>
    <t>6. Incrementos Inversiones en Activo de Trabajo</t>
  </si>
  <si>
    <t>INVERSIONES EN ACTIVO DE TRABAJO</t>
  </si>
  <si>
    <t xml:space="preserve">   b) Crédito por Ventas</t>
  </si>
  <si>
    <t xml:space="preserve">    Bienes de uso</t>
  </si>
  <si>
    <t xml:space="preserve">    Asimilables</t>
  </si>
  <si>
    <t xml:space="preserve">    Subtotal Activo Fijo</t>
  </si>
  <si>
    <t xml:space="preserve">   Disp. mínimas C y B</t>
  </si>
  <si>
    <t xml:space="preserve">   Crédito por ventas</t>
  </si>
  <si>
    <t xml:space="preserve">   Bienes de cambio:</t>
  </si>
  <si>
    <t xml:space="preserve">     Stock de Materia Prima</t>
  </si>
  <si>
    <t xml:space="preserve">     Stock de Materiales</t>
  </si>
  <si>
    <t xml:space="preserve">     Mercadería en proceso</t>
  </si>
  <si>
    <t xml:space="preserve">     Stock de Elaborados</t>
  </si>
  <si>
    <t>IVA:</t>
  </si>
  <si>
    <t xml:space="preserve">   Subtotal IVA Inversión</t>
  </si>
  <si>
    <t>Año 0: Preinversion</t>
  </si>
  <si>
    <t>Año 0: Instalación</t>
  </si>
  <si>
    <t>Totales</t>
  </si>
  <si>
    <t>Inversiones en Activo Fijo</t>
  </si>
  <si>
    <t>Inversiones en A. de Trabajo</t>
  </si>
  <si>
    <t xml:space="preserve">    Subtotal Activo Trabajo</t>
  </si>
  <si>
    <t xml:space="preserve">    por inversión A. Fijo</t>
  </si>
  <si>
    <t xml:space="preserve">    por inversión A. T.</t>
  </si>
  <si>
    <t>Inversiones Totales</t>
  </si>
  <si>
    <t>Calendario de Inversiones</t>
  </si>
  <si>
    <t>IVA plan de Explotación, Cancelación del Credito Fiscal y pago al Fisco por IVA</t>
  </si>
  <si>
    <t>Rubros que abonan IVA</t>
  </si>
  <si>
    <t>Materia Prima</t>
  </si>
  <si>
    <t>Energía eléctrica</t>
  </si>
  <si>
    <t>Combustibles</t>
  </si>
  <si>
    <t xml:space="preserve">   (s/mano de obra directa)</t>
  </si>
  <si>
    <t>Total Area Producción</t>
  </si>
  <si>
    <t>Total Area Administración</t>
  </si>
  <si>
    <t>Total Area Comercialización</t>
  </si>
  <si>
    <t>IVA total abonado por insumos</t>
  </si>
  <si>
    <t>IVA total cobrado por ventas</t>
  </si>
  <si>
    <t>a) IVA diferencia</t>
  </si>
  <si>
    <t>d) Crédito Fiscal Final Año</t>
  </si>
  <si>
    <t xml:space="preserve">    Pago al Fisco por IVA</t>
  </si>
  <si>
    <t>TOTALES PARA LAS TRES AREAS</t>
  </si>
  <si>
    <t>Menos: Puesta en marcha</t>
  </si>
  <si>
    <t>Merc. en proceso</t>
  </si>
  <si>
    <t>Stock elaborados</t>
  </si>
  <si>
    <t>c) Crédito Fiscal del Año</t>
  </si>
  <si>
    <t>Año</t>
  </si>
  <si>
    <t>Inversión en Activo de Trabajo</t>
  </si>
  <si>
    <t>Credito Fiscal</t>
  </si>
  <si>
    <t>Impuesto a las Ganancias</t>
  </si>
  <si>
    <t>Total Egresos</t>
  </si>
  <si>
    <t>Utilidad Economica Antes  HD e IG</t>
  </si>
  <si>
    <t>Amortizaciones</t>
  </si>
  <si>
    <t>Cobro Credito Fiscal</t>
  </si>
  <si>
    <t>Total Ingresos</t>
  </si>
  <si>
    <t>Formulación del Proyecto a Nivel Económico</t>
  </si>
  <si>
    <t>Suma.</t>
  </si>
  <si>
    <t>Saldo Anual</t>
  </si>
  <si>
    <t>Saldo Acumulado</t>
  </si>
  <si>
    <t>Beneficio Neto</t>
  </si>
  <si>
    <t>Periodo de Recupero de la Inversión</t>
  </si>
  <si>
    <t>TIR</t>
  </si>
  <si>
    <t>en años</t>
  </si>
  <si>
    <t>Tasa de Credito Bancario</t>
  </si>
  <si>
    <t>% sobre el total del Rubro</t>
  </si>
  <si>
    <t>Dias de Financiación de Proveedores</t>
  </si>
  <si>
    <t>% sobre Compras</t>
  </si>
  <si>
    <t>Rubro a financiar</t>
  </si>
  <si>
    <t>Tasa de financiación</t>
  </si>
  <si>
    <t>anual</t>
  </si>
  <si>
    <t>IVA</t>
  </si>
  <si>
    <t>e) Recuepro de Credito Fiscal</t>
  </si>
  <si>
    <t>d) IVA: 21 %</t>
  </si>
  <si>
    <t xml:space="preserve">  Alquiler</t>
  </si>
  <si>
    <t>Alquiler</t>
  </si>
  <si>
    <t xml:space="preserve">   (-) Gasto de puesta en marcha</t>
  </si>
  <si>
    <t xml:space="preserve">   (-) Mercaderia en Proceso Final</t>
  </si>
  <si>
    <t xml:space="preserve">   (+) Mercaderia en Proceso Inicial</t>
  </si>
  <si>
    <t xml:space="preserve">   (-) 'Puesta en marcha</t>
  </si>
  <si>
    <t xml:space="preserve">   (+) Stock de elaborados Inicial</t>
  </si>
  <si>
    <t xml:space="preserve">   (-)  Stock de elaborados Final</t>
  </si>
  <si>
    <t>CVT</t>
  </si>
  <si>
    <t>CFT</t>
  </si>
  <si>
    <t>VENTAS</t>
  </si>
  <si>
    <t>CT</t>
  </si>
  <si>
    <t>m</t>
  </si>
  <si>
    <t>b</t>
  </si>
  <si>
    <t>Ecuacion de Recta:</t>
  </si>
  <si>
    <t>Ventas = mX+b</t>
  </si>
  <si>
    <t>CT = mX+b</t>
  </si>
  <si>
    <t>Interseccion</t>
  </si>
  <si>
    <t>Ventas = CT</t>
  </si>
  <si>
    <t>X</t>
  </si>
  <si>
    <t>Y</t>
  </si>
  <si>
    <t>AÑO 1</t>
  </si>
  <si>
    <t>Variación de Stock de Elaborado</t>
  </si>
  <si>
    <t>TOTAL PARA LAS 3 AREAS</t>
  </si>
  <si>
    <r>
      <t>VAN</t>
    </r>
    <r>
      <rPr>
        <b/>
        <vertAlign val="subscript"/>
        <sz val="10"/>
        <rFont val="Arial"/>
        <family val="2"/>
      </rPr>
      <t xml:space="preserve"> 0,18%</t>
    </r>
  </si>
  <si>
    <t>MOD</t>
  </si>
  <si>
    <t>MOI</t>
  </si>
  <si>
    <t>Año 1 bis</t>
  </si>
  <si>
    <t>TARIFA NETA OPERARIO CALIFICADO</t>
  </si>
  <si>
    <t>Cargo</t>
  </si>
  <si>
    <t>Logisticos (2)</t>
  </si>
  <si>
    <t>Analistas (4)</t>
  </si>
  <si>
    <t>Supersvisores (1)</t>
  </si>
  <si>
    <t>Gerentes (5)</t>
  </si>
  <si>
    <t>Gerente General (1)</t>
  </si>
  <si>
    <t>TN Producidas</t>
  </si>
  <si>
    <t>TARIFA BRUTA OPERARIO CALIFICADO</t>
  </si>
  <si>
    <t>SUELDO MENSUAL</t>
  </si>
  <si>
    <t>TN no recuperables</t>
  </si>
  <si>
    <t>CARGAS:</t>
  </si>
  <si>
    <t>SUELDO ANUAL NETO</t>
  </si>
  <si>
    <t>TN recuperables</t>
  </si>
  <si>
    <t>SUELDO ANUAL BRUTO</t>
  </si>
  <si>
    <t>Total MP</t>
  </si>
  <si>
    <t>SUELDO ANUAL BRUTO POR SECTOR</t>
  </si>
  <si>
    <t xml:space="preserve"> Determinación del Stock promedio de Materia prima y el programa de compras</t>
  </si>
  <si>
    <t>CALCULADO POR OPERARIO</t>
  </si>
  <si>
    <t>TARIFA POR HORA POR SECTOR</t>
  </si>
  <si>
    <t>Cantidad de Botellas</t>
  </si>
  <si>
    <t>TN de MP p/ Botella</t>
  </si>
  <si>
    <t>CALCULADO POR CARGO</t>
  </si>
  <si>
    <t>Precio MP $ / TN</t>
  </si>
  <si>
    <t>Total MP $</t>
  </si>
  <si>
    <t>x tonelada</t>
  </si>
  <si>
    <t>Total Botella c/ Tapa</t>
  </si>
  <si>
    <t>x Botella c/ Tapa</t>
  </si>
  <si>
    <t>B)</t>
  </si>
  <si>
    <t>REFRIGERIO (0,5 horas por dia trabajado)</t>
  </si>
  <si>
    <t>Total MP Año</t>
  </si>
  <si>
    <t>C)</t>
  </si>
  <si>
    <t>FERIADOS NACIONALES PAGOS</t>
  </si>
  <si>
    <t>D)</t>
  </si>
  <si>
    <t>FERIADO PAGO, DIA DEL GREMIO</t>
  </si>
  <si>
    <t>Total MOD Año (12)</t>
  </si>
  <si>
    <t>E)</t>
  </si>
  <si>
    <t>VACACIONES</t>
  </si>
  <si>
    <t>F)</t>
  </si>
  <si>
    <t>ENFERMEDAD</t>
  </si>
  <si>
    <t>Supervisor (1)</t>
  </si>
  <si>
    <t>G)</t>
  </si>
  <si>
    <t>ACCIDENTES </t>
  </si>
  <si>
    <t>H)</t>
  </si>
  <si>
    <t>AGUINALDO</t>
  </si>
  <si>
    <t>Total MOI proceso Año (3)</t>
  </si>
  <si>
    <t>I) TOTAL DE CARGAS</t>
  </si>
  <si>
    <t xml:space="preserve">  Combustibles (GAS)</t>
  </si>
  <si>
    <t>APORTES:</t>
  </si>
  <si>
    <t>J)</t>
  </si>
  <si>
    <t>Asig. Fam. (Contr. Patron. Regim. Asig. Famil.)</t>
  </si>
  <si>
    <t>K)</t>
  </si>
  <si>
    <t>OBRA SOCIAL + ANSSAL</t>
  </si>
  <si>
    <t>Total Indirectos (10)</t>
  </si>
  <si>
    <t>L)</t>
  </si>
  <si>
    <t>FONDO NACIONAL DE EMPLEO</t>
  </si>
  <si>
    <t>M)</t>
  </si>
  <si>
    <t>SIJP (Regimen Nac. Jubil. Y Pens.)</t>
  </si>
  <si>
    <t>N)</t>
  </si>
  <si>
    <t>INSSJP Instit. Nac. Servic. Soc. Jubil. y Pension.</t>
  </si>
  <si>
    <t>O)</t>
  </si>
  <si>
    <t>TOTAL DE APORTES</t>
  </si>
  <si>
    <t>TOTAL SUELDO NETO MOD</t>
  </si>
  <si>
    <t>TOTAL SUELDO NETO MOI</t>
  </si>
  <si>
    <t>OTROS GASTOS (12%)</t>
  </si>
  <si>
    <t>TOTAL MOD ANUAL</t>
  </si>
  <si>
    <t>TOTAL INDIRECTOS ANUAL</t>
  </si>
  <si>
    <t>Año 2-10</t>
  </si>
  <si>
    <t>Cons especifico</t>
  </si>
  <si>
    <t>( $/kg )</t>
  </si>
  <si>
    <t>Gasto Anual</t>
  </si>
  <si>
    <t>( $/año )</t>
  </si>
  <si>
    <t>Gasto Especif</t>
  </si>
  <si>
    <t>Cons. Total MP</t>
  </si>
  <si>
    <t>( Kg )</t>
  </si>
  <si>
    <t>Cons. MP x PT</t>
  </si>
  <si>
    <t>Cons. MP en Merc en curso</t>
  </si>
  <si>
    <t>Exceso Cons. MP Pta en marcha</t>
  </si>
  <si>
    <t>Costo MP  en Merc en Curso y SE</t>
  </si>
  <si>
    <t>Costo exceso MP Pta en marcha</t>
  </si>
  <si>
    <t>Gasto Anual MOD</t>
  </si>
  <si>
    <t>Hs trab/año x Op</t>
  </si>
  <si>
    <t>Tarifa Bruta Operario</t>
  </si>
  <si>
    <t>Tarifa Bruta Op Especializado</t>
  </si>
  <si>
    <t>Cargas Sociales</t>
  </si>
  <si>
    <t>Adicionales (Asist. Perf, Antigüedad, etc)</t>
  </si>
  <si>
    <t>Jornales</t>
  </si>
  <si>
    <t>( $/hr )</t>
  </si>
  <si>
    <t>Gasto Especifico</t>
  </si>
  <si>
    <t>Integracion del grupo de trabajo</t>
  </si>
  <si>
    <t>Gasto PT</t>
  </si>
  <si>
    <t>Gasto Merc en curso y SE</t>
  </si>
  <si>
    <t>Exceso Gasto MOD Pta en Marcha</t>
  </si>
  <si>
    <t>Alicuota Anual</t>
  </si>
  <si>
    <t>Imputacion Especif</t>
  </si>
  <si>
    <t>Año 4-5</t>
  </si>
  <si>
    <t>Año 1-3</t>
  </si>
  <si>
    <t>Alicuota Rtos Imp</t>
  </si>
  <si>
    <t>Total Alicuota Anual</t>
  </si>
  <si>
    <t>Imp Especif (Año 2-3)</t>
  </si>
  <si>
    <t>Imp Especif (Año 1)</t>
  </si>
  <si>
    <t>Amort Imputada en la Merc en Curso y SE</t>
  </si>
  <si>
    <t>Año 2-3</t>
  </si>
  <si>
    <t>Personal Indirecto</t>
  </si>
  <si>
    <t>Sueldo Mensual</t>
  </si>
  <si>
    <t>C. Soc y Adicionales</t>
  </si>
  <si>
    <t>Cant x Turno</t>
  </si>
  <si>
    <t>Mantenimiento</t>
  </si>
  <si>
    <t>Gasto Merc en Proc</t>
  </si>
  <si>
    <t>Gasto Merc en proceso</t>
  </si>
  <si>
    <t>Repuestos</t>
  </si>
  <si>
    <t>Produccion</t>
  </si>
  <si>
    <t>Gastos</t>
  </si>
  <si>
    <t>Gasto Importacion</t>
  </si>
  <si>
    <t>Incr Anual prom Gto Mant (10%)</t>
  </si>
  <si>
    <t>Gasto Total Materiales por Mant. Y Rtos</t>
  </si>
  <si>
    <t>Gasto en Merc en Curso y SE</t>
  </si>
  <si>
    <t>Gasto en Merc en curso y SE</t>
  </si>
  <si>
    <t>Exceso Gto Materiales en la Pta en Marcha</t>
  </si>
  <si>
    <t>i</t>
  </si>
  <si>
    <t>VAN</t>
  </si>
  <si>
    <r>
      <t>E</t>
    </r>
    <r>
      <rPr>
        <b/>
        <vertAlign val="subscript"/>
        <sz val="10"/>
        <rFont val="Arial"/>
        <family val="2"/>
      </rPr>
      <t>0</t>
    </r>
  </si>
  <si>
    <r>
      <t>VAN + E</t>
    </r>
    <r>
      <rPr>
        <b/>
        <vertAlign val="subscript"/>
        <sz val="10"/>
        <rFont val="Arial"/>
        <family val="2"/>
      </rPr>
      <t>0</t>
    </r>
  </si>
  <si>
    <t>itot</t>
  </si>
  <si>
    <t>ESTA PLANILLA PUEDE SER UTILIZADA SOLAMENTE PARA EL TRABAJO PRACTICO:</t>
  </si>
  <si>
    <t>Buje de suspensión IVECO Daily</t>
  </si>
  <si>
    <t>ESTA PLANILLA PUEDE SER UTILIZADA SOLAMENTE PARA EL TRABAJO PRACTICO</t>
  </si>
  <si>
    <t>HACER DIAGRAMA DE PUNTO DE EQUILIBRIO PARA EL AÑO 1 Y PARA EL AÑO 5</t>
  </si>
  <si>
    <t>Venta anual, en Unidades Buje Iveco Daily</t>
  </si>
  <si>
    <t>Precio de venta Buje Iveco Daily</t>
  </si>
  <si>
    <t>AÑO 5</t>
  </si>
  <si>
    <t>Gasto Anual MP y SE</t>
  </si>
  <si>
    <t>Costo caucho</t>
  </si>
  <si>
    <t>Costo caño galv.</t>
  </si>
  <si>
    <t>Costo buje SAV</t>
  </si>
  <si>
    <t>( $/u )</t>
  </si>
  <si>
    <t>Año 2-5</t>
  </si>
  <si>
    <t>Caucho</t>
  </si>
  <si>
    <t>Buje SAV</t>
  </si>
  <si>
    <t>Caño galv.</t>
  </si>
  <si>
    <t>(kg/año)</t>
  </si>
  <si>
    <t>(u/año)</t>
  </si>
  <si>
    <t>Cons Real MP (ej 1)</t>
  </si>
  <si>
    <t>Cons Programado MP (ej 1)</t>
  </si>
  <si>
    <t>( Kg ) - ej 9</t>
  </si>
  <si>
    <t>( Kg ) - ej 6</t>
  </si>
  <si>
    <t>Operarios en planta</t>
  </si>
  <si>
    <t>Op. Esp. en planta</t>
  </si>
  <si>
    <t>Datos adicionales</t>
  </si>
  <si>
    <t>Maquinas</t>
  </si>
  <si>
    <t>$ Ars</t>
  </si>
  <si>
    <t>Muebles y utiles</t>
  </si>
  <si>
    <t>Alquileres</t>
  </si>
  <si>
    <t>Torno de 700MM</t>
  </si>
  <si>
    <t>Sillas</t>
  </si>
  <si>
    <t>Galpon/Edificio</t>
  </si>
  <si>
    <t>Vulcanizadora</t>
  </si>
  <si>
    <t>Escritorios</t>
  </si>
  <si>
    <t>Sierra</t>
  </si>
  <si>
    <t>Computadoras</t>
  </si>
  <si>
    <t>Compresor</t>
  </si>
  <si>
    <t>Termotanque</t>
  </si>
  <si>
    <t>Matriz</t>
  </si>
  <si>
    <t>Heladera</t>
  </si>
  <si>
    <t>Aire acond.</t>
  </si>
  <si>
    <t xml:space="preserve">   Durante el período de instalación:</t>
  </si>
  <si>
    <t xml:space="preserve">   Gastos de puesta en marcha (al año 1):</t>
  </si>
  <si>
    <t xml:space="preserve">   Patentes y Licencias:</t>
  </si>
  <si>
    <t xml:space="preserve">   Infraestructura en predio ajeno:</t>
  </si>
  <si>
    <t xml:space="preserve">   Imprevistos:</t>
  </si>
  <si>
    <t>Mantenimiento, se contrata en forma particular</t>
  </si>
  <si>
    <t>Logistica/deposito</t>
  </si>
  <si>
    <t>Jefe Produccion/calidad</t>
  </si>
  <si>
    <t>Gerente General</t>
  </si>
  <si>
    <t>Jefe ADM/Comercial</t>
  </si>
  <si>
    <t>Imprevistos aprox. 4,5%:</t>
  </si>
  <si>
    <t>ADM</t>
  </si>
  <si>
    <t>monto mensual</t>
  </si>
  <si>
    <t>Op Especializado ( 1 )</t>
  </si>
  <si>
    <t>Operario ( 3 ):</t>
  </si>
  <si>
    <t>b) Saldo Crédito Fiscal Anterior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</si>
</sst>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7" formatCode="&quot;$&quot;\ #,##0.00;&quot;$&quot;\ \-#,##0.00"/>
    <numFmt numFmtId="8" formatCode="&quot;$&quot;\ #,##0.00;[Red]&quot;$&quot;\ \-#,##0.00"/>
    <numFmt numFmtId="44" formatCode="_ &quot;$&quot;\ * #,##0.00_ ;_ &quot;$&quot;\ * \-#,##0.00_ ;_ &quot;$&quot;\ * &quot;-&quot;??_ ;_ @_ 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0.000"/>
    <numFmt numFmtId="168" formatCode="_(\U&quot;$&quot;* #,##0.00_);_(\U&quot;$&quot;* \(#,##0.00\);_(\U&quot;$&quot;* &quot;-&quot;??_);_(@_)"/>
    <numFmt numFmtId="169" formatCode="&quot;$&quot;\ #,##0.00"/>
    <numFmt numFmtId="170" formatCode="_(&quot;$&quot;* #,##0_);_(&quot;$&quot;* \(#,##0\);_(&quot;$&quot;* &quot;-&quot;??_);_(@_)"/>
    <numFmt numFmtId="171" formatCode="_ [$USD]\ * #,##0.00_ ;_ [$USD]\ * \-#,##0.00_ ;_ [$USD]\ * &quot;-&quot;??_ ;_ @_ "/>
    <numFmt numFmtId="172" formatCode="0.00000"/>
    <numFmt numFmtId="173" formatCode="0.0000%"/>
    <numFmt numFmtId="174" formatCode="0.0000"/>
    <numFmt numFmtId="175" formatCode="&quot;$&quot;\ #,##0.000"/>
    <numFmt numFmtId="176" formatCode="_(* #,##0.000_);_(* \(#,##0.000\);_(* &quot;-&quot;??_);_(@_)"/>
    <numFmt numFmtId="177" formatCode="&quot;$&quot;\ #,##0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Symbol"/>
      <family val="1"/>
      <charset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vertAlign val="subscript"/>
      <sz val="10"/>
      <name val="Arial"/>
      <family val="2"/>
    </font>
    <font>
      <sz val="14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"/>
      <family val="2"/>
    </font>
    <font>
      <b/>
      <u/>
      <sz val="12"/>
      <color rgb="FFFFFF00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theme="0" tint="-0.499984740745262"/>
      </left>
      <right style="dashed">
        <color theme="0" tint="-0.499984740745262"/>
      </right>
      <top style="medium">
        <color theme="0" tint="-0.499984740745262"/>
      </top>
      <bottom style="dashed">
        <color theme="0" tint="-0.499984740745262"/>
      </bottom>
      <diagonal/>
    </border>
    <border>
      <left style="dashed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dashed">
        <color theme="0" tint="-0.499984740745262"/>
      </bottom>
      <diagonal/>
    </border>
    <border>
      <left style="dashed">
        <color theme="0" tint="-0.499984740745262"/>
      </left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 style="dashed">
        <color theme="0" tint="-0.499984740745262"/>
      </left>
      <right style="medium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 style="dashed">
        <color theme="0" tint="-0.499984740745262"/>
      </left>
      <right style="dashed">
        <color theme="0" tint="-0.499984740745262"/>
      </right>
      <top style="dashed">
        <color theme="0" tint="-0.499984740745262"/>
      </top>
      <bottom style="medium">
        <color theme="0" tint="-0.499984740745262"/>
      </bottom>
      <diagonal/>
    </border>
    <border>
      <left style="dashed">
        <color theme="0" tint="-0.499984740745262"/>
      </left>
      <right style="medium">
        <color theme="0" tint="-0.499984740745262"/>
      </right>
      <top style="dashed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dashed">
        <color theme="0" tint="-0.499984740745262"/>
      </right>
      <top style="medium">
        <color theme="0" tint="-0.499984740745262"/>
      </top>
      <bottom style="dashed">
        <color theme="0" tint="-0.499984740745262"/>
      </bottom>
      <diagonal/>
    </border>
    <border>
      <left style="medium">
        <color theme="0" tint="-0.499984740745262"/>
      </left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 style="medium">
        <color theme="0" tint="-0.499984740745262"/>
      </left>
      <right style="dashed">
        <color theme="0" tint="-0.499984740745262"/>
      </right>
      <top style="dashed">
        <color theme="0" tint="-0.499984740745262"/>
      </top>
      <bottom style="medium">
        <color theme="0" tint="-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7" fillId="0" borderId="0"/>
    <xf numFmtId="0" fontId="5" fillId="0" borderId="0"/>
    <xf numFmtId="9" fontId="1" fillId="0" borderId="0" applyFont="0" applyFill="0" applyBorder="0" applyAlignment="0" applyProtection="0"/>
  </cellStyleXfs>
  <cellXfs count="462">
    <xf numFmtId="0" fontId="0" fillId="0" borderId="0" xfId="0"/>
    <xf numFmtId="0" fontId="2" fillId="0" borderId="0" xfId="0" applyFont="1"/>
    <xf numFmtId="164" fontId="0" fillId="0" borderId="1" xfId="2" applyFont="1" applyFill="1" applyBorder="1"/>
    <xf numFmtId="0" fontId="0" fillId="0" borderId="0" xfId="0" applyAlignment="1">
      <alignment horizontal="right"/>
    </xf>
    <xf numFmtId="0" fontId="2" fillId="2" borderId="2" xfId="0" applyFont="1" applyFill="1" applyBorder="1" applyAlignment="1">
      <alignment horizontal="center"/>
    </xf>
    <xf numFmtId="0" fontId="0" fillId="0" borderId="0" xfId="0" quotePrefix="1" applyAlignment="1">
      <alignment horizontal="right"/>
    </xf>
    <xf numFmtId="0" fontId="2" fillId="0" borderId="0" xfId="0" applyFont="1" applyAlignment="1">
      <alignment horizontal="right"/>
    </xf>
    <xf numFmtId="9" fontId="2" fillId="2" borderId="2" xfId="5" applyFont="1" applyFill="1" applyBorder="1"/>
    <xf numFmtId="164" fontId="0" fillId="0" borderId="1" xfId="2" applyFont="1" applyFill="1" applyBorder="1" applyAlignment="1">
      <alignment horizontal="center"/>
    </xf>
    <xf numFmtId="164" fontId="0" fillId="0" borderId="5" xfId="2" applyFont="1" applyFill="1" applyBorder="1" applyAlignment="1">
      <alignment horizontal="center"/>
    </xf>
    <xf numFmtId="0" fontId="0" fillId="0" borderId="6" xfId="0" applyFill="1" applyBorder="1"/>
    <xf numFmtId="0" fontId="2" fillId="0" borderId="6" xfId="0" applyFont="1" applyFill="1" applyBorder="1"/>
    <xf numFmtId="9" fontId="0" fillId="0" borderId="1" xfId="5" applyFont="1" applyFill="1" applyBorder="1"/>
    <xf numFmtId="9" fontId="0" fillId="0" borderId="5" xfId="5" applyFont="1" applyFill="1" applyBorder="1"/>
    <xf numFmtId="164" fontId="1" fillId="0" borderId="1" xfId="2" applyFill="1" applyBorder="1" applyAlignment="1">
      <alignment horizontal="center"/>
    </xf>
    <xf numFmtId="164" fontId="1" fillId="0" borderId="5" xfId="2" applyFill="1" applyBorder="1" applyAlignment="1">
      <alignment horizontal="center"/>
    </xf>
    <xf numFmtId="164" fontId="1" fillId="0" borderId="7" xfId="2" applyFill="1" applyBorder="1" applyAlignment="1">
      <alignment horizontal="center"/>
    </xf>
    <xf numFmtId="166" fontId="0" fillId="0" borderId="8" xfId="0" applyNumberFormat="1" applyFill="1" applyBorder="1" applyAlignment="1">
      <alignment horizontal="center"/>
    </xf>
    <xf numFmtId="164" fontId="1" fillId="0" borderId="11" xfId="2" applyFill="1" applyBorder="1" applyAlignment="1">
      <alignment horizontal="center"/>
    </xf>
    <xf numFmtId="164" fontId="0" fillId="0" borderId="8" xfId="2" applyFont="1" applyFill="1" applyBorder="1" applyAlignment="1" applyProtection="1">
      <alignment horizontal="center"/>
      <protection locked="0"/>
    </xf>
    <xf numFmtId="164" fontId="0" fillId="0" borderId="9" xfId="2" applyFont="1" applyFill="1" applyBorder="1" applyAlignment="1" applyProtection="1">
      <alignment horizontal="center"/>
      <protection locked="0"/>
    </xf>
    <xf numFmtId="164" fontId="1" fillId="0" borderId="1" xfId="2" applyFill="1" applyBorder="1" applyAlignment="1" applyProtection="1">
      <alignment horizontal="center"/>
      <protection locked="0"/>
    </xf>
    <xf numFmtId="164" fontId="1" fillId="0" borderId="5" xfId="2" applyFill="1" applyBorder="1" applyAlignment="1" applyProtection="1">
      <alignment horizontal="center"/>
      <protection locked="0"/>
    </xf>
    <xf numFmtId="0" fontId="0" fillId="3" borderId="2" xfId="0" applyFill="1" applyBorder="1" applyProtection="1">
      <protection locked="0"/>
    </xf>
    <xf numFmtId="0" fontId="0" fillId="0" borderId="0" xfId="0" applyFill="1"/>
    <xf numFmtId="0" fontId="4" fillId="0" borderId="15" xfId="0" applyFont="1" applyFill="1" applyBorder="1"/>
    <xf numFmtId="0" fontId="2" fillId="0" borderId="16" xfId="0" applyFont="1" applyFill="1" applyBorder="1" applyAlignment="1">
      <alignment horizontal="center"/>
    </xf>
    <xf numFmtId="0" fontId="4" fillId="0" borderId="17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0" fillId="0" borderId="20" xfId="0" applyFill="1" applyBorder="1"/>
    <xf numFmtId="0" fontId="0" fillId="0" borderId="13" xfId="0" applyFill="1" applyBorder="1"/>
    <xf numFmtId="0" fontId="0" fillId="0" borderId="1" xfId="0" applyFill="1" applyBorder="1"/>
    <xf numFmtId="164" fontId="0" fillId="0" borderId="1" xfId="2" applyFont="1" applyFill="1" applyBorder="1" applyProtection="1">
      <protection locked="0"/>
    </xf>
    <xf numFmtId="0" fontId="0" fillId="0" borderId="6" xfId="0" quotePrefix="1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3" fillId="0" borderId="17" xfId="0" quotePrefix="1" applyFont="1" applyFill="1" applyBorder="1" applyAlignment="1">
      <alignment horizontal="left"/>
    </xf>
    <xf numFmtId="164" fontId="0" fillId="0" borderId="18" xfId="2" applyFont="1" applyFill="1" applyBorder="1" applyProtection="1">
      <protection locked="0"/>
    </xf>
    <xf numFmtId="0" fontId="2" fillId="0" borderId="15" xfId="0" applyFont="1" applyFill="1" applyBorder="1" applyAlignment="1">
      <alignment horizontal="center"/>
    </xf>
    <xf numFmtId="0" fontId="2" fillId="0" borderId="21" xfId="0" applyFont="1" applyFill="1" applyBorder="1"/>
    <xf numFmtId="0" fontId="2" fillId="0" borderId="17" xfId="0" applyFont="1" applyFill="1" applyBorder="1"/>
    <xf numFmtId="0" fontId="2" fillId="0" borderId="19" xfId="0" applyFont="1" applyFill="1" applyBorder="1"/>
    <xf numFmtId="0" fontId="2" fillId="0" borderId="15" xfId="0" applyFont="1" applyFill="1" applyBorder="1"/>
    <xf numFmtId="164" fontId="0" fillId="0" borderId="16" xfId="2" applyFont="1" applyFill="1" applyBorder="1"/>
    <xf numFmtId="0" fontId="0" fillId="0" borderId="16" xfId="0" applyFill="1" applyBorder="1" applyAlignment="1">
      <alignment horizontal="center"/>
    </xf>
    <xf numFmtId="0" fontId="0" fillId="0" borderId="21" xfId="0" applyFill="1" applyBorder="1"/>
    <xf numFmtId="164" fontId="0" fillId="0" borderId="5" xfId="2" applyFont="1" applyFill="1" applyBorder="1" applyProtection="1">
      <protection locked="0"/>
    </xf>
    <xf numFmtId="0" fontId="2" fillId="0" borderId="6" xfId="0" applyFont="1" applyFill="1" applyBorder="1" applyAlignment="1">
      <alignment horizontal="left"/>
    </xf>
    <xf numFmtId="166" fontId="0" fillId="0" borderId="1" xfId="0" applyNumberFormat="1" applyFill="1" applyBorder="1" applyAlignment="1">
      <alignment horizontal="center"/>
    </xf>
    <xf numFmtId="166" fontId="0" fillId="0" borderId="1" xfId="0" applyNumberFormat="1" applyFill="1" applyBorder="1"/>
    <xf numFmtId="166" fontId="0" fillId="0" borderId="5" xfId="0" applyNumberFormat="1" applyFill="1" applyBorder="1"/>
    <xf numFmtId="166" fontId="2" fillId="0" borderId="1" xfId="0" applyNumberFormat="1" applyFon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166" fontId="0" fillId="0" borderId="0" xfId="0" applyNumberFormat="1" applyFill="1"/>
    <xf numFmtId="0" fontId="2" fillId="0" borderId="17" xfId="0" applyFont="1" applyFill="1" applyBorder="1" applyAlignment="1">
      <alignment horizontal="left"/>
    </xf>
    <xf numFmtId="164" fontId="0" fillId="0" borderId="19" xfId="2" applyFont="1" applyFill="1" applyBorder="1" applyProtection="1">
      <protection locked="0"/>
    </xf>
    <xf numFmtId="166" fontId="2" fillId="0" borderId="0" xfId="0" applyNumberFormat="1" applyFont="1" applyFill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Continuous"/>
    </xf>
    <xf numFmtId="164" fontId="0" fillId="0" borderId="1" xfId="2" applyFont="1" applyFill="1" applyBorder="1" applyAlignment="1" applyProtection="1">
      <alignment horizontal="center"/>
      <protection locked="0"/>
    </xf>
    <xf numFmtId="164" fontId="0" fillId="0" borderId="5" xfId="2" applyFont="1" applyFill="1" applyBorder="1" applyAlignment="1" applyProtection="1">
      <alignment horizontal="center"/>
      <protection locked="0"/>
    </xf>
    <xf numFmtId="0" fontId="0" fillId="0" borderId="25" xfId="0" applyFill="1" applyBorder="1"/>
    <xf numFmtId="0" fontId="2" fillId="0" borderId="25" xfId="0" applyFont="1" applyFill="1" applyBorder="1"/>
    <xf numFmtId="0" fontId="3" fillId="0" borderId="17" xfId="0" applyFont="1" applyFill="1" applyBorder="1"/>
    <xf numFmtId="164" fontId="0" fillId="0" borderId="18" xfId="2" applyFont="1" applyFill="1" applyBorder="1" applyAlignment="1" applyProtection="1">
      <alignment horizontal="center"/>
      <protection locked="0"/>
    </xf>
    <xf numFmtId="0" fontId="0" fillId="0" borderId="15" xfId="0" applyFill="1" applyBorder="1"/>
    <xf numFmtId="0" fontId="2" fillId="0" borderId="1" xfId="0" applyFont="1" applyFill="1" applyBorder="1" applyAlignment="1">
      <alignment horizontal="center"/>
    </xf>
    <xf numFmtId="0" fontId="0" fillId="0" borderId="18" xfId="0" quotePrefix="1" applyFill="1" applyBorder="1" applyAlignment="1">
      <alignment horizontal="center"/>
    </xf>
    <xf numFmtId="0" fontId="3" fillId="0" borderId="0" xfId="0" applyFont="1" applyFill="1"/>
    <xf numFmtId="167" fontId="0" fillId="0" borderId="0" xfId="0" applyNumberFormat="1" applyFill="1" applyAlignment="1">
      <alignment horizontal="center"/>
    </xf>
    <xf numFmtId="0" fontId="3" fillId="0" borderId="15" xfId="0" applyFont="1" applyFill="1" applyBorder="1"/>
    <xf numFmtId="0" fontId="0" fillId="0" borderId="19" xfId="0" quotePrefix="1" applyFill="1" applyBorder="1" applyAlignment="1">
      <alignment horizontal="center"/>
    </xf>
    <xf numFmtId="0" fontId="3" fillId="0" borderId="6" xfId="0" applyFont="1" applyFill="1" applyBorder="1"/>
    <xf numFmtId="0" fontId="3" fillId="0" borderId="25" xfId="0" applyFont="1" applyFill="1" applyBorder="1"/>
    <xf numFmtId="0" fontId="3" fillId="0" borderId="15" xfId="0" applyFont="1" applyFill="1" applyBorder="1" applyAlignment="1">
      <alignment horizontal="centerContinuous"/>
    </xf>
    <xf numFmtId="0" fontId="3" fillId="0" borderId="17" xfId="0" applyFont="1" applyFill="1" applyBorder="1" applyAlignment="1">
      <alignment horizontal="centerContinuous"/>
    </xf>
    <xf numFmtId="164" fontId="0" fillId="0" borderId="16" xfId="2" applyFont="1" applyFill="1" applyBorder="1" applyAlignment="1" applyProtection="1">
      <alignment horizontal="center"/>
      <protection locked="0"/>
    </xf>
    <xf numFmtId="165" fontId="5" fillId="0" borderId="1" xfId="1" applyFont="1" applyFill="1" applyBorder="1" applyAlignment="1" applyProtection="1">
      <alignment horizontal="center"/>
      <protection locked="0"/>
    </xf>
    <xf numFmtId="165" fontId="5" fillId="0" borderId="5" xfId="1" applyFont="1" applyFill="1" applyBorder="1" applyAlignment="1" applyProtection="1">
      <alignment horizontal="center"/>
      <protection locked="0"/>
    </xf>
    <xf numFmtId="164" fontId="5" fillId="0" borderId="1" xfId="2" applyFont="1" applyFill="1" applyBorder="1" applyAlignment="1" applyProtection="1">
      <alignment horizontal="center"/>
      <protection locked="0"/>
    </xf>
    <xf numFmtId="164" fontId="5" fillId="0" borderId="5" xfId="2" applyFont="1" applyFill="1" applyBorder="1" applyAlignment="1" applyProtection="1">
      <alignment horizontal="center"/>
      <protection locked="0"/>
    </xf>
    <xf numFmtId="164" fontId="2" fillId="0" borderId="1" xfId="2" applyFont="1" applyFill="1" applyBorder="1" applyAlignment="1" applyProtection="1">
      <alignment horizontal="center"/>
      <protection locked="0"/>
    </xf>
    <xf numFmtId="164" fontId="2" fillId="0" borderId="5" xfId="2" applyFont="1" applyFill="1" applyBorder="1" applyAlignment="1" applyProtection="1">
      <alignment horizontal="center"/>
      <protection locked="0"/>
    </xf>
    <xf numFmtId="164" fontId="2" fillId="0" borderId="1" xfId="2" applyFont="1" applyFill="1" applyBorder="1" applyAlignment="1">
      <alignment horizontal="center"/>
    </xf>
    <xf numFmtId="164" fontId="2" fillId="0" borderId="5" xfId="2" applyFont="1" applyFill="1" applyBorder="1" applyAlignment="1">
      <alignment horizontal="center"/>
    </xf>
    <xf numFmtId="0" fontId="2" fillId="0" borderId="6" xfId="0" quotePrefix="1" applyFont="1" applyFill="1" applyBorder="1" applyAlignment="1">
      <alignment horizontal="left"/>
    </xf>
    <xf numFmtId="9" fontId="0" fillId="0" borderId="1" xfId="5" applyFont="1" applyFill="1" applyBorder="1" applyProtection="1">
      <protection locked="0"/>
    </xf>
    <xf numFmtId="9" fontId="0" fillId="0" borderId="5" xfId="5" applyFont="1" applyFill="1" applyBorder="1" applyProtection="1">
      <protection locked="0"/>
    </xf>
    <xf numFmtId="0" fontId="4" fillId="0" borderId="0" xfId="0" applyFont="1" applyFill="1"/>
    <xf numFmtId="0" fontId="2" fillId="0" borderId="26" xfId="0" applyFont="1" applyFill="1" applyBorder="1"/>
    <xf numFmtId="0" fontId="2" fillId="0" borderId="27" xfId="0" applyFont="1" applyFill="1" applyBorder="1"/>
    <xf numFmtId="0" fontId="2" fillId="0" borderId="18" xfId="0" applyFont="1" applyFill="1" applyBorder="1" applyAlignment="1">
      <alignment horizontal="center" wrapText="1"/>
    </xf>
    <xf numFmtId="0" fontId="5" fillId="0" borderId="26" xfId="0" applyFont="1" applyFill="1" applyBorder="1"/>
    <xf numFmtId="0" fontId="4" fillId="0" borderId="22" xfId="0" applyFont="1" applyFill="1" applyBorder="1" applyAlignment="1">
      <alignment horizontal="left"/>
    </xf>
    <xf numFmtId="0" fontId="3" fillId="0" borderId="25" xfId="0" applyFont="1" applyFill="1" applyBorder="1" applyAlignment="1">
      <alignment horizontal="centerContinuous"/>
    </xf>
    <xf numFmtId="0" fontId="2" fillId="0" borderId="29" xfId="0" applyFont="1" applyFill="1" applyBorder="1"/>
    <xf numFmtId="0" fontId="0" fillId="0" borderId="30" xfId="0" applyFill="1" applyBorder="1"/>
    <xf numFmtId="164" fontId="1" fillId="0" borderId="11" xfId="2" applyFill="1" applyBorder="1" applyAlignment="1" applyProtection="1">
      <alignment horizontal="center"/>
      <protection locked="0"/>
    </xf>
    <xf numFmtId="0" fontId="2" fillId="0" borderId="30" xfId="0" applyFont="1" applyFill="1" applyBorder="1"/>
    <xf numFmtId="0" fontId="1" fillId="0" borderId="30" xfId="0" applyFont="1" applyFill="1" applyBorder="1"/>
    <xf numFmtId="0" fontId="5" fillId="0" borderId="30" xfId="0" applyFont="1" applyFill="1" applyBorder="1"/>
    <xf numFmtId="0" fontId="2" fillId="0" borderId="30" xfId="0" applyFont="1" applyFill="1" applyBorder="1" applyAlignment="1">
      <alignment horizontal="left"/>
    </xf>
    <xf numFmtId="0" fontId="2" fillId="0" borderId="31" xfId="0" applyFont="1" applyFill="1" applyBorder="1"/>
    <xf numFmtId="164" fontId="1" fillId="0" borderId="32" xfId="2" applyFill="1" applyBorder="1" applyAlignment="1" applyProtection="1">
      <alignment horizontal="center"/>
      <protection locked="0"/>
    </xf>
    <xf numFmtId="0" fontId="2" fillId="0" borderId="0" xfId="0" applyFont="1" applyFill="1"/>
    <xf numFmtId="0" fontId="1" fillId="0" borderId="0" xfId="0" applyFont="1" applyFill="1"/>
    <xf numFmtId="0" fontId="5" fillId="0" borderId="0" xfId="0" applyFont="1" applyFill="1"/>
    <xf numFmtId="0" fontId="2" fillId="0" borderId="0" xfId="0" applyFont="1" applyFill="1" applyAlignment="1">
      <alignment horizontal="left"/>
    </xf>
    <xf numFmtId="0" fontId="2" fillId="0" borderId="29" xfId="0" applyFont="1" applyFill="1" applyBorder="1" applyAlignment="1">
      <alignment horizontal="center"/>
    </xf>
    <xf numFmtId="164" fontId="1" fillId="0" borderId="12" xfId="2" applyFill="1" applyBorder="1" applyAlignment="1" applyProtection="1">
      <alignment horizontal="center"/>
      <protection locked="0"/>
    </xf>
    <xf numFmtId="164" fontId="1" fillId="0" borderId="13" xfId="2" applyFill="1" applyBorder="1" applyAlignment="1" applyProtection="1">
      <alignment horizontal="center"/>
      <protection locked="0"/>
    </xf>
    <xf numFmtId="164" fontId="1" fillId="0" borderId="33" xfId="2" applyFill="1" applyBorder="1" applyAlignment="1" applyProtection="1">
      <alignment horizontal="center"/>
      <protection locked="0"/>
    </xf>
    <xf numFmtId="164" fontId="1" fillId="0" borderId="7" xfId="2" applyFill="1" applyBorder="1" applyAlignment="1" applyProtection="1">
      <alignment horizontal="center"/>
      <protection locked="0"/>
    </xf>
    <xf numFmtId="0" fontId="2" fillId="0" borderId="30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167" fontId="0" fillId="0" borderId="0" xfId="0" applyNumberFormat="1" applyFill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0" fontId="6" fillId="0" borderId="0" xfId="0" applyFont="1" applyFill="1"/>
    <xf numFmtId="1" fontId="0" fillId="0" borderId="0" xfId="0" applyNumberFormat="1" applyFill="1" applyBorder="1" applyAlignment="1">
      <alignment horizontal="center"/>
    </xf>
    <xf numFmtId="166" fontId="0" fillId="0" borderId="0" xfId="0" applyNumberFormat="1" applyFill="1" applyAlignment="1">
      <alignment horizontal="center"/>
    </xf>
    <xf numFmtId="164" fontId="2" fillId="0" borderId="18" xfId="2" applyFont="1" applyFill="1" applyBorder="1" applyAlignment="1" applyProtection="1">
      <alignment horizontal="center"/>
      <protection locked="0"/>
    </xf>
    <xf numFmtId="164" fontId="5" fillId="0" borderId="16" xfId="2" applyFont="1" applyFill="1" applyBorder="1" applyProtection="1">
      <protection locked="0"/>
    </xf>
    <xf numFmtId="164" fontId="5" fillId="0" borderId="1" xfId="2" applyFont="1" applyFill="1" applyBorder="1" applyProtection="1">
      <protection locked="0"/>
    </xf>
    <xf numFmtId="164" fontId="2" fillId="0" borderId="19" xfId="2" applyFont="1" applyFill="1" applyBorder="1" applyAlignment="1" applyProtection="1">
      <alignment horizontal="center"/>
      <protection locked="0"/>
    </xf>
    <xf numFmtId="164" fontId="2" fillId="0" borderId="1" xfId="2" applyFont="1" applyFill="1" applyBorder="1" applyProtection="1">
      <protection locked="0"/>
    </xf>
    <xf numFmtId="44" fontId="0" fillId="0" borderId="1" xfId="2" applyNumberFormat="1" applyFont="1" applyFill="1" applyBorder="1" applyProtection="1">
      <protection locked="0"/>
    </xf>
    <xf numFmtId="168" fontId="0" fillId="0" borderId="1" xfId="2" applyNumberFormat="1" applyFont="1" applyFill="1" applyBorder="1" applyProtection="1">
      <protection locked="0"/>
    </xf>
    <xf numFmtId="164" fontId="2" fillId="0" borderId="18" xfId="2" applyFont="1" applyFill="1" applyBorder="1" applyProtection="1">
      <protection locked="0"/>
    </xf>
    <xf numFmtId="9" fontId="0" fillId="0" borderId="0" xfId="5" applyFont="1" applyFill="1"/>
    <xf numFmtId="164" fontId="2" fillId="0" borderId="5" xfId="2" applyFont="1" applyFill="1" applyBorder="1" applyProtection="1">
      <protection locked="0"/>
    </xf>
    <xf numFmtId="164" fontId="2" fillId="0" borderId="19" xfId="2" applyFont="1" applyFill="1" applyBorder="1" applyProtection="1">
      <protection locked="0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168" fontId="5" fillId="0" borderId="1" xfId="2" applyNumberFormat="1" applyFont="1" applyFill="1" applyBorder="1" applyProtection="1">
      <protection locked="0"/>
    </xf>
    <xf numFmtId="164" fontId="1" fillId="4" borderId="13" xfId="2" applyFill="1" applyBorder="1" applyAlignment="1" applyProtection="1">
      <alignment horizontal="center"/>
      <protection locked="0"/>
    </xf>
    <xf numFmtId="164" fontId="1" fillId="4" borderId="1" xfId="2" applyFill="1" applyBorder="1" applyAlignment="1">
      <alignment horizontal="center"/>
    </xf>
    <xf numFmtId="164" fontId="1" fillId="0" borderId="36" xfId="2" applyFill="1" applyBorder="1" applyAlignment="1" applyProtection="1">
      <alignment horizontal="center"/>
      <protection locked="0"/>
    </xf>
    <xf numFmtId="164" fontId="1" fillId="0" borderId="37" xfId="2" applyFill="1" applyBorder="1" applyAlignment="1">
      <alignment horizontal="center"/>
    </xf>
    <xf numFmtId="164" fontId="1" fillId="0" borderId="38" xfId="2" applyFill="1" applyBorder="1" applyAlignment="1" applyProtection="1">
      <alignment horizontal="center"/>
      <protection locked="0"/>
    </xf>
    <xf numFmtId="164" fontId="1" fillId="0" borderId="9" xfId="2" applyFill="1" applyBorder="1" applyAlignment="1" applyProtection="1">
      <alignment horizontal="center"/>
      <protection locked="0"/>
    </xf>
    <xf numFmtId="0" fontId="5" fillId="0" borderId="6" xfId="0" applyFont="1" applyFill="1" applyBorder="1"/>
    <xf numFmtId="164" fontId="0" fillId="0" borderId="21" xfId="2" applyFont="1" applyFill="1" applyBorder="1" applyAlignment="1" applyProtection="1">
      <alignment horizontal="center"/>
      <protection locked="0"/>
    </xf>
    <xf numFmtId="164" fontId="2" fillId="0" borderId="8" xfId="2" applyFont="1" applyFill="1" applyBorder="1" applyAlignment="1" applyProtection="1">
      <alignment horizontal="center"/>
      <protection locked="0"/>
    </xf>
    <xf numFmtId="0" fontId="5" fillId="0" borderId="6" xfId="0" applyFont="1" applyFill="1" applyBorder="1" applyAlignment="1">
      <alignment horizontal="left"/>
    </xf>
    <xf numFmtId="164" fontId="0" fillId="0" borderId="1" xfId="5" applyNumberFormat="1" applyFont="1" applyFill="1" applyBorder="1" applyProtection="1">
      <protection locked="0"/>
    </xf>
    <xf numFmtId="9" fontId="0" fillId="0" borderId="18" xfId="5" applyFont="1" applyFill="1" applyBorder="1" applyProtection="1">
      <protection locked="0"/>
    </xf>
    <xf numFmtId="0" fontId="0" fillId="0" borderId="8" xfId="0" quotePrefix="1" applyFill="1" applyBorder="1" applyAlignment="1">
      <alignment horizontal="center"/>
    </xf>
    <xf numFmtId="164" fontId="2" fillId="0" borderId="16" xfId="2" applyFont="1" applyFill="1" applyBorder="1" applyAlignment="1" applyProtection="1">
      <alignment horizontal="center"/>
      <protection locked="0"/>
    </xf>
    <xf numFmtId="164" fontId="2" fillId="0" borderId="21" xfId="2" applyFont="1" applyFill="1" applyBorder="1" applyAlignment="1" applyProtection="1">
      <alignment horizontal="center"/>
      <protection locked="0"/>
    </xf>
    <xf numFmtId="164" fontId="2" fillId="0" borderId="9" xfId="2" applyFont="1" applyFill="1" applyBorder="1" applyAlignment="1" applyProtection="1">
      <alignment horizontal="center"/>
      <protection locked="0"/>
    </xf>
    <xf numFmtId="164" fontId="0" fillId="0" borderId="5" xfId="5" applyNumberFormat="1" applyFont="1" applyFill="1" applyBorder="1" applyProtection="1">
      <protection locked="0"/>
    </xf>
    <xf numFmtId="0" fontId="2" fillId="0" borderId="39" xfId="0" applyFont="1" applyFill="1" applyBorder="1"/>
    <xf numFmtId="164" fontId="0" fillId="0" borderId="34" xfId="2" applyFont="1" applyFill="1" applyBorder="1"/>
    <xf numFmtId="164" fontId="0" fillId="0" borderId="40" xfId="2" applyFont="1" applyFill="1" applyBorder="1"/>
    <xf numFmtId="164" fontId="5" fillId="0" borderId="21" xfId="2" applyFont="1" applyFill="1" applyBorder="1" applyProtection="1">
      <protection locked="0"/>
    </xf>
    <xf numFmtId="164" fontId="5" fillId="0" borderId="5" xfId="2" applyFont="1" applyFill="1" applyBorder="1" applyProtection="1">
      <protection locked="0"/>
    </xf>
    <xf numFmtId="9" fontId="0" fillId="0" borderId="19" xfId="5" applyFont="1" applyFill="1" applyBorder="1" applyProtection="1">
      <protection locked="0"/>
    </xf>
    <xf numFmtId="10" fontId="7" fillId="5" borderId="8" xfId="5" applyNumberFormat="1" applyFont="1" applyFill="1" applyBorder="1" applyAlignment="1" applyProtection="1">
      <alignment horizontal="center"/>
      <protection locked="0"/>
    </xf>
    <xf numFmtId="10" fontId="7" fillId="5" borderId="9" xfId="5" applyNumberFormat="1" applyFont="1" applyFill="1" applyBorder="1" applyAlignment="1" applyProtection="1">
      <alignment horizontal="center"/>
      <protection locked="0"/>
    </xf>
    <xf numFmtId="10" fontId="7" fillId="5" borderId="18" xfId="5" applyNumberFormat="1" applyFont="1" applyFill="1" applyBorder="1" applyAlignment="1" applyProtection="1">
      <alignment horizontal="center"/>
      <protection locked="0"/>
    </xf>
    <xf numFmtId="10" fontId="7" fillId="5" borderId="19" xfId="5" applyNumberFormat="1" applyFont="1" applyFill="1" applyBorder="1" applyAlignment="1" applyProtection="1">
      <alignment horizontal="center"/>
      <protection locked="0"/>
    </xf>
    <xf numFmtId="9" fontId="7" fillId="5" borderId="8" xfId="5" applyFont="1" applyFill="1" applyBorder="1" applyAlignment="1" applyProtection="1">
      <alignment horizontal="center"/>
      <protection locked="0"/>
    </xf>
    <xf numFmtId="9" fontId="7" fillId="5" borderId="9" xfId="5" applyFont="1" applyFill="1" applyBorder="1" applyAlignment="1" applyProtection="1">
      <alignment horizontal="center"/>
      <protection locked="0"/>
    </xf>
    <xf numFmtId="9" fontId="7" fillId="5" borderId="18" xfId="5" applyFont="1" applyFill="1" applyBorder="1" applyAlignment="1" applyProtection="1">
      <alignment horizontal="center"/>
      <protection locked="0"/>
    </xf>
    <xf numFmtId="9" fontId="7" fillId="5" borderId="19" xfId="5" applyFont="1" applyFill="1" applyBorder="1" applyAlignment="1" applyProtection="1">
      <alignment horizontal="center"/>
      <protection locked="0"/>
    </xf>
    <xf numFmtId="9" fontId="7" fillId="5" borderId="1" xfId="5" applyFont="1" applyFill="1" applyBorder="1" applyAlignment="1" applyProtection="1">
      <alignment horizontal="center"/>
      <protection locked="0"/>
    </xf>
    <xf numFmtId="9" fontId="7" fillId="5" borderId="5" xfId="5" applyFont="1" applyFill="1" applyBorder="1" applyAlignment="1" applyProtection="1">
      <alignment horizontal="center"/>
      <protection locked="0"/>
    </xf>
    <xf numFmtId="10" fontId="7" fillId="5" borderId="1" xfId="5" applyNumberFormat="1" applyFont="1" applyFill="1" applyBorder="1" applyAlignment="1" applyProtection="1">
      <alignment horizontal="center"/>
      <protection locked="0"/>
    </xf>
    <xf numFmtId="10" fontId="7" fillId="5" borderId="5" xfId="5" applyNumberFormat="1" applyFont="1" applyFill="1" applyBorder="1" applyAlignment="1" applyProtection="1">
      <alignment horizontal="center"/>
      <protection locked="0"/>
    </xf>
    <xf numFmtId="44" fontId="0" fillId="0" borderId="0" xfId="0" applyNumberFormat="1" applyFill="1"/>
    <xf numFmtId="0" fontId="5" fillId="0" borderId="0" xfId="0" applyFont="1" applyFill="1" applyBorder="1"/>
    <xf numFmtId="164" fontId="0" fillId="0" borderId="0" xfId="0" applyNumberFormat="1" applyFill="1"/>
    <xf numFmtId="9" fontId="0" fillId="0" borderId="0" xfId="0" applyNumberFormat="1" applyFill="1"/>
    <xf numFmtId="164" fontId="5" fillId="0" borderId="0" xfId="2" applyFont="1" applyFill="1" applyBorder="1"/>
    <xf numFmtId="164" fontId="0" fillId="0" borderId="0" xfId="2" applyFont="1" applyFill="1"/>
    <xf numFmtId="0" fontId="2" fillId="0" borderId="0" xfId="0" applyFont="1" applyFill="1" applyAlignment="1">
      <alignment horizontal="center"/>
    </xf>
    <xf numFmtId="165" fontId="0" fillId="0" borderId="0" xfId="1" applyFont="1" applyFill="1"/>
    <xf numFmtId="0" fontId="5" fillId="0" borderId="41" xfId="0" applyFont="1" applyFill="1" applyBorder="1"/>
    <xf numFmtId="0" fontId="5" fillId="0" borderId="42" xfId="0" applyFont="1" applyFill="1" applyBorder="1"/>
    <xf numFmtId="0" fontId="5" fillId="0" borderId="43" xfId="0" applyFont="1" applyFill="1" applyBorder="1" applyAlignment="1">
      <alignment horizontal="right" wrapText="1"/>
    </xf>
    <xf numFmtId="165" fontId="0" fillId="0" borderId="44" xfId="1" applyFont="1" applyFill="1" applyBorder="1"/>
    <xf numFmtId="0" fontId="5" fillId="0" borderId="43" xfId="0" applyFont="1" applyFill="1" applyBorder="1" applyAlignment="1">
      <alignment horizontal="right"/>
    </xf>
    <xf numFmtId="0" fontId="0" fillId="0" borderId="44" xfId="0" applyFill="1" applyBorder="1"/>
    <xf numFmtId="0" fontId="0" fillId="0" borderId="43" xfId="0" applyFill="1" applyBorder="1"/>
    <xf numFmtId="0" fontId="5" fillId="0" borderId="45" xfId="0" applyFont="1" applyFill="1" applyBorder="1"/>
    <xf numFmtId="0" fontId="5" fillId="0" borderId="46" xfId="0" applyFont="1" applyFill="1" applyBorder="1"/>
    <xf numFmtId="0" fontId="2" fillId="0" borderId="43" xfId="0" applyFont="1" applyFill="1" applyBorder="1" applyAlignment="1">
      <alignment horizontal="right"/>
    </xf>
    <xf numFmtId="9" fontId="2" fillId="0" borderId="44" xfId="5" applyFont="1" applyFill="1" applyBorder="1"/>
    <xf numFmtId="0" fontId="2" fillId="0" borderId="47" xfId="0" applyFont="1" applyFill="1" applyBorder="1" applyAlignment="1">
      <alignment horizontal="right"/>
    </xf>
    <xf numFmtId="7" fontId="2" fillId="0" borderId="48" xfId="0" applyNumberFormat="1" applyFont="1" applyFill="1" applyBorder="1"/>
    <xf numFmtId="0" fontId="2" fillId="0" borderId="22" xfId="0" applyFont="1" applyFill="1" applyBorder="1"/>
    <xf numFmtId="164" fontId="1" fillId="0" borderId="16" xfId="2" applyFill="1" applyBorder="1" applyAlignment="1">
      <alignment horizontal="center"/>
    </xf>
    <xf numFmtId="164" fontId="1" fillId="0" borderId="21" xfId="2" applyFill="1" applyBorder="1" applyAlignment="1">
      <alignment horizontal="center"/>
    </xf>
    <xf numFmtId="0" fontId="2" fillId="0" borderId="49" xfId="0" applyFont="1" applyFill="1" applyBorder="1"/>
    <xf numFmtId="0" fontId="0" fillId="0" borderId="49" xfId="0" applyFill="1" applyBorder="1"/>
    <xf numFmtId="0" fontId="2" fillId="0" borderId="50" xfId="0" applyFont="1" applyFill="1" applyBorder="1"/>
    <xf numFmtId="164" fontId="2" fillId="4" borderId="18" xfId="2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>
      <alignment horizontal="center" wrapText="1"/>
    </xf>
    <xf numFmtId="0" fontId="2" fillId="0" borderId="23" xfId="0" applyFont="1" applyFill="1" applyBorder="1"/>
    <xf numFmtId="164" fontId="2" fillId="0" borderId="11" xfId="2" applyFont="1" applyFill="1" applyBorder="1" applyAlignment="1" applyProtection="1">
      <alignment horizontal="center"/>
      <protection locked="0"/>
    </xf>
    <xf numFmtId="164" fontId="1" fillId="0" borderId="15" xfId="2" applyFill="1" applyBorder="1" applyAlignment="1">
      <alignment horizontal="center"/>
    </xf>
    <xf numFmtId="164" fontId="1" fillId="0" borderId="6" xfId="2" applyFill="1" applyBorder="1" applyAlignment="1" applyProtection="1">
      <alignment horizontal="center"/>
      <protection locked="0"/>
    </xf>
    <xf numFmtId="164" fontId="2" fillId="0" borderId="6" xfId="2" applyFont="1" applyFill="1" applyBorder="1" applyAlignment="1" applyProtection="1">
      <alignment horizontal="center"/>
      <protection locked="0"/>
    </xf>
    <xf numFmtId="164" fontId="2" fillId="0" borderId="51" xfId="2" applyFont="1" applyFill="1" applyBorder="1" applyAlignment="1" applyProtection="1">
      <alignment horizontal="center"/>
      <protection locked="0"/>
    </xf>
    <xf numFmtId="164" fontId="1" fillId="0" borderId="6" xfId="2" applyFill="1" applyBorder="1" applyAlignment="1">
      <alignment horizont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164" fontId="10" fillId="0" borderId="1" xfId="2" applyFont="1" applyFill="1" applyBorder="1" applyAlignment="1" applyProtection="1">
      <alignment horizontal="center"/>
      <protection locked="0"/>
    </xf>
    <xf numFmtId="0" fontId="19" fillId="0" borderId="0" xfId="0" applyFont="1" applyFill="1"/>
    <xf numFmtId="0" fontId="20" fillId="0" borderId="0" xfId="0" applyFont="1" applyFill="1" applyBorder="1"/>
    <xf numFmtId="164" fontId="20" fillId="0" borderId="0" xfId="0" applyNumberFormat="1" applyFont="1" applyFill="1"/>
    <xf numFmtId="0" fontId="20" fillId="0" borderId="0" xfId="0" applyFont="1" applyFill="1"/>
    <xf numFmtId="170" fontId="2" fillId="0" borderId="2" xfId="2" applyNumberFormat="1" applyFont="1" applyFill="1" applyBorder="1" applyProtection="1">
      <protection locked="0"/>
    </xf>
    <xf numFmtId="0" fontId="0" fillId="0" borderId="0" xfId="0" applyFill="1" applyAlignment="1">
      <alignment horizontal="center" vertical="center"/>
    </xf>
    <xf numFmtId="0" fontId="0" fillId="6" borderId="0" xfId="0" applyFill="1"/>
    <xf numFmtId="0" fontId="2" fillId="7" borderId="0" xfId="0" applyFont="1" applyFill="1" applyAlignment="1">
      <alignment horizontal="center"/>
    </xf>
    <xf numFmtId="0" fontId="5" fillId="0" borderId="0" xfId="0" applyFont="1"/>
    <xf numFmtId="0" fontId="0" fillId="8" borderId="66" xfId="0" applyFill="1" applyBorder="1" applyAlignment="1">
      <alignment horizontal="center" vertical="center"/>
    </xf>
    <xf numFmtId="0" fontId="0" fillId="8" borderId="67" xfId="0" applyFill="1" applyBorder="1" applyAlignment="1">
      <alignment horizontal="center" vertical="center"/>
    </xf>
    <xf numFmtId="0" fontId="5" fillId="8" borderId="66" xfId="0" applyFont="1" applyFill="1" applyBorder="1" applyAlignment="1">
      <alignment horizontal="center" vertical="center"/>
    </xf>
    <xf numFmtId="2" fontId="0" fillId="6" borderId="0" xfId="0" applyNumberFormat="1" applyFill="1"/>
    <xf numFmtId="2" fontId="0" fillId="0" borderId="0" xfId="0" applyNumberFormat="1"/>
    <xf numFmtId="2" fontId="0" fillId="0" borderId="68" xfId="0" applyNumberFormat="1" applyFill="1" applyBorder="1" applyAlignment="1">
      <alignment horizontal="center" vertical="center"/>
    </xf>
    <xf numFmtId="2" fontId="0" fillId="0" borderId="69" xfId="0" applyNumberFormat="1" applyFill="1" applyBorder="1" applyAlignment="1">
      <alignment horizontal="center" vertical="center"/>
    </xf>
    <xf numFmtId="2" fontId="0" fillId="0" borderId="68" xfId="0" applyNumberFormat="1" applyBorder="1" applyAlignment="1">
      <alignment horizontal="center" vertical="center"/>
    </xf>
    <xf numFmtId="2" fontId="0" fillId="0" borderId="69" xfId="0" applyNumberFormat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2" fontId="0" fillId="7" borderId="68" xfId="0" applyNumberFormat="1" applyFill="1" applyBorder="1" applyAlignment="1">
      <alignment horizontal="center" vertical="center"/>
    </xf>
    <xf numFmtId="2" fontId="0" fillId="7" borderId="69" xfId="0" applyNumberFormat="1" applyFill="1" applyBorder="1" applyAlignment="1">
      <alignment horizontal="center" vertical="center"/>
    </xf>
    <xf numFmtId="2" fontId="5" fillId="0" borderId="0" xfId="0" applyNumberFormat="1" applyFont="1"/>
    <xf numFmtId="2" fontId="5" fillId="0" borderId="68" xfId="0" applyNumberFormat="1" applyFont="1" applyFill="1" applyBorder="1" applyAlignment="1">
      <alignment horizontal="center" vertical="center"/>
    </xf>
    <xf numFmtId="164" fontId="21" fillId="9" borderId="0" xfId="0" applyNumberFormat="1" applyFont="1" applyFill="1" applyAlignment="1">
      <alignment horizontal="center" vertical="center"/>
    </xf>
    <xf numFmtId="0" fontId="12" fillId="0" borderId="0" xfId="0" applyFont="1"/>
    <xf numFmtId="172" fontId="0" fillId="0" borderId="70" xfId="0" applyNumberFormat="1" applyFill="1" applyBorder="1" applyAlignment="1">
      <alignment horizontal="center" vertical="center"/>
    </xf>
    <xf numFmtId="172" fontId="0" fillId="0" borderId="71" xfId="0" applyNumberForma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4" fontId="0" fillId="0" borderId="0" xfId="2" applyFont="1" applyFill="1" applyAlignment="1">
      <alignment horizontal="center" vertical="center"/>
    </xf>
    <xf numFmtId="173" fontId="0" fillId="0" borderId="0" xfId="5" applyNumberFormat="1" applyFont="1" applyFill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44" fontId="0" fillId="0" borderId="0" xfId="0" applyNumberFormat="1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164" fontId="21" fillId="10" borderId="0" xfId="0" applyNumberFormat="1" applyFont="1" applyFill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164" fontId="5" fillId="0" borderId="0" xfId="2" applyFont="1" applyFill="1" applyAlignment="1">
      <alignment horizontal="center" vertical="center"/>
    </xf>
    <xf numFmtId="2" fontId="13" fillId="6" borderId="0" xfId="0" applyNumberFormat="1" applyFont="1" applyFill="1"/>
    <xf numFmtId="2" fontId="22" fillId="11" borderId="0" xfId="0" applyNumberFormat="1" applyFont="1" applyFill="1"/>
    <xf numFmtId="0" fontId="0" fillId="0" borderId="0" xfId="0" applyFill="1" applyAlignment="1">
      <alignment horizontal="left" vertical="center"/>
    </xf>
    <xf numFmtId="0" fontId="5" fillId="12" borderId="72" xfId="0" applyFont="1" applyFill="1" applyBorder="1" applyAlignment="1">
      <alignment horizontal="left" vertical="center"/>
    </xf>
    <xf numFmtId="0" fontId="5" fillId="12" borderId="73" xfId="0" applyFont="1" applyFill="1" applyBorder="1" applyAlignment="1">
      <alignment horizontal="left" vertical="center"/>
    </xf>
    <xf numFmtId="0" fontId="0" fillId="12" borderId="73" xfId="0" applyFill="1" applyBorder="1" applyAlignment="1">
      <alignment horizontal="left" vertical="center"/>
    </xf>
    <xf numFmtId="0" fontId="0" fillId="7" borderId="73" xfId="0" applyFill="1" applyBorder="1" applyAlignment="1">
      <alignment horizontal="left" vertical="center"/>
    </xf>
    <xf numFmtId="0" fontId="0" fillId="12" borderId="74" xfId="0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21" fillId="9" borderId="0" xfId="0" applyFont="1" applyFill="1" applyAlignment="1">
      <alignment horizontal="left" vertical="center"/>
    </xf>
    <xf numFmtId="0" fontId="21" fillId="10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169" fontId="0" fillId="7" borderId="0" xfId="0" applyNumberFormat="1" applyFill="1"/>
    <xf numFmtId="169" fontId="0" fillId="7" borderId="0" xfId="0" applyNumberFormat="1" applyFill="1" applyBorder="1"/>
    <xf numFmtId="0" fontId="5" fillId="10" borderId="0" xfId="0" applyFont="1" applyFill="1" applyBorder="1"/>
    <xf numFmtId="0" fontId="0" fillId="10" borderId="0" xfId="0" applyFill="1" applyBorder="1"/>
    <xf numFmtId="0" fontId="14" fillId="10" borderId="0" xfId="0" applyFont="1" applyFill="1" applyBorder="1" applyAlignment="1">
      <alignment wrapText="1"/>
    </xf>
    <xf numFmtId="0" fontId="0" fillId="10" borderId="0" xfId="0" applyFill="1"/>
    <xf numFmtId="0" fontId="5" fillId="10" borderId="0" xfId="0" applyFont="1" applyFill="1"/>
    <xf numFmtId="4" fontId="0" fillId="10" borderId="0" xfId="0" applyNumberFormat="1" applyFill="1"/>
    <xf numFmtId="174" fontId="0" fillId="10" borderId="0" xfId="0" applyNumberFormat="1" applyFill="1"/>
    <xf numFmtId="169" fontId="0" fillId="10" borderId="0" xfId="0" applyNumberFormat="1" applyFill="1"/>
    <xf numFmtId="175" fontId="0" fillId="10" borderId="0" xfId="0" applyNumberFormat="1" applyFill="1"/>
    <xf numFmtId="2" fontId="2" fillId="0" borderId="2" xfId="0" applyNumberFormat="1" applyFont="1" applyFill="1" applyBorder="1" applyProtection="1">
      <protection locked="0"/>
    </xf>
    <xf numFmtId="0" fontId="0" fillId="4" borderId="0" xfId="0" applyFill="1"/>
    <xf numFmtId="0" fontId="5" fillId="4" borderId="0" xfId="0" applyFont="1" applyFill="1"/>
    <xf numFmtId="10" fontId="0" fillId="10" borderId="0" xfId="0" applyNumberFormat="1" applyFill="1"/>
    <xf numFmtId="0" fontId="13" fillId="10" borderId="0" xfId="0" applyFont="1" applyFill="1"/>
    <xf numFmtId="0" fontId="2" fillId="10" borderId="0" xfId="0" applyFont="1" applyFill="1"/>
    <xf numFmtId="0" fontId="16" fillId="10" borderId="0" xfId="0" applyFont="1" applyFill="1"/>
    <xf numFmtId="169" fontId="5" fillId="10" borderId="0" xfId="0" applyNumberFormat="1" applyFont="1" applyFill="1"/>
    <xf numFmtId="0" fontId="14" fillId="10" borderId="0" xfId="0" applyFont="1" applyFill="1" applyAlignment="1">
      <alignment horizontal="center" vertical="center" wrapText="1"/>
    </xf>
    <xf numFmtId="0" fontId="14" fillId="10" borderId="0" xfId="0" applyFont="1" applyFill="1" applyAlignment="1">
      <alignment horizontal="center" vertical="center"/>
    </xf>
    <xf numFmtId="169" fontId="14" fillId="10" borderId="0" xfId="0" applyNumberFormat="1" applyFont="1" applyFill="1"/>
    <xf numFmtId="10" fontId="14" fillId="10" borderId="0" xfId="0" applyNumberFormat="1" applyFont="1" applyFill="1"/>
    <xf numFmtId="2" fontId="14" fillId="10" borderId="0" xfId="0" applyNumberFormat="1" applyFont="1" applyFill="1"/>
    <xf numFmtId="0" fontId="5" fillId="10" borderId="0" xfId="0" applyFont="1" applyFill="1" applyAlignment="1">
      <alignment horizontal="center"/>
    </xf>
    <xf numFmtId="0" fontId="14" fillId="10" borderId="0" xfId="0" applyFont="1" applyFill="1"/>
    <xf numFmtId="10" fontId="2" fillId="0" borderId="2" xfId="5" applyNumberFormat="1" applyFont="1" applyFill="1" applyBorder="1" applyProtection="1">
      <protection locked="0"/>
    </xf>
    <xf numFmtId="9" fontId="0" fillId="3" borderId="52" xfId="5" applyFont="1" applyFill="1" applyBorder="1" applyProtection="1">
      <protection locked="0"/>
    </xf>
    <xf numFmtId="9" fontId="0" fillId="3" borderId="53" xfId="5" applyFont="1" applyFill="1" applyBorder="1" applyProtection="1">
      <protection locked="0"/>
    </xf>
    <xf numFmtId="9" fontId="0" fillId="3" borderId="2" xfId="5" applyFont="1" applyFill="1" applyBorder="1" applyProtection="1">
      <protection locked="0"/>
    </xf>
    <xf numFmtId="0" fontId="0" fillId="0" borderId="0" xfId="0" applyFill="1" applyBorder="1"/>
    <xf numFmtId="164" fontId="2" fillId="4" borderId="19" xfId="2" applyFont="1" applyFill="1" applyBorder="1" applyAlignment="1" applyProtection="1">
      <alignment horizontal="center"/>
      <protection locked="0"/>
    </xf>
    <xf numFmtId="165" fontId="5" fillId="0" borderId="38" xfId="1" applyNumberFormat="1" applyFont="1" applyFill="1" applyBorder="1" applyAlignment="1">
      <alignment horizontal="center"/>
    </xf>
    <xf numFmtId="0" fontId="2" fillId="0" borderId="60" xfId="4" applyFont="1" applyFill="1" applyBorder="1" applyAlignment="1">
      <alignment horizontal="center"/>
    </xf>
    <xf numFmtId="164" fontId="5" fillId="0" borderId="57" xfId="4" applyNumberFormat="1" applyFont="1" applyFill="1" applyBorder="1" applyAlignment="1">
      <alignment horizontal="center"/>
    </xf>
    <xf numFmtId="164" fontId="5" fillId="0" borderId="58" xfId="4" applyNumberFormat="1" applyFont="1" applyFill="1" applyBorder="1" applyAlignment="1">
      <alignment horizontal="center"/>
    </xf>
    <xf numFmtId="164" fontId="5" fillId="0" borderId="59" xfId="4" applyNumberFormat="1" applyFont="1" applyFill="1" applyBorder="1" applyAlignment="1">
      <alignment horizontal="center"/>
    </xf>
    <xf numFmtId="166" fontId="2" fillId="0" borderId="60" xfId="4" applyNumberFormat="1" applyFont="1" applyFill="1" applyBorder="1" applyAlignment="1">
      <alignment horizontal="center"/>
    </xf>
    <xf numFmtId="164" fontId="5" fillId="0" borderId="60" xfId="4" applyNumberFormat="1" applyFont="1" applyFill="1" applyBorder="1" applyAlignment="1">
      <alignment horizontal="center"/>
    </xf>
    <xf numFmtId="164" fontId="5" fillId="0" borderId="0" xfId="4" applyNumberFormat="1" applyFont="1" applyFill="1" applyBorder="1" applyAlignment="1">
      <alignment horizontal="center"/>
    </xf>
    <xf numFmtId="164" fontId="5" fillId="0" borderId="61" xfId="4" applyNumberFormat="1" applyFont="1" applyFill="1" applyBorder="1" applyAlignment="1">
      <alignment horizontal="center"/>
    </xf>
    <xf numFmtId="0" fontId="2" fillId="0" borderId="62" xfId="4" applyFont="1" applyFill="1" applyBorder="1" applyAlignment="1">
      <alignment horizontal="center"/>
    </xf>
    <xf numFmtId="9" fontId="5" fillId="0" borderId="63" xfId="5" applyFont="1" applyFill="1" applyBorder="1" applyAlignment="1">
      <alignment horizontal="center"/>
    </xf>
    <xf numFmtId="9" fontId="5" fillId="0" borderId="64" xfId="5" applyFont="1" applyFill="1" applyBorder="1" applyAlignment="1">
      <alignment horizontal="center"/>
    </xf>
    <xf numFmtId="9" fontId="5" fillId="0" borderId="65" xfId="5" applyFont="1" applyFill="1" applyBorder="1" applyAlignment="1">
      <alignment horizontal="center"/>
    </xf>
    <xf numFmtId="164" fontId="5" fillId="0" borderId="63" xfId="4" applyNumberFormat="1" applyFill="1" applyBorder="1"/>
    <xf numFmtId="164" fontId="5" fillId="0" borderId="38" xfId="4" applyNumberFormat="1" applyFill="1" applyBorder="1"/>
    <xf numFmtId="10" fontId="2" fillId="0" borderId="44" xfId="5" applyNumberFormat="1" applyFont="1" applyFill="1" applyBorder="1"/>
    <xf numFmtId="0" fontId="23" fillId="0" borderId="0" xfId="0" applyFont="1"/>
    <xf numFmtId="0" fontId="2" fillId="0" borderId="75" xfId="0" applyFont="1" applyBorder="1"/>
    <xf numFmtId="0" fontId="0" fillId="0" borderId="0" xfId="0" applyFont="1" applyAlignment="1">
      <alignment horizontal="right"/>
    </xf>
    <xf numFmtId="10" fontId="2" fillId="14" borderId="75" xfId="0" applyNumberFormat="1" applyFont="1" applyFill="1" applyBorder="1" applyAlignment="1">
      <alignment horizontal="center"/>
    </xf>
    <xf numFmtId="0" fontId="0" fillId="0" borderId="2" xfId="0" applyBorder="1"/>
    <xf numFmtId="0" fontId="1" fillId="10" borderId="0" xfId="0" applyFont="1" applyFill="1"/>
    <xf numFmtId="8" fontId="0" fillId="10" borderId="0" xfId="0" applyNumberFormat="1" applyFill="1"/>
    <xf numFmtId="0" fontId="0" fillId="10" borderId="55" xfId="0" applyFill="1" applyBorder="1"/>
    <xf numFmtId="4" fontId="0" fillId="10" borderId="54" xfId="0" applyNumberFormat="1" applyFill="1" applyBorder="1"/>
    <xf numFmtId="4" fontId="0" fillId="10" borderId="44" xfId="0" applyNumberFormat="1" applyFill="1" applyBorder="1"/>
    <xf numFmtId="0" fontId="0" fillId="10" borderId="44" xfId="0" applyFill="1" applyBorder="1"/>
    <xf numFmtId="174" fontId="0" fillId="10" borderId="44" xfId="0" applyNumberFormat="1" applyFill="1" applyBorder="1"/>
    <xf numFmtId="169" fontId="0" fillId="7" borderId="44" xfId="0" applyNumberFormat="1" applyFill="1" applyBorder="1"/>
    <xf numFmtId="169" fontId="0" fillId="10" borderId="44" xfId="0" applyNumberFormat="1" applyFill="1" applyBorder="1"/>
    <xf numFmtId="4" fontId="0" fillId="10" borderId="52" xfId="0" applyNumberFormat="1" applyFill="1" applyBorder="1"/>
    <xf numFmtId="4" fontId="0" fillId="10" borderId="34" xfId="0" applyNumberFormat="1" applyFill="1" applyBorder="1"/>
    <xf numFmtId="0" fontId="0" fillId="10" borderId="34" xfId="0" applyFill="1" applyBorder="1"/>
    <xf numFmtId="174" fontId="0" fillId="10" borderId="34" xfId="0" applyNumberFormat="1" applyFill="1" applyBorder="1"/>
    <xf numFmtId="169" fontId="0" fillId="7" borderId="34" xfId="0" applyNumberFormat="1" applyFill="1" applyBorder="1"/>
    <xf numFmtId="169" fontId="0" fillId="10" borderId="34" xfId="0" applyNumberFormat="1" applyFill="1" applyBorder="1"/>
    <xf numFmtId="0" fontId="0" fillId="10" borderId="79" xfId="0" applyFill="1" applyBorder="1"/>
    <xf numFmtId="0" fontId="0" fillId="10" borderId="81" xfId="0" applyFill="1" applyBorder="1"/>
    <xf numFmtId="0" fontId="0" fillId="16" borderId="0" xfId="0" applyFill="1"/>
    <xf numFmtId="0" fontId="0" fillId="16" borderId="80" xfId="0" applyFill="1" applyBorder="1"/>
    <xf numFmtId="0" fontId="5" fillId="16" borderId="0" xfId="0" applyFont="1" applyFill="1" applyBorder="1"/>
    <xf numFmtId="0" fontId="0" fillId="16" borderId="0" xfId="0" applyFill="1" applyBorder="1"/>
    <xf numFmtId="2" fontId="0" fillId="16" borderId="44" xfId="0" applyNumberFormat="1" applyFill="1" applyBorder="1"/>
    <xf numFmtId="2" fontId="0" fillId="16" borderId="34" xfId="0" applyNumberFormat="1" applyFill="1" applyBorder="1"/>
    <xf numFmtId="2" fontId="0" fillId="16" borderId="0" xfId="0" applyNumberFormat="1" applyFill="1" applyBorder="1"/>
    <xf numFmtId="0" fontId="14" fillId="16" borderId="0" xfId="0" applyFont="1" applyFill="1" applyBorder="1" applyAlignment="1">
      <alignment wrapText="1"/>
    </xf>
    <xf numFmtId="164" fontId="0" fillId="0" borderId="51" xfId="2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176" fontId="0" fillId="0" borderId="1" xfId="1" applyNumberFormat="1" applyFont="1" applyFill="1" applyBorder="1" applyProtection="1">
      <protection locked="0"/>
    </xf>
    <xf numFmtId="176" fontId="0" fillId="0" borderId="1" xfId="1" applyNumberFormat="1" applyFont="1" applyFill="1" applyBorder="1" applyAlignment="1">
      <alignment horizontal="center"/>
    </xf>
    <xf numFmtId="176" fontId="0" fillId="0" borderId="1" xfId="0" applyNumberFormat="1" applyFill="1" applyBorder="1"/>
    <xf numFmtId="171" fontId="0" fillId="10" borderId="0" xfId="0" applyNumberFormat="1" applyFill="1"/>
    <xf numFmtId="0" fontId="1" fillId="16" borderId="0" xfId="0" applyFont="1" applyFill="1" applyBorder="1"/>
    <xf numFmtId="0" fontId="0" fillId="10" borderId="0" xfId="0" applyFill="1" applyAlignment="1">
      <alignment horizontal="left"/>
    </xf>
    <xf numFmtId="0" fontId="13" fillId="0" borderId="0" xfId="0" applyFont="1" applyFill="1"/>
    <xf numFmtId="0" fontId="24" fillId="0" borderId="0" xfId="0" applyFont="1" applyFill="1"/>
    <xf numFmtId="0" fontId="0" fillId="0" borderId="0" xfId="0" applyFill="1" applyAlignment="1">
      <alignment horizontal="center"/>
    </xf>
    <xf numFmtId="0" fontId="24" fillId="0" borderId="0" xfId="0" applyFont="1" applyFill="1" applyAlignment="1">
      <alignment horizontal="left"/>
    </xf>
    <xf numFmtId="169" fontId="2" fillId="0" borderId="0" xfId="0" applyNumberFormat="1" applyFont="1" applyFill="1"/>
    <xf numFmtId="169" fontId="0" fillId="0" borderId="0" xfId="0" applyNumberFormat="1" applyFill="1"/>
    <xf numFmtId="164" fontId="18" fillId="0" borderId="0" xfId="2" applyFont="1" applyFill="1" applyBorder="1" applyProtection="1">
      <protection locked="0"/>
    </xf>
    <xf numFmtId="164" fontId="7" fillId="17" borderId="10" xfId="2" applyFont="1" applyFill="1" applyBorder="1" applyAlignment="1" applyProtection="1">
      <protection locked="0"/>
    </xf>
    <xf numFmtId="164" fontId="7" fillId="17" borderId="26" xfId="2" applyFont="1" applyFill="1" applyBorder="1" applyAlignment="1" applyProtection="1">
      <protection locked="0"/>
    </xf>
    <xf numFmtId="164" fontId="7" fillId="17" borderId="11" xfId="2" applyFont="1" applyFill="1" applyBorder="1" applyAlignment="1" applyProtection="1">
      <protection locked="0"/>
    </xf>
    <xf numFmtId="0" fontId="1" fillId="0" borderId="6" xfId="0" quotePrefix="1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/>
    <xf numFmtId="177" fontId="0" fillId="7" borderId="0" xfId="0" applyNumberFormat="1" applyFill="1"/>
    <xf numFmtId="0" fontId="4" fillId="0" borderId="0" xfId="0" applyFont="1" applyFill="1" applyBorder="1" applyAlignment="1"/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164" fontId="0" fillId="0" borderId="0" xfId="2" applyFont="1" applyFill="1" applyBorder="1" applyAlignment="1" applyProtection="1">
      <alignment horizontal="center"/>
      <protection locked="0"/>
    </xf>
    <xf numFmtId="164" fontId="0" fillId="0" borderId="0" xfId="2" applyFont="1" applyFill="1" applyBorder="1" applyAlignment="1" applyProtection="1">
      <protection locked="0"/>
    </xf>
    <xf numFmtId="164" fontId="10" fillId="0" borderId="0" xfId="2" applyFont="1" applyFill="1" applyBorder="1" applyAlignment="1" applyProtection="1">
      <alignment horizontal="center"/>
      <protection locked="0"/>
    </xf>
    <xf numFmtId="164" fontId="2" fillId="0" borderId="0" xfId="2" applyFont="1" applyFill="1" applyBorder="1" applyAlignment="1" applyProtection="1">
      <alignment horizontal="center"/>
      <protection locked="0"/>
    </xf>
    <xf numFmtId="166" fontId="0" fillId="0" borderId="0" xfId="0" applyNumberFormat="1" applyFill="1" applyBorder="1"/>
    <xf numFmtId="10" fontId="7" fillId="0" borderId="0" xfId="5" applyNumberFormat="1" applyFont="1" applyFill="1" applyBorder="1" applyAlignment="1" applyProtection="1">
      <alignment horizontal="center"/>
      <protection locked="0"/>
    </xf>
    <xf numFmtId="164" fontId="10" fillId="0" borderId="5" xfId="2" applyFont="1" applyFill="1" applyBorder="1" applyAlignment="1" applyProtection="1">
      <alignment horizontal="center"/>
      <protection locked="0"/>
    </xf>
    <xf numFmtId="166" fontId="0" fillId="0" borderId="9" xfId="0" applyNumberFormat="1" applyFill="1" applyBorder="1" applyAlignment="1">
      <alignment horizontal="center"/>
    </xf>
    <xf numFmtId="0" fontId="2" fillId="0" borderId="24" xfId="0" applyFont="1" applyFill="1" applyBorder="1" applyAlignment="1"/>
    <xf numFmtId="0" fontId="2" fillId="0" borderId="0" xfId="0" applyFont="1" applyFill="1" applyBorder="1" applyAlignment="1"/>
    <xf numFmtId="0" fontId="0" fillId="0" borderId="0" xfId="0" quotePrefix="1" applyFill="1" applyBorder="1" applyAlignment="1">
      <alignment horizontal="center"/>
    </xf>
    <xf numFmtId="164" fontId="0" fillId="0" borderId="0" xfId="2" applyFont="1" applyFill="1" applyBorder="1" applyProtection="1">
      <protection locked="0"/>
    </xf>
    <xf numFmtId="0" fontId="0" fillId="0" borderId="82" xfId="0" applyFill="1" applyBorder="1" applyAlignment="1">
      <alignment horizontal="center"/>
    </xf>
    <xf numFmtId="164" fontId="0" fillId="0" borderId="24" xfId="2" applyFont="1" applyFill="1" applyBorder="1" applyAlignment="1" applyProtection="1">
      <alignment horizontal="center"/>
      <protection locked="0"/>
    </xf>
    <xf numFmtId="164" fontId="0" fillId="0" borderId="51" xfId="2" applyFont="1" applyFill="1" applyBorder="1" applyProtection="1">
      <protection locked="0"/>
    </xf>
    <xf numFmtId="164" fontId="2" fillId="0" borderId="36" xfId="2" applyFont="1" applyFill="1" applyBorder="1" applyAlignment="1" applyProtection="1">
      <alignment horizontal="center"/>
      <protection locked="0"/>
    </xf>
    <xf numFmtId="0" fontId="2" fillId="0" borderId="51" xfId="0" applyFont="1" applyFill="1" applyBorder="1" applyAlignment="1">
      <alignment horizontal="center"/>
    </xf>
    <xf numFmtId="0" fontId="0" fillId="0" borderId="9" xfId="0" quotePrefix="1" applyFill="1" applyBorder="1" applyAlignment="1">
      <alignment horizontal="center"/>
    </xf>
    <xf numFmtId="164" fontId="0" fillId="0" borderId="19" xfId="2" applyFont="1" applyFill="1" applyBorder="1" applyAlignment="1" applyProtection="1">
      <alignment horizontal="center"/>
      <protection locked="0"/>
    </xf>
    <xf numFmtId="167" fontId="2" fillId="0" borderId="0" xfId="0" applyNumberFormat="1" applyFont="1" applyFill="1" applyBorder="1" applyAlignment="1"/>
    <xf numFmtId="9" fontId="7" fillId="0" borderId="0" xfId="5" applyFont="1" applyFill="1" applyBorder="1" applyAlignment="1" applyProtection="1">
      <alignment horizontal="center"/>
      <protection locked="0"/>
    </xf>
    <xf numFmtId="0" fontId="3" fillId="0" borderId="35" xfId="0" applyFont="1" applyFill="1" applyBorder="1" applyAlignment="1"/>
    <xf numFmtId="0" fontId="3" fillId="0" borderId="23" xfId="0" applyFont="1" applyFill="1" applyBorder="1" applyAlignment="1"/>
    <xf numFmtId="0" fontId="3" fillId="0" borderId="24" xfId="0" applyFont="1" applyFill="1" applyBorder="1" applyAlignment="1"/>
    <xf numFmtId="164" fontId="0" fillId="0" borderId="0" xfId="2" applyFont="1" applyFill="1" applyBorder="1" applyAlignment="1">
      <alignment horizontal="center"/>
    </xf>
    <xf numFmtId="166" fontId="0" fillId="0" borderId="5" xfId="0" applyNumberFormat="1" applyFill="1" applyBorder="1" applyAlignment="1">
      <alignment horizontal="center"/>
    </xf>
    <xf numFmtId="165" fontId="5" fillId="0" borderId="0" xfId="1" applyFont="1" applyFill="1" applyBorder="1" applyAlignment="1" applyProtection="1">
      <alignment horizontal="center"/>
      <protection locked="0"/>
    </xf>
    <xf numFmtId="164" fontId="5" fillId="0" borderId="0" xfId="2" applyFont="1" applyFill="1" applyBorder="1" applyAlignment="1" applyProtection="1">
      <alignment horizontal="center"/>
      <protection locked="0"/>
    </xf>
    <xf numFmtId="4" fontId="2" fillId="0" borderId="0" xfId="2" applyNumberFormat="1" applyFont="1" applyFill="1" applyBorder="1" applyAlignment="1" applyProtection="1">
      <alignment horizontal="center"/>
      <protection locked="0"/>
    </xf>
    <xf numFmtId="164" fontId="2" fillId="0" borderId="0" xfId="2" applyFont="1" applyFill="1" applyBorder="1" applyAlignment="1">
      <alignment horizontal="center"/>
    </xf>
    <xf numFmtId="9" fontId="0" fillId="0" borderId="0" xfId="5" applyFont="1" applyFill="1" applyBorder="1" applyProtection="1">
      <protection locked="0"/>
    </xf>
    <xf numFmtId="9" fontId="0" fillId="0" borderId="0" xfId="5" applyFont="1" applyFill="1" applyBorder="1"/>
    <xf numFmtId="164" fontId="0" fillId="0" borderId="0" xfId="5" applyNumberFormat="1" applyFont="1" applyFill="1" applyBorder="1" applyProtection="1">
      <protection locked="0"/>
    </xf>
    <xf numFmtId="164" fontId="0" fillId="0" borderId="0" xfId="2" applyFont="1" applyFill="1" applyBorder="1"/>
    <xf numFmtId="164" fontId="5" fillId="0" borderId="0" xfId="2" applyFont="1" applyFill="1" applyBorder="1" applyProtection="1">
      <protection locked="0"/>
    </xf>
    <xf numFmtId="164" fontId="0" fillId="0" borderId="56" xfId="2" applyFont="1" applyFill="1" applyBorder="1" applyProtection="1">
      <protection locked="0"/>
    </xf>
    <xf numFmtId="164" fontId="0" fillId="0" borderId="56" xfId="2" applyFont="1" applyFill="1" applyBorder="1"/>
    <xf numFmtId="0" fontId="4" fillId="0" borderId="0" xfId="0" applyFont="1" applyFill="1" applyBorder="1" applyAlignment="1">
      <alignment horizontal="center"/>
    </xf>
    <xf numFmtId="164" fontId="1" fillId="0" borderId="0" xfId="2" applyFill="1" applyBorder="1" applyAlignment="1">
      <alignment horizontal="center"/>
    </xf>
    <xf numFmtId="164" fontId="1" fillId="0" borderId="0" xfId="2" applyFill="1" applyBorder="1" applyAlignment="1" applyProtection="1">
      <alignment horizontal="center"/>
      <protection locked="0"/>
    </xf>
    <xf numFmtId="0" fontId="2" fillId="0" borderId="82" xfId="0" applyFont="1" applyFill="1" applyBorder="1" applyAlignment="1">
      <alignment horizontal="center"/>
    </xf>
    <xf numFmtId="164" fontId="1" fillId="0" borderId="24" xfId="2" applyFill="1" applyBorder="1" applyAlignment="1">
      <alignment horizontal="center"/>
    </xf>
    <xf numFmtId="164" fontId="1" fillId="0" borderId="51" xfId="2" applyFill="1" applyBorder="1" applyAlignment="1" applyProtection="1">
      <alignment horizontal="center"/>
      <protection locked="0"/>
    </xf>
    <xf numFmtId="164" fontId="1" fillId="0" borderId="51" xfId="2" applyFill="1" applyBorder="1" applyAlignment="1">
      <alignment horizontal="center"/>
    </xf>
    <xf numFmtId="4" fontId="2" fillId="0" borderId="1" xfId="2" applyNumberFormat="1" applyFont="1" applyFill="1" applyBorder="1" applyAlignment="1" applyProtection="1">
      <alignment horizontal="center"/>
      <protection locked="0"/>
    </xf>
    <xf numFmtId="0" fontId="0" fillId="18" borderId="0" xfId="0" applyFill="1"/>
    <xf numFmtId="0" fontId="15" fillId="10" borderId="63" xfId="0" applyFont="1" applyFill="1" applyBorder="1" applyAlignment="1">
      <alignment horizontal="center"/>
    </xf>
    <xf numFmtId="0" fontId="15" fillId="10" borderId="64" xfId="0" applyFont="1" applyFill="1" applyBorder="1" applyAlignment="1">
      <alignment horizontal="center"/>
    </xf>
    <xf numFmtId="0" fontId="15" fillId="10" borderId="65" xfId="0" applyFont="1" applyFill="1" applyBorder="1" applyAlignment="1">
      <alignment horizontal="center"/>
    </xf>
    <xf numFmtId="0" fontId="4" fillId="13" borderId="63" xfId="0" applyFont="1" applyFill="1" applyBorder="1" applyAlignment="1">
      <alignment horizontal="center"/>
    </xf>
    <xf numFmtId="0" fontId="4" fillId="13" borderId="64" xfId="0" applyFont="1" applyFill="1" applyBorder="1" applyAlignment="1">
      <alignment horizontal="center"/>
    </xf>
    <xf numFmtId="0" fontId="2" fillId="10" borderId="0" xfId="0" applyFont="1" applyFill="1" applyAlignment="1">
      <alignment horizontal="center"/>
    </xf>
    <xf numFmtId="0" fontId="2" fillId="10" borderId="63" xfId="0" applyFont="1" applyFill="1" applyBorder="1" applyAlignment="1">
      <alignment horizontal="center"/>
    </xf>
    <xf numFmtId="0" fontId="2" fillId="10" borderId="64" xfId="0" applyFont="1" applyFill="1" applyBorder="1" applyAlignment="1">
      <alignment horizontal="center"/>
    </xf>
    <xf numFmtId="0" fontId="2" fillId="10" borderId="65" xfId="0" applyFont="1" applyFill="1" applyBorder="1" applyAlignment="1">
      <alignment horizontal="center"/>
    </xf>
    <xf numFmtId="0" fontId="2" fillId="16" borderId="63" xfId="0" applyFont="1" applyFill="1" applyBorder="1" applyAlignment="1">
      <alignment horizontal="center"/>
    </xf>
    <xf numFmtId="0" fontId="2" fillId="16" borderId="64" xfId="0" applyFont="1" applyFill="1" applyBorder="1" applyAlignment="1">
      <alignment horizontal="center"/>
    </xf>
    <xf numFmtId="0" fontId="2" fillId="16" borderId="65" xfId="0" applyFont="1" applyFill="1" applyBorder="1" applyAlignment="1">
      <alignment horizontal="center"/>
    </xf>
    <xf numFmtId="0" fontId="4" fillId="13" borderId="65" xfId="0" applyFont="1" applyFill="1" applyBorder="1" applyAlignment="1">
      <alignment horizontal="center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15" borderId="76" xfId="0" applyFill="1" applyBorder="1" applyAlignment="1" applyProtection="1">
      <alignment horizontal="left"/>
      <protection locked="0"/>
    </xf>
    <xf numFmtId="0" fontId="0" fillId="15" borderId="77" xfId="0" applyFill="1" applyBorder="1" applyAlignment="1" applyProtection="1">
      <alignment horizontal="left"/>
      <protection locked="0"/>
    </xf>
    <xf numFmtId="0" fontId="0" fillId="15" borderId="78" xfId="0" applyFill="1" applyBorder="1" applyAlignment="1" applyProtection="1">
      <alignment horizontal="left"/>
      <protection locked="0"/>
    </xf>
    <xf numFmtId="0" fontId="2" fillId="0" borderId="16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5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164" fontId="0" fillId="0" borderId="10" xfId="2" applyFont="1" applyFill="1" applyBorder="1" applyAlignment="1" applyProtection="1">
      <alignment horizontal="center"/>
      <protection locked="0"/>
    </xf>
    <xf numFmtId="164" fontId="0" fillId="0" borderId="26" xfId="2" applyFont="1" applyFill="1" applyBorder="1" applyAlignment="1" applyProtection="1">
      <alignment horizontal="center"/>
      <protection locked="0"/>
    </xf>
    <xf numFmtId="164" fontId="0" fillId="0" borderId="51" xfId="2" applyFont="1" applyFill="1" applyBorder="1" applyAlignment="1" applyProtection="1">
      <alignment horizontal="center"/>
      <protection locked="0"/>
    </xf>
    <xf numFmtId="0" fontId="2" fillId="0" borderId="35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51" xfId="0" applyFont="1" applyFill="1" applyBorder="1" applyAlignment="1">
      <alignment horizontal="center"/>
    </xf>
    <xf numFmtId="167" fontId="2" fillId="0" borderId="35" xfId="0" applyNumberFormat="1" applyFont="1" applyFill="1" applyBorder="1" applyAlignment="1">
      <alignment horizontal="center"/>
    </xf>
    <xf numFmtId="167" fontId="2" fillId="0" borderId="23" xfId="0" applyNumberFormat="1" applyFont="1" applyFill="1" applyBorder="1" applyAlignment="1">
      <alignment horizontal="center"/>
    </xf>
    <xf numFmtId="167" fontId="2" fillId="0" borderId="24" xfId="0" applyNumberFormat="1" applyFont="1" applyFill="1" applyBorder="1" applyAlignment="1">
      <alignment horizontal="center"/>
    </xf>
    <xf numFmtId="0" fontId="3" fillId="0" borderId="35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4" fillId="0" borderId="49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4" fillId="0" borderId="51" xfId="0" applyFont="1" applyFill="1" applyBorder="1" applyAlignment="1">
      <alignment horizontal="center"/>
    </xf>
    <xf numFmtId="164" fontId="1" fillId="0" borderId="27" xfId="2" applyFill="1" applyBorder="1" applyAlignment="1" applyProtection="1">
      <alignment horizontal="center"/>
      <protection locked="0"/>
    </xf>
    <xf numFmtId="164" fontId="2" fillId="0" borderId="2" xfId="2" applyNumberFormat="1" applyFont="1" applyFill="1" applyBorder="1" applyProtection="1">
      <protection locked="0"/>
    </xf>
  </cellXfs>
  <cellStyles count="6">
    <cellStyle name="Millares" xfId="1" builtinId="3"/>
    <cellStyle name="Moneda" xfId="2" builtinId="4"/>
    <cellStyle name="Normal" xfId="0" builtinId="0"/>
    <cellStyle name="Normal 2 2" xfId="3"/>
    <cellStyle name="Normal 3" xfId="4"/>
    <cellStyle name="Porcentaje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AR"/>
              <a:t>Punto de Equilibrio Año 1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'E-Costos'!$A$149</c:f>
              <c:strCache>
                <c:ptCount val="1"/>
                <c:pt idx="0">
                  <c:v>CVT</c:v>
                </c:pt>
              </c:strCache>
            </c:strRef>
          </c:tx>
          <c:marker>
            <c:symbol val="none"/>
          </c:marker>
          <c:xVal>
            <c:numRef>
              <c:f>'E-Costos'!$C$148:$M$148</c:f>
              <c:numCache>
                <c:formatCode>0%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'E-Costos'!$C$149:$M$149</c:f>
              <c:numCache>
                <c:formatCode>_("$"* #,##0.00_);_("$"* \(#,##0.00\);_("$"* "-"??_);_(@_)</c:formatCode>
                <c:ptCount val="11"/>
                <c:pt idx="0">
                  <c:v>0</c:v>
                </c:pt>
                <c:pt idx="1">
                  <c:v>319826.54947401624</c:v>
                </c:pt>
                <c:pt idx="2">
                  <c:v>639653.09894803248</c:v>
                </c:pt>
                <c:pt idx="3">
                  <c:v>959479.64842204854</c:v>
                </c:pt>
                <c:pt idx="4">
                  <c:v>1279306.197896065</c:v>
                </c:pt>
                <c:pt idx="5">
                  <c:v>1599132.747370081</c:v>
                </c:pt>
                <c:pt idx="6">
                  <c:v>1918959.2968440971</c:v>
                </c:pt>
                <c:pt idx="7">
                  <c:v>2238785.8463181132</c:v>
                </c:pt>
                <c:pt idx="8">
                  <c:v>2558612.3957921299</c:v>
                </c:pt>
                <c:pt idx="9">
                  <c:v>2878438.9452661457</c:v>
                </c:pt>
                <c:pt idx="10">
                  <c:v>3198265.494740162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'E-Costos'!$A$150</c:f>
              <c:strCache>
                <c:ptCount val="1"/>
                <c:pt idx="0">
                  <c:v>CFT</c:v>
                </c:pt>
              </c:strCache>
            </c:strRef>
          </c:tx>
          <c:marker>
            <c:symbol val="none"/>
          </c:marker>
          <c:xVal>
            <c:numRef>
              <c:f>'E-Costos'!$C$148:$M$148</c:f>
              <c:numCache>
                <c:formatCode>0%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'E-Costos'!$C$150:$M$150</c:f>
              <c:numCache>
                <c:formatCode>_("$"* #,##0.00_);_("$"* \(#,##0.00\);_("$"* "-"??_);_(@_)</c:formatCode>
                <c:ptCount val="11"/>
                <c:pt idx="0">
                  <c:v>3749462.499983211</c:v>
                </c:pt>
                <c:pt idx="1">
                  <c:v>3749462.499983211</c:v>
                </c:pt>
                <c:pt idx="2">
                  <c:v>3749462.499983211</c:v>
                </c:pt>
                <c:pt idx="3">
                  <c:v>3749462.499983211</c:v>
                </c:pt>
                <c:pt idx="4">
                  <c:v>3749462.499983211</c:v>
                </c:pt>
                <c:pt idx="5">
                  <c:v>3749462.499983211</c:v>
                </c:pt>
                <c:pt idx="6">
                  <c:v>3749462.499983211</c:v>
                </c:pt>
                <c:pt idx="7">
                  <c:v>3749462.499983211</c:v>
                </c:pt>
                <c:pt idx="8">
                  <c:v>3749462.499983211</c:v>
                </c:pt>
                <c:pt idx="9">
                  <c:v>3749462.499983211</c:v>
                </c:pt>
                <c:pt idx="10">
                  <c:v>3749462.499983211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'E-Costos'!$A$152</c:f>
              <c:strCache>
                <c:ptCount val="1"/>
                <c:pt idx="0">
                  <c:v>VENTAS</c:v>
                </c:pt>
              </c:strCache>
            </c:strRef>
          </c:tx>
          <c:marker>
            <c:symbol val="none"/>
          </c:marker>
          <c:xVal>
            <c:numRef>
              <c:f>'E-Costos'!$C$148:$M$148</c:f>
              <c:numCache>
                <c:formatCode>0%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'E-Costos'!$C$152:$M$152</c:f>
              <c:numCache>
                <c:formatCode>_("$"* #,##0.00_);_("$"* \(#,##0.00\);_("$"* "-"??_);_(@_)</c:formatCode>
                <c:ptCount val="11"/>
                <c:pt idx="0">
                  <c:v>0</c:v>
                </c:pt>
                <c:pt idx="1">
                  <c:v>1120000</c:v>
                </c:pt>
                <c:pt idx="2">
                  <c:v>2240000</c:v>
                </c:pt>
                <c:pt idx="3">
                  <c:v>3360000</c:v>
                </c:pt>
                <c:pt idx="4">
                  <c:v>4480000</c:v>
                </c:pt>
                <c:pt idx="5">
                  <c:v>5600000</c:v>
                </c:pt>
                <c:pt idx="6">
                  <c:v>6720000</c:v>
                </c:pt>
                <c:pt idx="7">
                  <c:v>7839999.9999999991</c:v>
                </c:pt>
                <c:pt idx="8">
                  <c:v>8960000</c:v>
                </c:pt>
                <c:pt idx="9">
                  <c:v>10080000</c:v>
                </c:pt>
                <c:pt idx="10">
                  <c:v>11200000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'E-Costos'!$A$151</c:f>
              <c:strCache>
                <c:ptCount val="1"/>
                <c:pt idx="0">
                  <c:v>CT</c:v>
                </c:pt>
              </c:strCache>
            </c:strRef>
          </c:tx>
          <c:marker>
            <c:symbol val="none"/>
          </c:marker>
          <c:xVal>
            <c:numRef>
              <c:f>'E-Costos'!$C$148:$M$148</c:f>
              <c:numCache>
                <c:formatCode>0%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'E-Costos'!$C$151:$M$151</c:f>
              <c:numCache>
                <c:formatCode>_("$"* #,##0.00_);_("$"* \(#,##0.00\);_("$"* "-"??_);_(@_)</c:formatCode>
                <c:ptCount val="11"/>
                <c:pt idx="0">
                  <c:v>3749462.499983211</c:v>
                </c:pt>
                <c:pt idx="1">
                  <c:v>4069289.0494572273</c:v>
                </c:pt>
                <c:pt idx="2">
                  <c:v>4389115.5989312436</c:v>
                </c:pt>
                <c:pt idx="3">
                  <c:v>4708942.1484052595</c:v>
                </c:pt>
                <c:pt idx="4">
                  <c:v>5028768.6978792762</c:v>
                </c:pt>
                <c:pt idx="5">
                  <c:v>5348595.2473532921</c:v>
                </c:pt>
                <c:pt idx="6">
                  <c:v>5668421.7968273079</c:v>
                </c:pt>
                <c:pt idx="7">
                  <c:v>5988248.3463013247</c:v>
                </c:pt>
                <c:pt idx="8">
                  <c:v>6308074.8957753405</c:v>
                </c:pt>
                <c:pt idx="9">
                  <c:v>6627901.4452493563</c:v>
                </c:pt>
                <c:pt idx="10">
                  <c:v>6947727.9947233731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776000"/>
        <c:axId val="207782272"/>
      </c:scatterChart>
      <c:valAx>
        <c:axId val="207776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AR"/>
                  <a:t>% de las ventas</a:t>
                </a:r>
              </a:p>
            </c:rich>
          </c:tx>
          <c:layout/>
          <c:overlay val="0"/>
        </c:title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207782272"/>
        <c:crosses val="autoZero"/>
        <c:crossBetween val="midCat"/>
      </c:valAx>
      <c:valAx>
        <c:axId val="2077822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AR"/>
                  <a:t>Gastos e Ingresos ($)</a:t>
                </a:r>
              </a:p>
            </c:rich>
          </c:tx>
          <c:layout/>
          <c:overlay val="0"/>
        </c:title>
        <c:numFmt formatCode="_(&quot;$&quot;* #,##0.00_);_(&quot;$&quot;* \(#,##0.00\);_(&quot;$&quot;* &quot;-&quot;??_);_(@_)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20777600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A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A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AR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Punto de Equilibrio Año 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AR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Económico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'E-Costos'!$A$156</c:f>
              <c:strCache>
                <c:ptCount val="1"/>
                <c:pt idx="0">
                  <c:v>CVT</c:v>
                </c:pt>
              </c:strCache>
            </c:strRef>
          </c:tx>
          <c:marker>
            <c:symbol val="none"/>
          </c:marker>
          <c:xVal>
            <c:numRef>
              <c:f>'E-Costos'!$C$155:$M$155</c:f>
              <c:numCache>
                <c:formatCode>0%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'E-Costos'!$C$156:$M$156</c:f>
              <c:numCache>
                <c:formatCode>_("$"* #,##0.00_);_("$"* \(#,##0.00\);_("$"* "-"??_);_(@_)</c:formatCode>
                <c:ptCount val="11"/>
                <c:pt idx="0">
                  <c:v>0</c:v>
                </c:pt>
                <c:pt idx="1">
                  <c:v>394413.01916771242</c:v>
                </c:pt>
                <c:pt idx="2">
                  <c:v>788826.03833542485</c:v>
                </c:pt>
                <c:pt idx="3">
                  <c:v>1183239.0575031373</c:v>
                </c:pt>
                <c:pt idx="4">
                  <c:v>1577652.0766708497</c:v>
                </c:pt>
                <c:pt idx="5">
                  <c:v>1972065.0958385621</c:v>
                </c:pt>
                <c:pt idx="6">
                  <c:v>2366478.1150062745</c:v>
                </c:pt>
                <c:pt idx="7">
                  <c:v>2760891.134173987</c:v>
                </c:pt>
                <c:pt idx="8">
                  <c:v>3155304.1533416994</c:v>
                </c:pt>
                <c:pt idx="9">
                  <c:v>3549717.1725094118</c:v>
                </c:pt>
                <c:pt idx="10">
                  <c:v>3944130.1916771242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'E-Costos'!$A$157</c:f>
              <c:strCache>
                <c:ptCount val="1"/>
                <c:pt idx="0">
                  <c:v>CFT</c:v>
                </c:pt>
              </c:strCache>
            </c:strRef>
          </c:tx>
          <c:marker>
            <c:symbol val="none"/>
          </c:marker>
          <c:xVal>
            <c:numRef>
              <c:f>'E-Costos'!$C$155:$M$155</c:f>
              <c:numCache>
                <c:formatCode>0%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'E-Costos'!$C$157:$M$157</c:f>
              <c:numCache>
                <c:formatCode>_("$"* #,##0.00_);_("$"* \(#,##0.00\);_("$"* "-"??_);_(@_)</c:formatCode>
                <c:ptCount val="11"/>
                <c:pt idx="0">
                  <c:v>4052503.4419328901</c:v>
                </c:pt>
                <c:pt idx="1">
                  <c:v>4052503.4419328901</c:v>
                </c:pt>
                <c:pt idx="2">
                  <c:v>4052503.4419328901</c:v>
                </c:pt>
                <c:pt idx="3">
                  <c:v>4052503.4419328901</c:v>
                </c:pt>
                <c:pt idx="4">
                  <c:v>4052503.4419328901</c:v>
                </c:pt>
                <c:pt idx="5">
                  <c:v>4052503.4419328901</c:v>
                </c:pt>
                <c:pt idx="6">
                  <c:v>4052503.4419328901</c:v>
                </c:pt>
                <c:pt idx="7">
                  <c:v>4052503.4419328901</c:v>
                </c:pt>
                <c:pt idx="8">
                  <c:v>4052503.4419328901</c:v>
                </c:pt>
                <c:pt idx="9">
                  <c:v>4052503.4419328901</c:v>
                </c:pt>
                <c:pt idx="10">
                  <c:v>4052503.4419328901</c:v>
                </c:pt>
              </c:numCache>
            </c:numRef>
          </c:yVal>
          <c:smooth val="1"/>
        </c:ser>
        <c:ser>
          <c:idx val="3"/>
          <c:order val="2"/>
          <c:tx>
            <c:strRef>
              <c:f>'E-Costos'!$A$159</c:f>
              <c:strCache>
                <c:ptCount val="1"/>
                <c:pt idx="0">
                  <c:v>VENTAS</c:v>
                </c:pt>
              </c:strCache>
            </c:strRef>
          </c:tx>
          <c:marker>
            <c:symbol val="none"/>
          </c:marker>
          <c:xVal>
            <c:numRef>
              <c:f>'E-Costos'!$C$155:$M$155</c:f>
              <c:numCache>
                <c:formatCode>0%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'E-Costos'!$C$159:$M$159</c:f>
              <c:numCache>
                <c:formatCode>_("$"* #,##0.00_);_("$"* \(#,##0.00\);_("$"* "-"??_);_(@_)</c:formatCode>
                <c:ptCount val="11"/>
                <c:pt idx="0">
                  <c:v>0</c:v>
                </c:pt>
                <c:pt idx="1">
                  <c:v>1680000</c:v>
                </c:pt>
                <c:pt idx="2">
                  <c:v>3360000</c:v>
                </c:pt>
                <c:pt idx="3">
                  <c:v>5040000</c:v>
                </c:pt>
                <c:pt idx="4">
                  <c:v>6720000</c:v>
                </c:pt>
                <c:pt idx="5">
                  <c:v>8400000</c:v>
                </c:pt>
                <c:pt idx="6">
                  <c:v>10080000</c:v>
                </c:pt>
                <c:pt idx="7">
                  <c:v>11760000</c:v>
                </c:pt>
                <c:pt idx="8">
                  <c:v>13440000</c:v>
                </c:pt>
                <c:pt idx="9">
                  <c:v>15120000</c:v>
                </c:pt>
                <c:pt idx="10">
                  <c:v>16800000</c:v>
                </c:pt>
              </c:numCache>
            </c:numRef>
          </c:yVal>
          <c:smooth val="1"/>
        </c:ser>
        <c:ser>
          <c:idx val="2"/>
          <c:order val="3"/>
          <c:tx>
            <c:strRef>
              <c:f>'E-Costos'!$A$158</c:f>
              <c:strCache>
                <c:ptCount val="1"/>
                <c:pt idx="0">
                  <c:v>CT</c:v>
                </c:pt>
              </c:strCache>
            </c:strRef>
          </c:tx>
          <c:marker>
            <c:symbol val="none"/>
          </c:marker>
          <c:xVal>
            <c:numRef>
              <c:f>'E-Costos'!$C$155:$M$155</c:f>
              <c:numCache>
                <c:formatCode>0%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'E-Costos'!$C$158:$M$158</c:f>
              <c:numCache>
                <c:formatCode>_("$"* #,##0.00_);_("$"* \(#,##0.00\);_("$"* "-"??_);_(@_)</c:formatCode>
                <c:ptCount val="11"/>
                <c:pt idx="0">
                  <c:v>4052503.4419328901</c:v>
                </c:pt>
                <c:pt idx="1">
                  <c:v>4446916.4611006025</c:v>
                </c:pt>
                <c:pt idx="2">
                  <c:v>4841329.4802683145</c:v>
                </c:pt>
                <c:pt idx="3">
                  <c:v>5235742.4994360274</c:v>
                </c:pt>
                <c:pt idx="4">
                  <c:v>5630155.5186037403</c:v>
                </c:pt>
                <c:pt idx="5">
                  <c:v>6024568.5377714522</c:v>
                </c:pt>
                <c:pt idx="6">
                  <c:v>6418981.5569391642</c:v>
                </c:pt>
                <c:pt idx="7">
                  <c:v>6813394.5761068771</c:v>
                </c:pt>
                <c:pt idx="8">
                  <c:v>7207807.59527459</c:v>
                </c:pt>
                <c:pt idx="9">
                  <c:v>7602220.6144423019</c:v>
                </c:pt>
                <c:pt idx="10">
                  <c:v>7996633.6336100139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962304"/>
        <c:axId val="208964224"/>
      </c:scatterChart>
      <c:valAx>
        <c:axId val="208962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AR"/>
                  <a:t>% de las Ventas</a:t>
                </a:r>
              </a:p>
            </c:rich>
          </c:tx>
          <c:layout/>
          <c:overlay val="0"/>
        </c:title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208964224"/>
        <c:crosses val="autoZero"/>
        <c:crossBetween val="midCat"/>
      </c:valAx>
      <c:valAx>
        <c:axId val="208964224"/>
        <c:scaling>
          <c:orientation val="minMax"/>
          <c:max val="120000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AR"/>
                  <a:t>Gastos e Ingresos ($)</a:t>
                </a:r>
              </a:p>
            </c:rich>
          </c:tx>
          <c:layout/>
          <c:overlay val="0"/>
        </c:title>
        <c:numFmt formatCode="\$\ ###,00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208962304"/>
        <c:crosses val="autoZero"/>
        <c:crossBetween val="midCat"/>
      </c:valAx>
    </c:plotArea>
    <c:legend>
      <c:legendPos val="t"/>
      <c:layout>
        <c:manualLayout>
          <c:xMode val="edge"/>
          <c:yMode val="edge"/>
          <c:x val="0.16651192622274527"/>
          <c:y val="0.30723629843299294"/>
          <c:w val="0.31923084347552644"/>
          <c:h val="6.2882357527091329E-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A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A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'E-Form'!$L$2</c:f>
              <c:strCache>
                <c:ptCount val="1"/>
                <c:pt idx="0">
                  <c:v>Saldo Anual</c:v>
                </c:pt>
              </c:strCache>
            </c:strRef>
          </c:tx>
          <c:invertIfNegative val="0"/>
          <c:cat>
            <c:numRef>
              <c:f>'E-Form'!$A$3:$A$8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cat>
          <c:val>
            <c:numRef>
              <c:f>'E-Form'!$L$3:$L$8</c:f>
              <c:numCache>
                <c:formatCode>_("$"* #,##0.00_);_("$"* \(#,##0.00\);_("$"* "-"??_);_(@_)</c:formatCode>
                <c:ptCount val="6"/>
                <c:pt idx="0">
                  <c:v>-8275439.7545479881</c:v>
                </c:pt>
                <c:pt idx="1">
                  <c:v>3337535.6054424113</c:v>
                </c:pt>
                <c:pt idx="2">
                  <c:v>5472142.1881782748</c:v>
                </c:pt>
                <c:pt idx="3">
                  <c:v>5844135.0490243137</c:v>
                </c:pt>
                <c:pt idx="4">
                  <c:v>5826828.7278660592</c:v>
                </c:pt>
                <c:pt idx="5">
                  <c:v>12081675.503216451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930880"/>
        <c:axId val="207932416"/>
      </c:barChart>
      <c:lineChart>
        <c:grouping val="standard"/>
        <c:varyColors val="0"/>
        <c:ser>
          <c:idx val="1"/>
          <c:order val="1"/>
          <c:tx>
            <c:strRef>
              <c:f>'E-Form'!$M$2</c:f>
              <c:strCache>
                <c:ptCount val="1"/>
                <c:pt idx="0">
                  <c:v>Saldo Acumulado</c:v>
                </c:pt>
              </c:strCache>
            </c:strRef>
          </c:tx>
          <c:marker>
            <c:symbol val="none"/>
          </c:marker>
          <c:val>
            <c:numRef>
              <c:f>'E-Form'!$M$3:$M$8</c:f>
              <c:numCache>
                <c:formatCode>_("$"* #,##0.00_);_("$"* \(#,##0.00\);_("$"* "-"??_);_(@_)</c:formatCode>
                <c:ptCount val="6"/>
                <c:pt idx="0">
                  <c:v>-8275439.7545479881</c:v>
                </c:pt>
                <c:pt idx="1">
                  <c:v>-4937904.1491055768</c:v>
                </c:pt>
                <c:pt idx="2">
                  <c:v>534238.03907269798</c:v>
                </c:pt>
                <c:pt idx="3">
                  <c:v>6378373.0880970117</c:v>
                </c:pt>
                <c:pt idx="4">
                  <c:v>12205201.815963071</c:v>
                </c:pt>
                <c:pt idx="5">
                  <c:v>24286877.31917952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930880"/>
        <c:axId val="207932416"/>
      </c:lineChart>
      <c:catAx>
        <c:axId val="20793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7932416"/>
        <c:crosses val="autoZero"/>
        <c:auto val="1"/>
        <c:lblAlgn val="ctr"/>
        <c:lblOffset val="100"/>
        <c:noMultiLvlLbl val="0"/>
      </c:catAx>
      <c:valAx>
        <c:axId val="207932416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2079308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'E-Form'!$B$46</c:f>
              <c:strCache>
                <c:ptCount val="1"/>
                <c:pt idx="0">
                  <c:v>itot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'E-Form'!$C$42:$M$42</c:f>
              <c:numCache>
                <c:formatCode>0%</c:formatCode>
                <c:ptCount val="11"/>
                <c:pt idx="0">
                  <c:v>0</c:v>
                </c:pt>
                <c:pt idx="1">
                  <c:v>7.4999999999999997E-2</c:v>
                </c:pt>
                <c:pt idx="2">
                  <c:v>0.15</c:v>
                </c:pt>
                <c:pt idx="3">
                  <c:v>0.22499999999999998</c:v>
                </c:pt>
                <c:pt idx="4">
                  <c:v>0.3</c:v>
                </c:pt>
                <c:pt idx="5">
                  <c:v>0.375</c:v>
                </c:pt>
                <c:pt idx="6">
                  <c:v>0.45</c:v>
                </c:pt>
                <c:pt idx="7">
                  <c:v>0.52500000000000002</c:v>
                </c:pt>
                <c:pt idx="8">
                  <c:v>0.6</c:v>
                </c:pt>
                <c:pt idx="9">
                  <c:v>0.67499999999999993</c:v>
                </c:pt>
                <c:pt idx="10">
                  <c:v>0.75</c:v>
                </c:pt>
              </c:numCache>
            </c:numRef>
          </c:cat>
          <c:val>
            <c:numRef>
              <c:f>'E-Form'!$C$46:$M$46</c:f>
              <c:numCache>
                <c:formatCode>_("$"* #,##0.00_);_("$"* \(#,##0.00\);_("$"* "-"??_);_(@_)</c:formatCode>
                <c:ptCount val="11"/>
                <c:pt idx="0">
                  <c:v>32562317.073727507</c:v>
                </c:pt>
                <c:pt idx="1">
                  <c:v>32562317.073727507</c:v>
                </c:pt>
                <c:pt idx="2">
                  <c:v>32562317.073727507</c:v>
                </c:pt>
                <c:pt idx="3">
                  <c:v>32562317.073727507</c:v>
                </c:pt>
                <c:pt idx="4">
                  <c:v>32562317.073727507</c:v>
                </c:pt>
                <c:pt idx="5">
                  <c:v>32562317.073727507</c:v>
                </c:pt>
                <c:pt idx="6">
                  <c:v>32562317.073727507</c:v>
                </c:pt>
                <c:pt idx="7">
                  <c:v>32562317.073727507</c:v>
                </c:pt>
                <c:pt idx="8">
                  <c:v>32562317.073727507</c:v>
                </c:pt>
                <c:pt idx="9">
                  <c:v>32562317.073727507</c:v>
                </c:pt>
                <c:pt idx="10">
                  <c:v>32562317.073727507</c:v>
                </c:pt>
              </c:numCache>
            </c:numRef>
          </c:val>
        </c:ser>
        <c:ser>
          <c:idx val="1"/>
          <c:order val="1"/>
          <c:tx>
            <c:strRef>
              <c:f>'E-Form'!$B$45</c:f>
              <c:strCache>
                <c:ptCount val="1"/>
                <c:pt idx="0">
                  <c:v>VAN + E0</c:v>
                </c:pt>
              </c:strCache>
            </c:strRef>
          </c:tx>
          <c:spPr>
            <a:ln w="25400">
              <a:noFill/>
            </a:ln>
          </c:spPr>
          <c:cat>
            <c:numRef>
              <c:f>'E-Form'!$C$42:$M$42</c:f>
              <c:numCache>
                <c:formatCode>0%</c:formatCode>
                <c:ptCount val="11"/>
                <c:pt idx="0">
                  <c:v>0</c:v>
                </c:pt>
                <c:pt idx="1">
                  <c:v>7.4999999999999997E-2</c:v>
                </c:pt>
                <c:pt idx="2">
                  <c:v>0.15</c:v>
                </c:pt>
                <c:pt idx="3">
                  <c:v>0.22499999999999998</c:v>
                </c:pt>
                <c:pt idx="4">
                  <c:v>0.3</c:v>
                </c:pt>
                <c:pt idx="5">
                  <c:v>0.375</c:v>
                </c:pt>
                <c:pt idx="6">
                  <c:v>0.45</c:v>
                </c:pt>
                <c:pt idx="7">
                  <c:v>0.52500000000000002</c:v>
                </c:pt>
                <c:pt idx="8">
                  <c:v>0.6</c:v>
                </c:pt>
                <c:pt idx="9">
                  <c:v>0.67499999999999993</c:v>
                </c:pt>
                <c:pt idx="10">
                  <c:v>0.75</c:v>
                </c:pt>
              </c:numCache>
            </c:numRef>
          </c:cat>
          <c:val>
            <c:numRef>
              <c:f>'E-Form'!$C$45:$M$45</c:f>
              <c:numCache>
                <c:formatCode>_("$"* #,##0.00_);_("$"* \(#,##0.00\);_("$"* "-"??_);_(@_)</c:formatCode>
                <c:ptCount val="11"/>
                <c:pt idx="0">
                  <c:v>32562317.073727507</c:v>
                </c:pt>
                <c:pt idx="1">
                  <c:v>24133573.433105957</c:v>
                </c:pt>
                <c:pt idx="2">
                  <c:v>18662692.503627267</c:v>
                </c:pt>
                <c:pt idx="3">
                  <c:v>15003668.510076692</c:v>
                </c:pt>
                <c:pt idx="4">
                  <c:v>12493888.088544896</c:v>
                </c:pt>
                <c:pt idx="5">
                  <c:v>10735515.474217197</c:v>
                </c:pt>
                <c:pt idx="6">
                  <c:v>9481644.997244576</c:v>
                </c:pt>
                <c:pt idx="7">
                  <c:v>8574487.4414804596</c:v>
                </c:pt>
                <c:pt idx="8">
                  <c:v>7910544.8744475506</c:v>
                </c:pt>
                <c:pt idx="9">
                  <c:v>7420333.0921719763</c:v>
                </c:pt>
                <c:pt idx="10">
                  <c:v>7056220.3013634514</c:v>
                </c:pt>
              </c:numCache>
            </c:numRef>
          </c:val>
        </c:ser>
        <c:ser>
          <c:idx val="2"/>
          <c:order val="2"/>
          <c:tx>
            <c:strRef>
              <c:f>'E-Form'!$B$43</c:f>
              <c:strCache>
                <c:ptCount val="1"/>
                <c:pt idx="0">
                  <c:v>VAN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cat>
            <c:numRef>
              <c:f>'E-Form'!$C$42:$M$42</c:f>
              <c:numCache>
                <c:formatCode>0%</c:formatCode>
                <c:ptCount val="11"/>
                <c:pt idx="0">
                  <c:v>0</c:v>
                </c:pt>
                <c:pt idx="1">
                  <c:v>7.4999999999999997E-2</c:v>
                </c:pt>
                <c:pt idx="2">
                  <c:v>0.15</c:v>
                </c:pt>
                <c:pt idx="3">
                  <c:v>0.22499999999999998</c:v>
                </c:pt>
                <c:pt idx="4">
                  <c:v>0.3</c:v>
                </c:pt>
                <c:pt idx="5">
                  <c:v>0.375</c:v>
                </c:pt>
                <c:pt idx="6">
                  <c:v>0.45</c:v>
                </c:pt>
                <c:pt idx="7">
                  <c:v>0.52500000000000002</c:v>
                </c:pt>
                <c:pt idx="8">
                  <c:v>0.6</c:v>
                </c:pt>
                <c:pt idx="9">
                  <c:v>0.67499999999999993</c:v>
                </c:pt>
                <c:pt idx="10">
                  <c:v>0.75</c:v>
                </c:pt>
              </c:numCache>
            </c:numRef>
          </c:cat>
          <c:val>
            <c:numRef>
              <c:f>'E-Form'!$C$43:$M$43</c:f>
              <c:numCache>
                <c:formatCode>_("$"* #,##0.00_);_("$"* \(#,##0.00\);_("$"* "-"??_);_(@_)</c:formatCode>
                <c:ptCount val="11"/>
                <c:pt idx="0">
                  <c:v>24286877.31917952</c:v>
                </c:pt>
                <c:pt idx="1">
                  <c:v>15858133.678557968</c:v>
                </c:pt>
                <c:pt idx="2">
                  <c:v>10387252.749079278</c:v>
                </c:pt>
                <c:pt idx="3">
                  <c:v>6728228.7555287043</c:v>
                </c:pt>
                <c:pt idx="4">
                  <c:v>4218448.3339969078</c:v>
                </c:pt>
                <c:pt idx="5">
                  <c:v>2460075.7196692084</c:v>
                </c:pt>
                <c:pt idx="6">
                  <c:v>1206205.2426965884</c:v>
                </c:pt>
                <c:pt idx="7">
                  <c:v>299047.68693247077</c:v>
                </c:pt>
                <c:pt idx="8">
                  <c:v>-364894.88010043744</c:v>
                </c:pt>
                <c:pt idx="9">
                  <c:v>-855106.66237601149</c:v>
                </c:pt>
                <c:pt idx="10">
                  <c:v>-1219219.4531845362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037376"/>
        <c:axId val="208038912"/>
      </c:areaChart>
      <c:catAx>
        <c:axId val="208037376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crossAx val="208038912"/>
        <c:crosses val="autoZero"/>
        <c:auto val="1"/>
        <c:lblAlgn val="ctr"/>
        <c:lblOffset val="100"/>
        <c:noMultiLvlLbl val="0"/>
      </c:catAx>
      <c:valAx>
        <c:axId val="208038912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208037376"/>
        <c:crosses val="autoZero"/>
        <c:crossBetween val="midCat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160</xdr:row>
      <xdr:rowOff>19050</xdr:rowOff>
    </xdr:from>
    <xdr:to>
      <xdr:col>5</xdr:col>
      <xdr:colOff>676275</xdr:colOff>
      <xdr:row>185</xdr:row>
      <xdr:rowOff>85725</xdr:rowOff>
    </xdr:to>
    <xdr:graphicFrame macro="">
      <xdr:nvGraphicFramePr>
        <xdr:cNvPr id="32065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185</xdr:row>
      <xdr:rowOff>142875</xdr:rowOff>
    </xdr:from>
    <xdr:to>
      <xdr:col>5</xdr:col>
      <xdr:colOff>685800</xdr:colOff>
      <xdr:row>215</xdr:row>
      <xdr:rowOff>38100</xdr:rowOff>
    </xdr:to>
    <xdr:graphicFrame macro="">
      <xdr:nvGraphicFramePr>
        <xdr:cNvPr id="32065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769285</xdr:colOff>
      <xdr:row>173</xdr:row>
      <xdr:rowOff>0</xdr:rowOff>
    </xdr:from>
    <xdr:to>
      <xdr:col>1</xdr:col>
      <xdr:colOff>771525</xdr:colOff>
      <xdr:row>181</xdr:row>
      <xdr:rowOff>28016</xdr:rowOff>
    </xdr:to>
    <xdr:cxnSp macro="">
      <xdr:nvCxnSpPr>
        <xdr:cNvPr id="3" name="2 Conector recto"/>
        <xdr:cNvCxnSpPr/>
      </xdr:nvCxnSpPr>
      <xdr:spPr>
        <a:xfrm flipH="1">
          <a:off x="3655360" y="28575000"/>
          <a:ext cx="2240" cy="1323416"/>
        </a:xfrm>
        <a:prstGeom prst="line">
          <a:avLst/>
        </a:prstGeom>
        <a:ln>
          <a:prstDash val="sysDash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1457325</xdr:colOff>
      <xdr:row>173</xdr:row>
      <xdr:rowOff>28575</xdr:rowOff>
    </xdr:from>
    <xdr:to>
      <xdr:col>1</xdr:col>
      <xdr:colOff>783291</xdr:colOff>
      <xdr:row>173</xdr:row>
      <xdr:rowOff>32498</xdr:rowOff>
    </xdr:to>
    <xdr:cxnSp macro="">
      <xdr:nvCxnSpPr>
        <xdr:cNvPr id="6" name="5 Conector recto"/>
        <xdr:cNvCxnSpPr/>
      </xdr:nvCxnSpPr>
      <xdr:spPr>
        <a:xfrm flipH="1" flipV="1">
          <a:off x="1457325" y="28603575"/>
          <a:ext cx="2212041" cy="3923"/>
        </a:xfrm>
        <a:prstGeom prst="line">
          <a:avLst/>
        </a:prstGeom>
        <a:ln>
          <a:prstDash val="sysDash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85725</xdr:colOff>
      <xdr:row>203</xdr:row>
      <xdr:rowOff>47625</xdr:rowOff>
    </xdr:from>
    <xdr:to>
      <xdr:col>1</xdr:col>
      <xdr:colOff>85725</xdr:colOff>
      <xdr:row>211</xdr:row>
      <xdr:rowOff>95250</xdr:rowOff>
    </xdr:to>
    <xdr:cxnSp macro="">
      <xdr:nvCxnSpPr>
        <xdr:cNvPr id="8" name="7 Conector recto"/>
        <xdr:cNvCxnSpPr/>
      </xdr:nvCxnSpPr>
      <xdr:spPr>
        <a:xfrm>
          <a:off x="2971800" y="33537525"/>
          <a:ext cx="0" cy="1343025"/>
        </a:xfrm>
        <a:prstGeom prst="line">
          <a:avLst/>
        </a:prstGeom>
        <a:ln>
          <a:prstDash val="sysDash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1247775</xdr:colOff>
      <xdr:row>203</xdr:row>
      <xdr:rowOff>9525</xdr:rowOff>
    </xdr:from>
    <xdr:to>
      <xdr:col>1</xdr:col>
      <xdr:colOff>123825</xdr:colOff>
      <xdr:row>203</xdr:row>
      <xdr:rowOff>38100</xdr:rowOff>
    </xdr:to>
    <xdr:cxnSp macro="">
      <xdr:nvCxnSpPr>
        <xdr:cNvPr id="9" name="8 Conector recto"/>
        <xdr:cNvCxnSpPr/>
      </xdr:nvCxnSpPr>
      <xdr:spPr>
        <a:xfrm flipH="1">
          <a:off x="1247775" y="33499425"/>
          <a:ext cx="1762125" cy="28575"/>
        </a:xfrm>
        <a:prstGeom prst="line">
          <a:avLst/>
        </a:prstGeom>
        <a:ln>
          <a:prstDash val="sysDash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605678</xdr:colOff>
      <xdr:row>181</xdr:row>
      <xdr:rowOff>46503</xdr:rowOff>
    </xdr:from>
    <xdr:to>
      <xdr:col>1</xdr:col>
      <xdr:colOff>972671</xdr:colOff>
      <xdr:row>182</xdr:row>
      <xdr:rowOff>70596</xdr:rowOff>
    </xdr:to>
    <xdr:sp macro="" textlink="">
      <xdr:nvSpPr>
        <xdr:cNvPr id="13" name="12 Rectángulo"/>
        <xdr:cNvSpPr/>
      </xdr:nvSpPr>
      <xdr:spPr>
        <a:xfrm>
          <a:off x="3491753" y="29916903"/>
          <a:ext cx="366993" cy="186018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AR" sz="800" b="1"/>
            <a:t>48%</a:t>
          </a:r>
        </a:p>
      </xdr:txBody>
    </xdr:sp>
    <xdr:clientData/>
  </xdr:twoCellAnchor>
  <xdr:twoCellAnchor>
    <xdr:from>
      <xdr:col>0</xdr:col>
      <xdr:colOff>708211</xdr:colOff>
      <xdr:row>172</xdr:row>
      <xdr:rowOff>138391</xdr:rowOff>
    </xdr:from>
    <xdr:to>
      <xdr:col>0</xdr:col>
      <xdr:colOff>1432111</xdr:colOff>
      <xdr:row>174</xdr:row>
      <xdr:rowOff>57710</xdr:rowOff>
    </xdr:to>
    <xdr:sp macro="" textlink="">
      <xdr:nvSpPr>
        <xdr:cNvPr id="16" name="15 Rectángulo"/>
        <xdr:cNvSpPr/>
      </xdr:nvSpPr>
      <xdr:spPr>
        <a:xfrm>
          <a:off x="708211" y="28551466"/>
          <a:ext cx="723900" cy="243169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AR" sz="800" b="1"/>
            <a:t>M$</a:t>
          </a:r>
          <a:r>
            <a:rPr lang="es-AR" sz="800" b="1" baseline="0"/>
            <a:t> 5,330</a:t>
          </a:r>
          <a:endParaRPr lang="es-AR" sz="800" b="1"/>
        </a:p>
      </xdr:txBody>
    </xdr:sp>
    <xdr:clientData/>
  </xdr:twoCellAnchor>
  <xdr:twoCellAnchor>
    <xdr:from>
      <xdr:col>0</xdr:col>
      <xdr:colOff>2755527</xdr:colOff>
      <xdr:row>211</xdr:row>
      <xdr:rowOff>159684</xdr:rowOff>
    </xdr:from>
    <xdr:to>
      <xdr:col>1</xdr:col>
      <xdr:colOff>295275</xdr:colOff>
      <xdr:row>213</xdr:row>
      <xdr:rowOff>38100</xdr:rowOff>
    </xdr:to>
    <xdr:sp macro="" textlink="">
      <xdr:nvSpPr>
        <xdr:cNvPr id="17" name="16 Rectángulo"/>
        <xdr:cNvSpPr/>
      </xdr:nvSpPr>
      <xdr:spPr>
        <a:xfrm>
          <a:off x="2755527" y="34944984"/>
          <a:ext cx="425823" cy="202266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AR" sz="800" b="1"/>
            <a:t>32%</a:t>
          </a:r>
        </a:p>
      </xdr:txBody>
    </xdr:sp>
    <xdr:clientData/>
  </xdr:twoCellAnchor>
  <xdr:twoCellAnchor>
    <xdr:from>
      <xdr:col>0</xdr:col>
      <xdr:colOff>462243</xdr:colOff>
      <xdr:row>202</xdr:row>
      <xdr:rowOff>145676</xdr:rowOff>
    </xdr:from>
    <xdr:to>
      <xdr:col>0</xdr:col>
      <xdr:colOff>1186143</xdr:colOff>
      <xdr:row>204</xdr:row>
      <xdr:rowOff>31376</xdr:rowOff>
    </xdr:to>
    <xdr:sp macro="" textlink="">
      <xdr:nvSpPr>
        <xdr:cNvPr id="18" name="17 Rectángulo"/>
        <xdr:cNvSpPr/>
      </xdr:nvSpPr>
      <xdr:spPr>
        <a:xfrm>
          <a:off x="462243" y="33473651"/>
          <a:ext cx="723900" cy="209550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AR" sz="800" b="1"/>
            <a:t>M$ 5,350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1019175</xdr:colOff>
      <xdr:row>16</xdr:row>
      <xdr:rowOff>19050</xdr:rowOff>
    </xdr:from>
    <xdr:to>
      <xdr:col>11</xdr:col>
      <xdr:colOff>1114425</xdr:colOff>
      <xdr:row>38</xdr:row>
      <xdr:rowOff>114300</xdr:rowOff>
    </xdr:to>
    <xdr:graphicFrame macro="">
      <xdr:nvGraphicFramePr>
        <xdr:cNvPr id="4167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16</xdr:row>
      <xdr:rowOff>28575</xdr:rowOff>
    </xdr:from>
    <xdr:to>
      <xdr:col>5</xdr:col>
      <xdr:colOff>962025</xdr:colOff>
      <xdr:row>38</xdr:row>
      <xdr:rowOff>114300</xdr:rowOff>
    </xdr:to>
    <xdr:graphicFrame macro="">
      <xdr:nvGraphicFramePr>
        <xdr:cNvPr id="4168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57145</xdr:colOff>
      <xdr:row>18</xdr:row>
      <xdr:rowOff>137584</xdr:rowOff>
    </xdr:from>
    <xdr:to>
      <xdr:col>4</xdr:col>
      <xdr:colOff>63494</xdr:colOff>
      <xdr:row>35</xdr:row>
      <xdr:rowOff>39161</xdr:rowOff>
    </xdr:to>
    <xdr:cxnSp macro="">
      <xdr:nvCxnSpPr>
        <xdr:cNvPr id="4" name="3 Conector recto"/>
        <xdr:cNvCxnSpPr/>
      </xdr:nvCxnSpPr>
      <xdr:spPr>
        <a:xfrm flipH="1">
          <a:off x="3856562" y="3513667"/>
          <a:ext cx="6349" cy="2600327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666746</xdr:colOff>
      <xdr:row>17</xdr:row>
      <xdr:rowOff>42334</xdr:rowOff>
    </xdr:from>
    <xdr:to>
      <xdr:col>4</xdr:col>
      <xdr:colOff>465910</xdr:colOff>
      <xdr:row>18</xdr:row>
      <xdr:rowOff>119534</xdr:rowOff>
    </xdr:to>
    <xdr:sp macro="" textlink="">
      <xdr:nvSpPr>
        <xdr:cNvPr id="5" name="1 CuadroTexto"/>
        <xdr:cNvSpPr txBox="1"/>
      </xdr:nvSpPr>
      <xdr:spPr>
        <a:xfrm>
          <a:off x="3397246" y="3259667"/>
          <a:ext cx="868081" cy="235950"/>
        </a:xfrm>
        <a:prstGeom prst="rect">
          <a:avLst/>
        </a:prstGeom>
        <a:solidFill>
          <a:srgbClr val="1F497D">
            <a:alpha val="24000"/>
          </a:srgbClr>
        </a:solidFill>
        <a:scene3d>
          <a:camera prst="orthographicFront"/>
          <a:lightRig rig="threePt" dir="t"/>
        </a:scene3d>
        <a:sp3d>
          <a:bevelT prst="relaxedInset"/>
        </a:sp3d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s-AR" sz="1100"/>
            <a:t>TIR=56%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to/UTN/Evaluacion%20de%20Proyecto/TP/Entrega%20Dim%20Economico%20Financiero%20V21%20(OK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to/Google%20Drive/Facultad/5%20-%20Evaluaci&#243;n%20de%20Proyectos/TP/2%20-%20Dim%20Tecnico%20-%20Fisico/Ej%201%20al%2011%20-%20Yacobell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as/Dropbox/Evaluacion%20Proyectos/Dimensionamiento%20Fisico/Ej%201%20al%2011%20-%20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to/Google%20Drive/Facultad/5%20-%20Evaluaci&#243;n%20de%20Proyectos/TP/1-%20Dim%20Comercial/ventas%20proyecci&#243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x."/>
      <sheetName val="Detalle AF"/>
      <sheetName val="Detalle Costos"/>
      <sheetName val="InfoInicial"/>
      <sheetName val="DE-Inv AF y Am"/>
      <sheetName val="DE-Costos"/>
      <sheetName val="DE-InvAT"/>
      <sheetName val="DE-Cal Inv."/>
      <sheetName val="DE-IVA "/>
      <sheetName val="DE-Form"/>
      <sheetName val="Detalle Cred Terreno"/>
      <sheetName val="Detalle Cred Construccion"/>
      <sheetName val="Detalle Cred Maq y Equipos"/>
      <sheetName val="Detalle Cred Renovable"/>
      <sheetName val="DF-Cred"/>
      <sheetName val="DF-CRes"/>
      <sheetName val="DF-2 Estructura"/>
      <sheetName val="DF-IVA"/>
      <sheetName val="DF- CFyU"/>
      <sheetName val="DF-Balance"/>
      <sheetName val="DF- Form"/>
    </sheetNames>
    <sheetDataSet>
      <sheetData sheetId="0">
        <row r="12">
          <cell r="J12">
            <v>5.8193781687018928E-2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 1 -  Caucho"/>
      <sheetName val="EJ 1 - Caño"/>
      <sheetName val="EJ 1 - Separador"/>
      <sheetName val="EJ 2"/>
      <sheetName val="EJ 3"/>
      <sheetName val="EJ 4"/>
      <sheetName val="EJ 5"/>
      <sheetName val="EJ 6 - Caucho"/>
      <sheetName val="EJ 6 - Caño"/>
      <sheetName val="EJ 7 - Caucho"/>
      <sheetName val="EJ 7 - Caño"/>
      <sheetName val="EJ 8"/>
      <sheetName val="EJ 9"/>
      <sheetName val="EJ 10"/>
      <sheetName val="EJ 11"/>
    </sheetNames>
    <sheetDataSet>
      <sheetData sheetId="0">
        <row r="4">
          <cell r="F4">
            <v>6000</v>
          </cell>
        </row>
        <row r="28">
          <cell r="C28">
            <v>6138</v>
          </cell>
        </row>
      </sheetData>
      <sheetData sheetId="1">
        <row r="4">
          <cell r="F4">
            <v>16200.000000000002</v>
          </cell>
        </row>
        <row r="30">
          <cell r="C30">
            <v>17722.800000000003</v>
          </cell>
        </row>
      </sheetData>
      <sheetData sheetId="2">
        <row r="6">
          <cell r="F6">
            <v>120000</v>
          </cell>
        </row>
        <row r="28">
          <cell r="C28">
            <v>120480</v>
          </cell>
        </row>
      </sheetData>
      <sheetData sheetId="3">
        <row r="20">
          <cell r="G20">
            <v>1888</v>
          </cell>
        </row>
      </sheetData>
      <sheetData sheetId="4"/>
      <sheetData sheetId="5"/>
      <sheetData sheetId="6"/>
      <sheetData sheetId="7">
        <row r="27">
          <cell r="G27">
            <v>4841.7391304347821</v>
          </cell>
        </row>
      </sheetData>
      <sheetData sheetId="8">
        <row r="27">
          <cell r="G27">
            <v>13072.695652173914</v>
          </cell>
        </row>
      </sheetData>
      <sheetData sheetId="9"/>
      <sheetData sheetId="10"/>
      <sheetData sheetId="11"/>
      <sheetData sheetId="12">
        <row r="56">
          <cell r="H56">
            <v>50.847457627118644</v>
          </cell>
        </row>
        <row r="82">
          <cell r="H82">
            <v>137.28813559322035</v>
          </cell>
        </row>
        <row r="105">
          <cell r="G105">
            <v>69.813559322033896</v>
          </cell>
        </row>
        <row r="107">
          <cell r="G107">
            <v>5143.7787767133386</v>
          </cell>
        </row>
        <row r="113">
          <cell r="G113">
            <v>150.19322033898308</v>
          </cell>
        </row>
        <row r="115">
          <cell r="G115">
            <v>14458.314959469419</v>
          </cell>
        </row>
      </sheetData>
      <sheetData sheetId="13">
        <row r="31">
          <cell r="E31">
            <v>1334.3478260869574</v>
          </cell>
          <cell r="G31">
            <v>3852.7826086956575</v>
          </cell>
        </row>
      </sheetData>
      <sheetData sheetId="14">
        <row r="10">
          <cell r="E10">
            <v>17914.434782608696</v>
          </cell>
          <cell r="F10">
            <v>22200</v>
          </cell>
        </row>
        <row r="12">
          <cell r="E12">
            <v>220.00677966101699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 1 -  Poliprop."/>
      <sheetName val="EJ 1 - Gel"/>
      <sheetName val="EJ 2"/>
      <sheetName val="EJ 3"/>
      <sheetName val="EJ 4"/>
      <sheetName val="EJ 5"/>
      <sheetName val="EJ 6 - Poliprop."/>
      <sheetName val="EJ 6 - Gel"/>
      <sheetName val="EJ 7 - Poliprop."/>
      <sheetName val="EJ 7 - Gel"/>
      <sheetName val="EJ 8"/>
      <sheetName val="EJ 9"/>
      <sheetName val="EJ 10"/>
      <sheetName val="EJ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1">
          <cell r="I51">
            <v>2499</v>
          </cell>
        </row>
        <row r="56">
          <cell r="H56">
            <v>2145.0643776824036</v>
          </cell>
        </row>
        <row r="84">
          <cell r="H84">
            <v>3329.9569957081549</v>
          </cell>
        </row>
      </sheetData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9">
          <cell r="B9">
            <v>80000</v>
          </cell>
          <cell r="C9">
            <v>120000</v>
          </cell>
          <cell r="D9">
            <v>120000</v>
          </cell>
          <cell r="E9">
            <v>120000</v>
          </cell>
          <cell r="F9">
            <v>120000</v>
          </cell>
        </row>
        <row r="10">
          <cell r="B10">
            <v>140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C35"/>
  <sheetViews>
    <sheetView workbookViewId="0">
      <selection activeCell="B1" sqref="B1"/>
    </sheetView>
  </sheetViews>
  <sheetFormatPr baseColWidth="10" defaultRowHeight="12.75" x14ac:dyDescent="0.2"/>
  <cols>
    <col min="1" max="1" width="2.5703125" customWidth="1"/>
    <col min="2" max="2" width="68.140625" style="262" bestFit="1" customWidth="1"/>
    <col min="3" max="13" width="14.85546875" bestFit="1" customWidth="1"/>
    <col min="14" max="14" width="6.7109375" bestFit="1" customWidth="1"/>
    <col min="15" max="15" width="15" bestFit="1" customWidth="1"/>
    <col min="16" max="16" width="13.85546875" bestFit="1" customWidth="1"/>
    <col min="17" max="17" width="8.5703125" bestFit="1" customWidth="1"/>
    <col min="18" max="18" width="12.28515625" bestFit="1" customWidth="1"/>
    <col min="19" max="19" width="2.42578125" customWidth="1"/>
    <col min="20" max="20" width="41" bestFit="1" customWidth="1"/>
    <col min="21" max="21" width="42.7109375" bestFit="1" customWidth="1"/>
    <col min="22" max="22" width="13.42578125" bestFit="1" customWidth="1"/>
    <col min="23" max="23" width="2.7109375" customWidth="1"/>
    <col min="24" max="24" width="42.7109375" bestFit="1" customWidth="1"/>
    <col min="25" max="26" width="12.140625" bestFit="1" customWidth="1"/>
    <col min="27" max="27" width="15.28515625" bestFit="1" customWidth="1"/>
    <col min="28" max="28" width="13.42578125" bestFit="1" customWidth="1"/>
    <col min="29" max="29" width="17.42578125" bestFit="1" customWidth="1"/>
    <col min="30" max="30" width="11.5703125" customWidth="1"/>
  </cols>
  <sheetData>
    <row r="1" spans="1:29" ht="13.5" thickBot="1" x14ac:dyDescent="0.25">
      <c r="A1" s="220"/>
      <c r="B1" s="253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1"/>
      <c r="U1" s="222" t="s">
        <v>270</v>
      </c>
      <c r="W1" s="221"/>
      <c r="Y1" s="222" t="s">
        <v>271</v>
      </c>
      <c r="AC1" s="223"/>
    </row>
    <row r="2" spans="1:29" x14ac:dyDescent="0.2">
      <c r="A2" s="220"/>
      <c r="B2" s="254" t="s">
        <v>218</v>
      </c>
      <c r="C2" s="224">
        <v>2013</v>
      </c>
      <c r="D2" s="224">
        <f>+C2+1</f>
        <v>2014</v>
      </c>
      <c r="E2" s="224">
        <f t="shared" ref="E2:M2" si="0">+D2+1</f>
        <v>2015</v>
      </c>
      <c r="F2" s="224">
        <f t="shared" si="0"/>
        <v>2016</v>
      </c>
      <c r="G2" s="224">
        <f t="shared" si="0"/>
        <v>2017</v>
      </c>
      <c r="H2" s="224">
        <f t="shared" si="0"/>
        <v>2018</v>
      </c>
      <c r="I2" s="224">
        <f t="shared" si="0"/>
        <v>2019</v>
      </c>
      <c r="J2" s="224">
        <f t="shared" si="0"/>
        <v>2020</v>
      </c>
      <c r="K2" s="224">
        <f t="shared" si="0"/>
        <v>2021</v>
      </c>
      <c r="L2" s="224">
        <f t="shared" si="0"/>
        <v>2022</v>
      </c>
      <c r="M2" s="225">
        <f t="shared" si="0"/>
        <v>2023</v>
      </c>
      <c r="N2" s="220"/>
      <c r="O2" s="220"/>
      <c r="P2" s="226" t="s">
        <v>272</v>
      </c>
      <c r="Q2" s="220"/>
      <c r="R2" s="220"/>
      <c r="S2" s="227"/>
      <c r="T2" s="223" t="s">
        <v>273</v>
      </c>
      <c r="V2" s="228">
        <v>26.39</v>
      </c>
      <c r="W2" s="227"/>
      <c r="X2" s="223" t="s">
        <v>274</v>
      </c>
      <c r="Y2" s="223" t="s">
        <v>275</v>
      </c>
      <c r="Z2" s="223" t="s">
        <v>276</v>
      </c>
      <c r="AA2" s="223" t="s">
        <v>277</v>
      </c>
      <c r="AB2" s="223" t="s">
        <v>278</v>
      </c>
      <c r="AC2" s="223" t="s">
        <v>279</v>
      </c>
    </row>
    <row r="3" spans="1:29" x14ac:dyDescent="0.2">
      <c r="A3" s="220"/>
      <c r="B3" s="255" t="s">
        <v>280</v>
      </c>
      <c r="C3" s="229">
        <f>2019.25-P3</f>
        <v>1865.6</v>
      </c>
      <c r="D3" s="229">
        <v>2220</v>
      </c>
      <c r="E3" s="229">
        <v>2590</v>
      </c>
      <c r="F3" s="229">
        <v>2623</v>
      </c>
      <c r="G3" s="229">
        <v>2655</v>
      </c>
      <c r="H3" s="229">
        <v>2688</v>
      </c>
      <c r="I3" s="229">
        <v>2720</v>
      </c>
      <c r="J3" s="229">
        <v>2753</v>
      </c>
      <c r="K3" s="229">
        <v>2786</v>
      </c>
      <c r="L3" s="229">
        <v>2818</v>
      </c>
      <c r="M3" s="230">
        <v>2851</v>
      </c>
      <c r="N3" s="220"/>
      <c r="O3" s="220"/>
      <c r="P3" s="229">
        <v>153.65</v>
      </c>
      <c r="Q3" s="220"/>
      <c r="R3" s="220"/>
      <c r="S3" s="227"/>
      <c r="T3" s="223" t="s">
        <v>281</v>
      </c>
      <c r="V3" s="228">
        <f>+V2/0.83</f>
        <v>31.795180722891569</v>
      </c>
      <c r="W3" s="227"/>
      <c r="X3" s="223" t="s">
        <v>282</v>
      </c>
      <c r="Y3">
        <v>7500</v>
      </c>
      <c r="Z3">
        <v>7500</v>
      </c>
      <c r="AA3">
        <v>10000</v>
      </c>
      <c r="AB3">
        <v>16000</v>
      </c>
      <c r="AC3">
        <v>22000</v>
      </c>
    </row>
    <row r="4" spans="1:29" x14ac:dyDescent="0.2">
      <c r="A4" s="220"/>
      <c r="B4" s="256" t="s">
        <v>283</v>
      </c>
      <c r="C4" s="229">
        <f>C3*0.01+(C3*1.01)*0.01</f>
        <v>37.498559999999998</v>
      </c>
      <c r="D4" s="229">
        <f t="shared" ref="D4:M4" si="1">D3*0.01+(D3*1.01)*0.01</f>
        <v>44.622</v>
      </c>
      <c r="E4" s="229">
        <f t="shared" si="1"/>
        <v>52.059000000000005</v>
      </c>
      <c r="F4" s="229">
        <f t="shared" si="1"/>
        <v>52.722300000000004</v>
      </c>
      <c r="G4" s="229">
        <f t="shared" si="1"/>
        <v>53.365500000000004</v>
      </c>
      <c r="H4" s="229">
        <f t="shared" si="1"/>
        <v>54.028800000000004</v>
      </c>
      <c r="I4" s="229">
        <f t="shared" si="1"/>
        <v>54.671999999999997</v>
      </c>
      <c r="J4" s="229">
        <f t="shared" si="1"/>
        <v>55.335300000000004</v>
      </c>
      <c r="K4" s="229">
        <f t="shared" si="1"/>
        <v>55.998599999999996</v>
      </c>
      <c r="L4" s="229">
        <f t="shared" si="1"/>
        <v>56.641800000000003</v>
      </c>
      <c r="M4" s="230">
        <f t="shared" si="1"/>
        <v>57.305100000000003</v>
      </c>
      <c r="N4" s="220"/>
      <c r="O4" s="220"/>
      <c r="P4" s="229">
        <f>P3*0.01+(P3*1.01)*0.01</f>
        <v>3.0883650000000005</v>
      </c>
      <c r="Q4" s="220"/>
      <c r="R4" s="220"/>
      <c r="S4" s="227"/>
      <c r="T4" t="s">
        <v>284</v>
      </c>
      <c r="V4" s="228"/>
      <c r="W4" s="227"/>
      <c r="X4" s="223" t="s">
        <v>285</v>
      </c>
      <c r="Y4">
        <f>Y3*12</f>
        <v>90000</v>
      </c>
      <c r="Z4">
        <f>Z3*12</f>
        <v>90000</v>
      </c>
      <c r="AA4">
        <f>AA3*12</f>
        <v>120000</v>
      </c>
      <c r="AB4">
        <f>AB3*12</f>
        <v>192000</v>
      </c>
      <c r="AC4">
        <f>AC3*12</f>
        <v>264000</v>
      </c>
    </row>
    <row r="5" spans="1:29" x14ac:dyDescent="0.2">
      <c r="A5" s="220"/>
      <c r="B5" s="256" t="s">
        <v>286</v>
      </c>
      <c r="C5" s="231">
        <f>(C3+C4)*0.8/0.2</f>
        <v>7612.3942399999996</v>
      </c>
      <c r="D5" s="231">
        <f t="shared" ref="D5:M5" si="2">(D3+D4)*0.8/0.2</f>
        <v>9058.4879999999994</v>
      </c>
      <c r="E5" s="231">
        <f t="shared" si="2"/>
        <v>10568.236000000001</v>
      </c>
      <c r="F5" s="231">
        <f t="shared" si="2"/>
        <v>10702.8892</v>
      </c>
      <c r="G5" s="231">
        <f t="shared" si="2"/>
        <v>10833.462</v>
      </c>
      <c r="H5" s="231">
        <f t="shared" si="2"/>
        <v>10968.115199999998</v>
      </c>
      <c r="I5" s="231">
        <f t="shared" si="2"/>
        <v>11098.687999999998</v>
      </c>
      <c r="J5" s="231">
        <f t="shared" si="2"/>
        <v>11233.341200000001</v>
      </c>
      <c r="K5" s="231">
        <f t="shared" si="2"/>
        <v>11367.9944</v>
      </c>
      <c r="L5" s="231">
        <f t="shared" si="2"/>
        <v>11498.5672</v>
      </c>
      <c r="M5" s="232">
        <f t="shared" si="2"/>
        <v>11633.2204</v>
      </c>
      <c r="N5" s="220"/>
      <c r="O5" s="220"/>
      <c r="P5" s="231">
        <f>(P3+P4)*0.8/0.2</f>
        <v>626.95346000000006</v>
      </c>
      <c r="Q5" s="233">
        <f>C6+P6</f>
        <v>11407.472270000002</v>
      </c>
      <c r="R5" s="220"/>
      <c r="S5" s="227"/>
      <c r="V5" s="228"/>
      <c r="W5" s="227"/>
      <c r="X5" s="223" t="s">
        <v>287</v>
      </c>
      <c r="Y5" s="228">
        <f>Y4/0.83</f>
        <v>108433.73493975904</v>
      </c>
      <c r="Z5" s="228">
        <f>Z4/0.83</f>
        <v>108433.73493975904</v>
      </c>
      <c r="AA5" s="228">
        <f>AA4/0.83</f>
        <v>144578.31325301205</v>
      </c>
      <c r="AB5" s="228">
        <f>AB4/0.83</f>
        <v>231325.30120481929</v>
      </c>
      <c r="AC5" s="228">
        <f>AC4/0.83</f>
        <v>318072.2891566265</v>
      </c>
    </row>
    <row r="6" spans="1:29" x14ac:dyDescent="0.2">
      <c r="A6" s="220"/>
      <c r="B6" s="257" t="s">
        <v>288</v>
      </c>
      <c r="C6" s="234">
        <f>+SUM(C3:C5)*1.1</f>
        <v>10467.042080000001</v>
      </c>
      <c r="D6" s="234">
        <f t="shared" ref="D6:M6" si="3">+SUM(D3:D5)</f>
        <v>11323.109999999999</v>
      </c>
      <c r="E6" s="234">
        <f t="shared" si="3"/>
        <v>13210.295000000002</v>
      </c>
      <c r="F6" s="234">
        <f t="shared" si="3"/>
        <v>13378.611499999999</v>
      </c>
      <c r="G6" s="234">
        <f t="shared" si="3"/>
        <v>13541.827499999999</v>
      </c>
      <c r="H6" s="234">
        <f t="shared" si="3"/>
        <v>13710.143999999998</v>
      </c>
      <c r="I6" s="234">
        <f t="shared" si="3"/>
        <v>13873.359999999999</v>
      </c>
      <c r="J6" s="234">
        <f t="shared" si="3"/>
        <v>14041.676500000001</v>
      </c>
      <c r="K6" s="234">
        <f t="shared" si="3"/>
        <v>14209.992999999999</v>
      </c>
      <c r="L6" s="234">
        <f t="shared" si="3"/>
        <v>14373.208999999999</v>
      </c>
      <c r="M6" s="235">
        <f t="shared" si="3"/>
        <v>14541.5255</v>
      </c>
      <c r="N6" s="220"/>
      <c r="O6" s="220"/>
      <c r="P6" s="234">
        <f>+SUM(P3:P5)*1.2</f>
        <v>940.43019000000004</v>
      </c>
      <c r="Q6" s="233">
        <f>C6/1.1+P6/1.2</f>
        <v>10299.184625</v>
      </c>
      <c r="R6" s="220"/>
      <c r="S6" s="227"/>
      <c r="V6" s="228"/>
      <c r="W6" s="227"/>
      <c r="X6" s="223" t="s">
        <v>289</v>
      </c>
      <c r="Y6" s="228">
        <f>Y5*2</f>
        <v>216867.46987951809</v>
      </c>
      <c r="Z6" s="228">
        <f>Z5*4</f>
        <v>433734.93975903618</v>
      </c>
      <c r="AA6" s="228">
        <f>AA5</f>
        <v>144578.31325301205</v>
      </c>
      <c r="AB6" s="236">
        <f>AB5*5</f>
        <v>1156626.5060240964</v>
      </c>
      <c r="AC6" s="228">
        <f>AC5</f>
        <v>318072.2891566265</v>
      </c>
    </row>
    <row r="7" spans="1:29" ht="18" x14ac:dyDescent="0.25">
      <c r="A7" s="220"/>
      <c r="B7" s="255" t="s">
        <v>290</v>
      </c>
      <c r="C7" s="229">
        <f>C6/50</f>
        <v>209.34084160000003</v>
      </c>
      <c r="D7" s="229">
        <f>D6/50</f>
        <v>226.46219999999997</v>
      </c>
      <c r="E7" s="229">
        <f t="shared" ref="E7:M7" si="4">E6/50</f>
        <v>264.20590000000004</v>
      </c>
      <c r="F7" s="229">
        <f t="shared" si="4"/>
        <v>267.57222999999999</v>
      </c>
      <c r="G7" s="237">
        <f t="shared" si="4"/>
        <v>270.83654999999999</v>
      </c>
      <c r="H7" s="229">
        <f t="shared" si="4"/>
        <v>274.20287999999999</v>
      </c>
      <c r="I7" s="229">
        <f t="shared" si="4"/>
        <v>277.46719999999999</v>
      </c>
      <c r="J7" s="229">
        <f t="shared" si="4"/>
        <v>280.83353000000005</v>
      </c>
      <c r="K7" s="229">
        <f t="shared" si="4"/>
        <v>284.19985999999994</v>
      </c>
      <c r="L7" s="229">
        <f t="shared" si="4"/>
        <v>287.46418</v>
      </c>
      <c r="M7" s="230">
        <f t="shared" si="4"/>
        <v>290.83051</v>
      </c>
      <c r="N7" s="220"/>
      <c r="O7" s="220"/>
      <c r="P7" s="229">
        <f>P6/50</f>
        <v>18.8086038</v>
      </c>
      <c r="Q7" s="233"/>
      <c r="R7" s="238"/>
      <c r="S7" s="227"/>
      <c r="T7" s="239" t="s">
        <v>291</v>
      </c>
      <c r="V7" s="228"/>
      <c r="W7" s="227"/>
      <c r="X7" s="223" t="s">
        <v>292</v>
      </c>
      <c r="Y7" s="228">
        <f>Y6/(243*9)</f>
        <v>99.162080420447225</v>
      </c>
      <c r="Z7" s="228">
        <f>Z6/(243*9)</f>
        <v>198.32416084089445</v>
      </c>
      <c r="AA7" s="228">
        <f>AA6/(243*9)</f>
        <v>66.108053613631483</v>
      </c>
      <c r="AB7" s="236">
        <f>AB6/(243*9)</f>
        <v>528.86442890905187</v>
      </c>
      <c r="AC7" s="228">
        <f>AC6/(243*9)</f>
        <v>145.43771794998926</v>
      </c>
    </row>
    <row r="8" spans="1:29" x14ac:dyDescent="0.2">
      <c r="A8" s="220"/>
      <c r="B8" s="256" t="s">
        <v>293</v>
      </c>
      <c r="C8" s="229">
        <f>5489130*(C3/($C$3+$P$3))</f>
        <v>5071447.779125913</v>
      </c>
      <c r="D8" s="229">
        <v>4824530</v>
      </c>
      <c r="E8" s="229">
        <v>5630434</v>
      </c>
      <c r="F8" s="229">
        <v>5702173</v>
      </c>
      <c r="G8" s="237">
        <v>5771739</v>
      </c>
      <c r="H8" s="229">
        <v>5843478</v>
      </c>
      <c r="I8" s="229">
        <v>5913043</v>
      </c>
      <c r="J8" s="229">
        <v>5984782</v>
      </c>
      <c r="K8" s="229">
        <v>6056521</v>
      </c>
      <c r="L8" s="229">
        <v>6126086</v>
      </c>
      <c r="M8" s="230">
        <v>6197826</v>
      </c>
      <c r="N8" s="220"/>
      <c r="O8" s="220"/>
      <c r="P8" s="229">
        <f>5489130*(P3/($C$3+$P$3))</f>
        <v>417682.22087408695</v>
      </c>
      <c r="Q8" s="233">
        <f>+Q5/243*5</f>
        <v>234.72165164609061</v>
      </c>
      <c r="R8" s="238">
        <f>Q8*$C$10</f>
        <v>257297.18010141162</v>
      </c>
      <c r="S8" s="227"/>
      <c r="V8" s="228"/>
      <c r="W8" s="227"/>
      <c r="X8" s="223"/>
      <c r="Y8" s="228"/>
      <c r="Z8" s="228"/>
      <c r="AA8" s="228"/>
      <c r="AB8" s="236"/>
      <c r="AC8" s="228"/>
    </row>
    <row r="9" spans="1:29" ht="18.75" thickBot="1" x14ac:dyDescent="0.3">
      <c r="A9" s="220"/>
      <c r="B9" s="258" t="s">
        <v>294</v>
      </c>
      <c r="C9" s="240">
        <f>+C6/C8</f>
        <v>2.0639159734784931E-3</v>
      </c>
      <c r="D9" s="240">
        <f t="shared" ref="D9:M9" si="5">+D6/D8</f>
        <v>2.3469871676619273E-3</v>
      </c>
      <c r="E9" s="240">
        <f t="shared" si="5"/>
        <v>2.3462303261169567E-3</v>
      </c>
      <c r="F9" s="240">
        <f t="shared" si="5"/>
        <v>2.3462303756830948E-3</v>
      </c>
      <c r="G9" s="240">
        <f t="shared" si="5"/>
        <v>2.3462300530221478E-3</v>
      </c>
      <c r="H9" s="240">
        <f t="shared" si="5"/>
        <v>2.3462301047424152E-3</v>
      </c>
      <c r="I9" s="240">
        <f t="shared" si="5"/>
        <v>2.3462301897686183E-3</v>
      </c>
      <c r="J9" s="240">
        <f t="shared" si="5"/>
        <v>2.3462302386285752E-3</v>
      </c>
      <c r="K9" s="240">
        <f t="shared" si="5"/>
        <v>2.3462302863310469E-3</v>
      </c>
      <c r="L9" s="240">
        <f t="shared" si="5"/>
        <v>2.3462303663383112E-3</v>
      </c>
      <c r="M9" s="241">
        <f t="shared" si="5"/>
        <v>2.3462300329179942E-3</v>
      </c>
      <c r="N9" s="220"/>
      <c r="O9" s="220"/>
      <c r="P9" s="240">
        <f>+P6/P8</f>
        <v>2.2515446983401742E-3</v>
      </c>
      <c r="Q9" s="233">
        <f>Q5-Q6-Q8</f>
        <v>873.56599335391161</v>
      </c>
      <c r="R9" s="238">
        <f>Q9*$C$10</f>
        <v>957585.57059469086</v>
      </c>
      <c r="S9" s="227"/>
      <c r="V9" s="228"/>
      <c r="W9" s="227"/>
      <c r="X9" s="239" t="s">
        <v>295</v>
      </c>
      <c r="Y9" s="228"/>
      <c r="Z9" s="228"/>
      <c r="AA9" s="228"/>
      <c r="AB9" s="236"/>
      <c r="AC9" s="228"/>
    </row>
    <row r="10" spans="1:29" x14ac:dyDescent="0.2">
      <c r="A10" s="220"/>
      <c r="B10" s="259" t="s">
        <v>296</v>
      </c>
      <c r="C10" s="243">
        <v>1096.18</v>
      </c>
      <c r="D10" s="243">
        <f>C10*(1+[1]Aux.!$J$12)</f>
        <v>1159.9708596096764</v>
      </c>
      <c r="E10" s="243">
        <f>D10*(1+[1]Aux.!$J$12)</f>
        <v>1227.4739505771054</v>
      </c>
      <c r="F10" s="243">
        <f>E10*(1+[1]Aux.!$J$12)</f>
        <v>1298.9053016834919</v>
      </c>
      <c r="G10" s="243">
        <f>F10*(1+[1]Aux.!$J$12)</f>
        <v>1374.4935132417722</v>
      </c>
      <c r="H10" s="243">
        <f>G10*(1+[1]Aux.!$J$12)</f>
        <v>1454.4804886815875</v>
      </c>
      <c r="I10" s="243">
        <f>H10*(1+[1]Aux.!$J$12)</f>
        <v>1539.1222087079523</v>
      </c>
      <c r="J10" s="243">
        <f>I10*(1+[1]Aux.!$J$12)</f>
        <v>1628.6895505111452</v>
      </c>
      <c r="K10" s="243">
        <f>J10*(1+[1]Aux.!$J$12)</f>
        <v>1723.4691546495196</v>
      </c>
      <c r="L10" s="243">
        <f>K10*(1+[1]Aux.!$J$12)</f>
        <v>1823.7643423795046</v>
      </c>
      <c r="M10" s="243">
        <f>L10*(1+[1]Aux.!$J$12)</f>
        <v>1929.896086368507</v>
      </c>
      <c r="N10" s="244"/>
      <c r="O10" s="220"/>
      <c r="P10" s="245">
        <f>C10</f>
        <v>1096.18</v>
      </c>
      <c r="Q10" s="233"/>
      <c r="R10" s="238"/>
      <c r="S10" s="227"/>
      <c r="V10" s="228"/>
      <c r="W10" s="227"/>
      <c r="X10" s="223"/>
      <c r="Y10" s="228"/>
      <c r="Z10" s="228"/>
      <c r="AA10" s="228"/>
      <c r="AB10" s="236"/>
      <c r="AC10" s="228"/>
    </row>
    <row r="11" spans="1:29" x14ac:dyDescent="0.2">
      <c r="A11" s="220"/>
      <c r="B11" s="259" t="s">
        <v>297</v>
      </c>
      <c r="C11" s="243">
        <f>+C6*C10</f>
        <v>11473762.187254401</v>
      </c>
      <c r="D11" s="243">
        <f t="shared" ref="D11:M11" si="6">+D6*D10</f>
        <v>13134477.640154921</v>
      </c>
      <c r="E11" s="243">
        <f t="shared" si="6"/>
        <v>16215292.991938984</v>
      </c>
      <c r="F11" s="243">
        <f t="shared" si="6"/>
        <v>17377549.406513732</v>
      </c>
      <c r="G11" s="243">
        <f t="shared" si="6"/>
        <v>18613154.056189045</v>
      </c>
      <c r="H11" s="243">
        <f t="shared" si="6"/>
        <v>19941136.945014931</v>
      </c>
      <c r="I11" s="243">
        <f t="shared" si="6"/>
        <v>21352796.485400554</v>
      </c>
      <c r="J11" s="243">
        <f t="shared" si="6"/>
        <v>22869531.787207913</v>
      </c>
      <c r="K11" s="243">
        <f t="shared" si="6"/>
        <v>24490484.623285588</v>
      </c>
      <c r="L11" s="243">
        <f t="shared" si="6"/>
        <v>26213346.059768174</v>
      </c>
      <c r="M11" s="243">
        <f t="shared" si="6"/>
        <v>28063633.152277846</v>
      </c>
      <c r="N11" s="220"/>
      <c r="O11" s="242" t="s">
        <v>298</v>
      </c>
      <c r="P11" s="243">
        <f>+P6*$C$10</f>
        <v>1030880.7656742001</v>
      </c>
      <c r="Q11" s="220"/>
      <c r="R11" s="220"/>
      <c r="S11" s="227"/>
      <c r="V11" s="228"/>
      <c r="W11" s="227"/>
      <c r="X11" s="223"/>
      <c r="Y11" s="228"/>
      <c r="Z11" s="228"/>
      <c r="AA11" s="228"/>
      <c r="AB11" s="236"/>
      <c r="AC11" s="228"/>
    </row>
    <row r="12" spans="1:29" x14ac:dyDescent="0.2">
      <c r="A12" s="220"/>
      <c r="B12" s="259" t="s">
        <v>299</v>
      </c>
      <c r="C12" s="246">
        <f>+C8*$N$12*1.01</f>
        <v>1382983.8093676367</v>
      </c>
      <c r="D12" s="246">
        <f t="shared" ref="D12:M12" si="7">+D8*$N$12*1.01</f>
        <v>1315649.331</v>
      </c>
      <c r="E12" s="246">
        <f t="shared" si="7"/>
        <v>1535419.3518000003</v>
      </c>
      <c r="F12" s="246">
        <f t="shared" si="7"/>
        <v>1554982.5771000001</v>
      </c>
      <c r="G12" s="246">
        <f t="shared" si="7"/>
        <v>1573953.2253</v>
      </c>
      <c r="H12" s="246">
        <f t="shared" si="7"/>
        <v>1593516.4506000001</v>
      </c>
      <c r="I12" s="246">
        <f t="shared" si="7"/>
        <v>1612486.8261000002</v>
      </c>
      <c r="J12" s="246">
        <f t="shared" si="7"/>
        <v>1632050.0514000002</v>
      </c>
      <c r="K12" s="246">
        <f t="shared" si="7"/>
        <v>1651613.2767000003</v>
      </c>
      <c r="L12" s="246">
        <f t="shared" si="7"/>
        <v>1670583.6522000001</v>
      </c>
      <c r="M12" s="246">
        <f t="shared" si="7"/>
        <v>1690147.1502</v>
      </c>
      <c r="N12" s="243">
        <v>0.27</v>
      </c>
      <c r="O12" s="242" t="s">
        <v>300</v>
      </c>
      <c r="P12" s="246">
        <f>+P8*$N$12*1.01</f>
        <v>113901.94163236352</v>
      </c>
      <c r="Q12" s="220"/>
      <c r="R12" s="220"/>
      <c r="S12" s="227"/>
      <c r="T12" t="s">
        <v>301</v>
      </c>
      <c r="U12" t="s">
        <v>302</v>
      </c>
      <c r="V12" s="228">
        <f>243*0.5*V3</f>
        <v>3863.1144578313256</v>
      </c>
      <c r="W12" s="227"/>
      <c r="X12" t="s">
        <v>302</v>
      </c>
      <c r="Y12" s="228">
        <f>Y7*0.5*243</f>
        <v>12048.192771084337</v>
      </c>
      <c r="Z12" s="228">
        <f>Z7*0.5*243</f>
        <v>24096.385542168675</v>
      </c>
      <c r="AA12" s="228">
        <f>AA7*0.5*243</f>
        <v>8032.128514056225</v>
      </c>
      <c r="AB12" s="228">
        <f>AB7*0.5*243</f>
        <v>64257.0281124498</v>
      </c>
      <c r="AC12" s="228">
        <f>AC7*0.5*243</f>
        <v>17670.682730923694</v>
      </c>
    </row>
    <row r="13" spans="1:29" x14ac:dyDescent="0.2">
      <c r="A13" s="220"/>
      <c r="B13" s="260" t="s">
        <v>303</v>
      </c>
      <c r="C13" s="238">
        <f>+SUM(C11:C12)</f>
        <v>12856745.996622037</v>
      </c>
      <c r="D13" s="238">
        <f t="shared" ref="D13:M13" si="8">+SUM(D11:D12)</f>
        <v>14450126.971154921</v>
      </c>
      <c r="E13" s="238">
        <f t="shared" si="8"/>
        <v>17750712.343738984</v>
      </c>
      <c r="F13" s="238">
        <f t="shared" si="8"/>
        <v>18932531.983613733</v>
      </c>
      <c r="G13" s="238">
        <f t="shared" si="8"/>
        <v>20187107.281489044</v>
      </c>
      <c r="H13" s="238">
        <f t="shared" si="8"/>
        <v>21534653.395614929</v>
      </c>
      <c r="I13" s="238">
        <f t="shared" si="8"/>
        <v>22965283.311500553</v>
      </c>
      <c r="J13" s="238">
        <f t="shared" si="8"/>
        <v>24501581.838607915</v>
      </c>
      <c r="K13" s="238">
        <f t="shared" si="8"/>
        <v>26142097.899985589</v>
      </c>
      <c r="L13" s="238">
        <f t="shared" si="8"/>
        <v>27883929.711968172</v>
      </c>
      <c r="M13" s="238">
        <f t="shared" si="8"/>
        <v>29753780.302477844</v>
      </c>
      <c r="N13" s="220"/>
      <c r="O13" s="220"/>
      <c r="P13" s="238">
        <f>+SUM(P11:P12)</f>
        <v>1144782.7073065636</v>
      </c>
      <c r="Q13" s="220"/>
      <c r="R13" s="220"/>
      <c r="S13" s="227"/>
      <c r="T13" t="s">
        <v>304</v>
      </c>
      <c r="U13" t="s">
        <v>305</v>
      </c>
      <c r="V13" s="228">
        <f>9*9*V3</f>
        <v>2575.4096385542171</v>
      </c>
      <c r="W13" s="227"/>
      <c r="X13" t="s">
        <v>305</v>
      </c>
      <c r="Y13" s="228">
        <f>9*9*Y7</f>
        <v>8032.128514056225</v>
      </c>
      <c r="Z13" s="228">
        <f>9*9*Z7</f>
        <v>16064.25702811245</v>
      </c>
      <c r="AA13" s="228">
        <f>9*9*AA7</f>
        <v>5354.7523427041506</v>
      </c>
      <c r="AB13" s="228">
        <f>9*9*AB7</f>
        <v>42838.018741633205</v>
      </c>
      <c r="AC13" s="228">
        <f>9*9*AC7</f>
        <v>11780.455153949129</v>
      </c>
    </row>
    <row r="14" spans="1:29" x14ac:dyDescent="0.2">
      <c r="A14" s="247"/>
      <c r="B14" s="261"/>
      <c r="C14" s="248"/>
      <c r="D14" s="248"/>
      <c r="E14" s="248"/>
      <c r="F14" s="248"/>
      <c r="G14" s="248"/>
      <c r="H14" s="248"/>
      <c r="I14" s="248"/>
      <c r="J14" s="248"/>
      <c r="K14" s="248"/>
      <c r="L14" s="248"/>
      <c r="M14" s="248"/>
      <c r="N14" s="247"/>
      <c r="O14" s="247"/>
      <c r="P14" s="247"/>
      <c r="Q14" s="247"/>
      <c r="R14" s="247"/>
      <c r="S14" s="227"/>
      <c r="T14" t="s">
        <v>306</v>
      </c>
      <c r="U14" t="s">
        <v>307</v>
      </c>
      <c r="V14" s="228">
        <f>1*9*V3</f>
        <v>286.15662650602411</v>
      </c>
      <c r="W14" s="227"/>
      <c r="X14" t="s">
        <v>307</v>
      </c>
      <c r="Y14" s="228">
        <f>9*Y7</f>
        <v>892.45872378402498</v>
      </c>
      <c r="Z14" s="228">
        <f>9*Z7</f>
        <v>1784.91744756805</v>
      </c>
      <c r="AA14" s="228">
        <f>9*AA7</f>
        <v>594.97248252268332</v>
      </c>
      <c r="AB14" s="228">
        <f>9*AB7</f>
        <v>4759.7798601814666</v>
      </c>
      <c r="AC14" s="228">
        <f>9*AC7</f>
        <v>1308.9394615499034</v>
      </c>
    </row>
    <row r="15" spans="1:29" x14ac:dyDescent="0.2">
      <c r="A15" s="220"/>
      <c r="B15" s="260" t="s">
        <v>308</v>
      </c>
      <c r="C15" s="238">
        <f>$V$35</f>
        <v>1160513.921927711</v>
      </c>
      <c r="D15" s="238">
        <f t="shared" ref="D15:M15" si="9">$V$35</f>
        <v>1160513.921927711</v>
      </c>
      <c r="E15" s="238">
        <f t="shared" si="9"/>
        <v>1160513.921927711</v>
      </c>
      <c r="F15" s="238">
        <f t="shared" si="9"/>
        <v>1160513.921927711</v>
      </c>
      <c r="G15" s="238">
        <f t="shared" si="9"/>
        <v>1160513.921927711</v>
      </c>
      <c r="H15" s="238">
        <f t="shared" si="9"/>
        <v>1160513.921927711</v>
      </c>
      <c r="I15" s="238">
        <f t="shared" si="9"/>
        <v>1160513.921927711</v>
      </c>
      <c r="J15" s="238">
        <f t="shared" si="9"/>
        <v>1160513.921927711</v>
      </c>
      <c r="K15" s="238">
        <f t="shared" si="9"/>
        <v>1160513.921927711</v>
      </c>
      <c r="L15" s="238">
        <f t="shared" si="9"/>
        <v>1160513.921927711</v>
      </c>
      <c r="M15" s="238">
        <f t="shared" si="9"/>
        <v>1160513.921927711</v>
      </c>
      <c r="N15" s="220"/>
      <c r="O15" s="220"/>
      <c r="P15" s="220"/>
      <c r="Q15" s="220"/>
      <c r="R15" s="220"/>
      <c r="S15" s="227"/>
      <c r="T15" t="s">
        <v>309</v>
      </c>
      <c r="U15" t="s">
        <v>310</v>
      </c>
      <c r="V15" s="228">
        <f>15*9*V3</f>
        <v>4292.3493975903621</v>
      </c>
      <c r="W15" s="227"/>
      <c r="X15" t="s">
        <v>310</v>
      </c>
      <c r="Y15" s="228">
        <f>15*9*Y7</f>
        <v>13386.880856760376</v>
      </c>
      <c r="Z15" s="228">
        <f>15*9*Z7</f>
        <v>26773.761713520751</v>
      </c>
      <c r="AA15" s="228">
        <f>15*9*AA7</f>
        <v>8924.587237840251</v>
      </c>
      <c r="AB15" s="228">
        <f>15*9*AB7</f>
        <v>71396.697902722008</v>
      </c>
      <c r="AC15" s="228">
        <f>15*9*AC7</f>
        <v>19634.09192324855</v>
      </c>
    </row>
    <row r="16" spans="1:29" x14ac:dyDescent="0.2">
      <c r="A16" s="220"/>
      <c r="B16" s="253"/>
      <c r="C16" s="220"/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7"/>
      <c r="T16" t="s">
        <v>311</v>
      </c>
      <c r="U16" t="s">
        <v>312</v>
      </c>
      <c r="V16" s="228">
        <v>0</v>
      </c>
      <c r="W16" s="227"/>
      <c r="X16" t="s">
        <v>312</v>
      </c>
      <c r="Y16" s="228">
        <v>0</v>
      </c>
      <c r="Z16" s="228">
        <v>0</v>
      </c>
      <c r="AA16" s="228">
        <v>0</v>
      </c>
      <c r="AB16" s="228">
        <v>0</v>
      </c>
      <c r="AC16" s="228">
        <v>0</v>
      </c>
    </row>
    <row r="17" spans="1:29" x14ac:dyDescent="0.2">
      <c r="A17" s="220"/>
      <c r="B17" s="259" t="s">
        <v>313</v>
      </c>
      <c r="C17" s="243">
        <f>$AA$35</f>
        <v>228604.61103673954</v>
      </c>
      <c r="D17" s="243">
        <f t="shared" ref="D17:M17" si="10">$AA$35</f>
        <v>228604.61103673954</v>
      </c>
      <c r="E17" s="243">
        <f t="shared" si="10"/>
        <v>228604.61103673954</v>
      </c>
      <c r="F17" s="243">
        <f t="shared" si="10"/>
        <v>228604.61103673954</v>
      </c>
      <c r="G17" s="243">
        <f t="shared" si="10"/>
        <v>228604.61103673954</v>
      </c>
      <c r="H17" s="243">
        <f t="shared" si="10"/>
        <v>228604.61103673954</v>
      </c>
      <c r="I17" s="243">
        <f t="shared" si="10"/>
        <v>228604.61103673954</v>
      </c>
      <c r="J17" s="243">
        <f t="shared" si="10"/>
        <v>228604.61103673954</v>
      </c>
      <c r="K17" s="243">
        <f t="shared" si="10"/>
        <v>228604.61103673954</v>
      </c>
      <c r="L17" s="243">
        <f t="shared" si="10"/>
        <v>228604.61103673954</v>
      </c>
      <c r="M17" s="243">
        <f t="shared" si="10"/>
        <v>228604.61103673954</v>
      </c>
      <c r="N17" s="220"/>
      <c r="O17" s="220"/>
      <c r="P17" s="220"/>
      <c r="Q17" s="220"/>
      <c r="R17" s="220"/>
      <c r="S17" s="227"/>
      <c r="T17" t="s">
        <v>314</v>
      </c>
      <c r="U17" t="s">
        <v>315</v>
      </c>
      <c r="V17" s="228">
        <v>0</v>
      </c>
      <c r="W17" s="227"/>
      <c r="X17" t="s">
        <v>315</v>
      </c>
      <c r="Y17" s="228">
        <v>0</v>
      </c>
      <c r="Z17" s="228">
        <v>0</v>
      </c>
      <c r="AA17" s="228">
        <v>0</v>
      </c>
      <c r="AB17" s="228">
        <v>0</v>
      </c>
      <c r="AC17" s="228">
        <v>0</v>
      </c>
    </row>
    <row r="18" spans="1:29" x14ac:dyDescent="0.2">
      <c r="A18" s="220"/>
      <c r="B18" s="259" t="s">
        <v>275</v>
      </c>
      <c r="C18" s="243">
        <f>$Y$35</f>
        <v>342906.91655510938</v>
      </c>
      <c r="D18" s="243">
        <f t="shared" ref="D18:M18" si="11">$Y$35</f>
        <v>342906.91655510938</v>
      </c>
      <c r="E18" s="243">
        <f t="shared" si="11"/>
        <v>342906.91655510938</v>
      </c>
      <c r="F18" s="243">
        <f t="shared" si="11"/>
        <v>342906.91655510938</v>
      </c>
      <c r="G18" s="243">
        <f t="shared" si="11"/>
        <v>342906.91655510938</v>
      </c>
      <c r="H18" s="243">
        <f t="shared" si="11"/>
        <v>342906.91655510938</v>
      </c>
      <c r="I18" s="243">
        <f t="shared" si="11"/>
        <v>342906.91655510938</v>
      </c>
      <c r="J18" s="243">
        <f t="shared" si="11"/>
        <v>342906.91655510938</v>
      </c>
      <c r="K18" s="243">
        <f t="shared" si="11"/>
        <v>342906.91655510938</v>
      </c>
      <c r="L18" s="243">
        <f t="shared" si="11"/>
        <v>342906.91655510938</v>
      </c>
      <c r="M18" s="243">
        <f t="shared" si="11"/>
        <v>342906.91655510938</v>
      </c>
      <c r="N18" s="220"/>
      <c r="O18" s="220"/>
      <c r="P18" s="220"/>
      <c r="Q18" s="220"/>
      <c r="R18" s="220"/>
      <c r="S18" s="227"/>
      <c r="T18" t="s">
        <v>316</v>
      </c>
      <c r="U18" t="s">
        <v>317</v>
      </c>
      <c r="V18" s="228">
        <f>(243*9*V3)/12</f>
        <v>5794.6716867469886</v>
      </c>
      <c r="W18" s="227"/>
      <c r="X18" t="s">
        <v>317</v>
      </c>
      <c r="Y18" s="236">
        <f>(243*9*Y7)/12</f>
        <v>18072.289156626506</v>
      </c>
      <c r="Z18" s="236">
        <f>(243*9*Z7)/12</f>
        <v>36144.578313253012</v>
      </c>
      <c r="AA18" s="236">
        <f>(243*9*AA7)/12</f>
        <v>12048.192771084337</v>
      </c>
      <c r="AB18" s="236">
        <f>(243*9*AB7)/12</f>
        <v>96385.542168674699</v>
      </c>
      <c r="AC18" s="236">
        <f>(243*9*AC7)/12</f>
        <v>26506.024096385543</v>
      </c>
    </row>
    <row r="19" spans="1:29" x14ac:dyDescent="0.2">
      <c r="A19" s="220"/>
      <c r="B19" s="260" t="s">
        <v>318</v>
      </c>
      <c r="C19" s="238">
        <f t="shared" ref="C19:M19" si="12">+SUM(C17:C18)</f>
        <v>571511.52759184898</v>
      </c>
      <c r="D19" s="238">
        <f t="shared" si="12"/>
        <v>571511.52759184898</v>
      </c>
      <c r="E19" s="238">
        <f t="shared" si="12"/>
        <v>571511.52759184898</v>
      </c>
      <c r="F19" s="238">
        <f t="shared" si="12"/>
        <v>571511.52759184898</v>
      </c>
      <c r="G19" s="238">
        <f t="shared" si="12"/>
        <v>571511.52759184898</v>
      </c>
      <c r="H19" s="238">
        <f t="shared" si="12"/>
        <v>571511.52759184898</v>
      </c>
      <c r="I19" s="238">
        <f t="shared" si="12"/>
        <v>571511.52759184898</v>
      </c>
      <c r="J19" s="238">
        <f t="shared" si="12"/>
        <v>571511.52759184898</v>
      </c>
      <c r="K19" s="238">
        <f t="shared" si="12"/>
        <v>571511.52759184898</v>
      </c>
      <c r="L19" s="238">
        <f t="shared" si="12"/>
        <v>571511.52759184898</v>
      </c>
      <c r="M19" s="238">
        <f t="shared" si="12"/>
        <v>571511.52759184898</v>
      </c>
      <c r="N19" s="220"/>
      <c r="O19" s="220"/>
      <c r="P19" s="220"/>
      <c r="Q19" s="220"/>
      <c r="R19" s="220"/>
      <c r="S19" s="227"/>
      <c r="V19" s="228"/>
      <c r="W19" s="227"/>
      <c r="Y19" s="228"/>
      <c r="Z19" s="228"/>
      <c r="AA19" s="228"/>
      <c r="AB19" s="228"/>
      <c r="AC19" s="228"/>
    </row>
    <row r="20" spans="1:29" x14ac:dyDescent="0.2">
      <c r="A20" s="220"/>
      <c r="B20" s="259"/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20"/>
      <c r="O20" s="220"/>
      <c r="P20" s="220"/>
      <c r="Q20" s="220"/>
      <c r="R20" s="220"/>
      <c r="S20" s="227"/>
      <c r="T20" t="s">
        <v>319</v>
      </c>
      <c r="V20" s="228">
        <f>+SUM(V12:V18)*12</f>
        <v>201740.42168674699</v>
      </c>
      <c r="W20" s="227"/>
      <c r="X20" t="s">
        <v>319</v>
      </c>
      <c r="Y20" s="228">
        <f>+SUM(Y12:Y18)</f>
        <v>52431.950022311474</v>
      </c>
      <c r="Z20" s="228">
        <f>+SUM(Z12:Z18)</f>
        <v>104863.90004462295</v>
      </c>
      <c r="AA20" s="228">
        <f>+SUM(AA12:AA18)</f>
        <v>34954.633348207644</v>
      </c>
      <c r="AB20" s="228">
        <f>+SUM(AB12:AB18)</f>
        <v>279637.06678566115</v>
      </c>
      <c r="AC20" s="228">
        <f>+SUM(AC12:AC18)</f>
        <v>76900.193366056817</v>
      </c>
    </row>
    <row r="21" spans="1:29" x14ac:dyDescent="0.2">
      <c r="A21" s="220"/>
      <c r="B21" s="260" t="s">
        <v>94</v>
      </c>
      <c r="C21" s="238">
        <f>22730*5.5</f>
        <v>125015</v>
      </c>
      <c r="D21" s="238">
        <f t="shared" ref="D21:M21" si="13">+D3*$C21/$C3</f>
        <v>148763.56132075473</v>
      </c>
      <c r="E21" s="238">
        <f t="shared" si="13"/>
        <v>173557.48820754717</v>
      </c>
      <c r="F21" s="238">
        <f t="shared" si="13"/>
        <v>175768.83844339623</v>
      </c>
      <c r="G21" s="238">
        <f t="shared" si="13"/>
        <v>177913.17806603774</v>
      </c>
      <c r="H21" s="238">
        <f t="shared" si="13"/>
        <v>180124.52830188681</v>
      </c>
      <c r="I21" s="238">
        <f t="shared" si="13"/>
        <v>182268.86792452831</v>
      </c>
      <c r="J21" s="238">
        <f t="shared" si="13"/>
        <v>184480.21816037738</v>
      </c>
      <c r="K21" s="238">
        <f t="shared" si="13"/>
        <v>186691.56839622642</v>
      </c>
      <c r="L21" s="238">
        <f t="shared" si="13"/>
        <v>188835.90801886792</v>
      </c>
      <c r="M21" s="238">
        <f t="shared" si="13"/>
        <v>191047.25825471699</v>
      </c>
      <c r="N21" s="220"/>
      <c r="O21" s="220"/>
      <c r="P21" s="220"/>
      <c r="Q21" s="220"/>
      <c r="R21" s="220"/>
      <c r="S21" s="227"/>
      <c r="V21" s="228"/>
      <c r="W21" s="227"/>
      <c r="Y21" s="228"/>
      <c r="Z21" s="228"/>
      <c r="AA21" s="228"/>
      <c r="AB21" s="228"/>
      <c r="AC21" s="228"/>
    </row>
    <row r="22" spans="1:29" x14ac:dyDescent="0.2">
      <c r="A22" s="220"/>
      <c r="B22" s="260" t="s">
        <v>320</v>
      </c>
      <c r="C22" s="238">
        <f>1313*5.5</f>
        <v>7221.5</v>
      </c>
      <c r="D22" s="238">
        <f t="shared" ref="D22:M22" si="14">+D3*$C22/$C3</f>
        <v>8593.3372641509432</v>
      </c>
      <c r="E22" s="238">
        <f t="shared" si="14"/>
        <v>10025.560141509435</v>
      </c>
      <c r="F22" s="238">
        <f t="shared" si="14"/>
        <v>10153.298938679245</v>
      </c>
      <c r="G22" s="238">
        <f t="shared" si="14"/>
        <v>10277.166863207547</v>
      </c>
      <c r="H22" s="238">
        <f t="shared" si="14"/>
        <v>10404.905660377359</v>
      </c>
      <c r="I22" s="238">
        <f t="shared" si="14"/>
        <v>10528.773584905661</v>
      </c>
      <c r="J22" s="238">
        <f t="shared" si="14"/>
        <v>10656.512382075472</v>
      </c>
      <c r="K22" s="238">
        <f t="shared" si="14"/>
        <v>10784.251179245284</v>
      </c>
      <c r="L22" s="238">
        <f t="shared" si="14"/>
        <v>10908.119103773586</v>
      </c>
      <c r="M22" s="238">
        <f t="shared" si="14"/>
        <v>11035.857900943396</v>
      </c>
      <c r="N22" s="220"/>
      <c r="O22" s="220"/>
      <c r="P22" s="220"/>
      <c r="Q22" s="220"/>
      <c r="R22" s="220"/>
      <c r="S22" s="227"/>
      <c r="V22" s="228"/>
      <c r="W22" s="227"/>
      <c r="Y22" s="228"/>
      <c r="Z22" s="228"/>
      <c r="AA22" s="228"/>
      <c r="AB22" s="228"/>
      <c r="AC22" s="228"/>
    </row>
    <row r="23" spans="1:29" x14ac:dyDescent="0.2">
      <c r="A23" s="220"/>
      <c r="B23" s="259"/>
      <c r="C23" s="249"/>
      <c r="D23" s="249"/>
      <c r="E23" s="249"/>
      <c r="F23" s="249"/>
      <c r="G23" s="249"/>
      <c r="H23" s="249"/>
      <c r="I23" s="249"/>
      <c r="J23" s="249"/>
      <c r="K23" s="249"/>
      <c r="L23" s="249"/>
      <c r="M23" s="249"/>
      <c r="N23" s="220"/>
      <c r="O23" s="220"/>
      <c r="P23" s="220"/>
      <c r="Q23" s="220"/>
      <c r="R23" s="220"/>
      <c r="S23" s="227"/>
      <c r="T23" t="s">
        <v>321</v>
      </c>
      <c r="V23" s="228"/>
      <c r="W23" s="227"/>
      <c r="Y23" s="228"/>
      <c r="Z23" s="228"/>
      <c r="AA23" s="228"/>
      <c r="AB23" s="228"/>
      <c r="AC23" s="228"/>
    </row>
    <row r="24" spans="1:29" x14ac:dyDescent="0.2">
      <c r="A24" s="220"/>
      <c r="B24" s="259" t="s">
        <v>279</v>
      </c>
      <c r="C24" s="250">
        <f>$AC$35</f>
        <v>502930.14428082702</v>
      </c>
      <c r="D24" s="250">
        <f t="shared" ref="D24:M24" si="15">$AC$35</f>
        <v>502930.14428082702</v>
      </c>
      <c r="E24" s="250">
        <f t="shared" si="15"/>
        <v>502930.14428082702</v>
      </c>
      <c r="F24" s="250">
        <f t="shared" si="15"/>
        <v>502930.14428082702</v>
      </c>
      <c r="G24" s="250">
        <f t="shared" si="15"/>
        <v>502930.14428082702</v>
      </c>
      <c r="H24" s="250">
        <f t="shared" si="15"/>
        <v>502930.14428082702</v>
      </c>
      <c r="I24" s="250">
        <f t="shared" si="15"/>
        <v>502930.14428082702</v>
      </c>
      <c r="J24" s="250">
        <f t="shared" si="15"/>
        <v>502930.14428082702</v>
      </c>
      <c r="K24" s="250">
        <f t="shared" si="15"/>
        <v>502930.14428082702</v>
      </c>
      <c r="L24" s="250">
        <f t="shared" si="15"/>
        <v>502930.14428082702</v>
      </c>
      <c r="M24" s="250">
        <f t="shared" si="15"/>
        <v>502930.14428082702</v>
      </c>
      <c r="N24" s="220"/>
      <c r="O24" s="220"/>
      <c r="P24" s="220"/>
      <c r="Q24" s="220"/>
      <c r="R24" s="220"/>
      <c r="S24" s="227"/>
      <c r="V24" s="228"/>
      <c r="W24" s="227"/>
      <c r="Y24" s="228"/>
      <c r="Z24" s="228"/>
      <c r="AA24" s="228"/>
      <c r="AB24" s="228"/>
      <c r="AC24" s="228"/>
    </row>
    <row r="25" spans="1:29" x14ac:dyDescent="0.2">
      <c r="A25" s="242"/>
      <c r="B25" s="259" t="s">
        <v>278</v>
      </c>
      <c r="C25" s="250">
        <f>$AB$35</f>
        <v>1828836.8882939164</v>
      </c>
      <c r="D25" s="250">
        <f t="shared" ref="D25:M25" si="16">$AB$35</f>
        <v>1828836.8882939164</v>
      </c>
      <c r="E25" s="250">
        <f t="shared" si="16"/>
        <v>1828836.8882939164</v>
      </c>
      <c r="F25" s="250">
        <f t="shared" si="16"/>
        <v>1828836.8882939164</v>
      </c>
      <c r="G25" s="250">
        <f t="shared" si="16"/>
        <v>1828836.8882939164</v>
      </c>
      <c r="H25" s="250">
        <f t="shared" si="16"/>
        <v>1828836.8882939164</v>
      </c>
      <c r="I25" s="250">
        <f t="shared" si="16"/>
        <v>1828836.8882939164</v>
      </c>
      <c r="J25" s="250">
        <f t="shared" si="16"/>
        <v>1828836.8882939164</v>
      </c>
      <c r="K25" s="250">
        <f t="shared" si="16"/>
        <v>1828836.8882939164</v>
      </c>
      <c r="L25" s="250">
        <f t="shared" si="16"/>
        <v>1828836.8882939164</v>
      </c>
      <c r="M25" s="250">
        <f t="shared" si="16"/>
        <v>1828836.8882939164</v>
      </c>
      <c r="N25" s="242"/>
      <c r="O25" s="242"/>
      <c r="P25" s="242"/>
      <c r="Q25" s="242"/>
      <c r="R25" s="242"/>
      <c r="S25" s="227"/>
      <c r="T25" t="s">
        <v>322</v>
      </c>
      <c r="U25" t="s">
        <v>323</v>
      </c>
      <c r="V25" s="228">
        <v>0</v>
      </c>
      <c r="W25" s="227"/>
      <c r="X25" t="s">
        <v>323</v>
      </c>
      <c r="Y25" s="228">
        <v>0</v>
      </c>
      <c r="Z25" s="228">
        <v>0</v>
      </c>
      <c r="AA25" s="228">
        <v>0</v>
      </c>
      <c r="AB25" s="228">
        <v>0</v>
      </c>
      <c r="AC25" s="228">
        <v>0</v>
      </c>
    </row>
    <row r="26" spans="1:29" x14ac:dyDescent="0.2">
      <c r="A26" s="220"/>
      <c r="B26" s="259" t="s">
        <v>276</v>
      </c>
      <c r="C26" s="250">
        <f>$Z$35</f>
        <v>685813.83311021875</v>
      </c>
      <c r="D26" s="250">
        <f t="shared" ref="D26:M26" si="17">$Z$35</f>
        <v>685813.83311021875</v>
      </c>
      <c r="E26" s="250">
        <f t="shared" si="17"/>
        <v>685813.83311021875</v>
      </c>
      <c r="F26" s="250">
        <f t="shared" si="17"/>
        <v>685813.83311021875</v>
      </c>
      <c r="G26" s="250">
        <f t="shared" si="17"/>
        <v>685813.83311021875</v>
      </c>
      <c r="H26" s="250">
        <f t="shared" si="17"/>
        <v>685813.83311021875</v>
      </c>
      <c r="I26" s="250">
        <f t="shared" si="17"/>
        <v>685813.83311021875</v>
      </c>
      <c r="J26" s="250">
        <f t="shared" si="17"/>
        <v>685813.83311021875</v>
      </c>
      <c r="K26" s="250">
        <f t="shared" si="17"/>
        <v>685813.83311021875</v>
      </c>
      <c r="L26" s="250">
        <f t="shared" si="17"/>
        <v>685813.83311021875</v>
      </c>
      <c r="M26" s="250">
        <f t="shared" si="17"/>
        <v>685813.83311021875</v>
      </c>
      <c r="N26" s="220"/>
      <c r="O26" s="220"/>
      <c r="P26" s="220"/>
      <c r="Q26" s="220"/>
      <c r="R26" s="220"/>
      <c r="S26" s="227"/>
      <c r="T26" t="s">
        <v>324</v>
      </c>
      <c r="U26" t="s">
        <v>325</v>
      </c>
      <c r="V26" s="228">
        <f>243*9*V$3*3%</f>
        <v>2086.0818072289157</v>
      </c>
      <c r="W26" s="227"/>
      <c r="X26" t="s">
        <v>325</v>
      </c>
      <c r="Y26" s="228">
        <f>243*9*Y7*3%</f>
        <v>6506.0240963855422</v>
      </c>
      <c r="Z26" s="228">
        <f>243*9*Z7*3%</f>
        <v>13012.048192771084</v>
      </c>
      <c r="AA26" s="228">
        <f>243*9*AA7*3%</f>
        <v>4337.3493975903611</v>
      </c>
      <c r="AB26" s="228">
        <f>243*9*AB7*3%</f>
        <v>34698.795180722889</v>
      </c>
      <c r="AC26" s="228">
        <f>243*9*AC7*3%</f>
        <v>9542.1686746987943</v>
      </c>
    </row>
    <row r="27" spans="1:29" x14ac:dyDescent="0.2">
      <c r="A27" s="220"/>
      <c r="B27" s="260" t="s">
        <v>326</v>
      </c>
      <c r="C27" s="238">
        <f>+SUM(C24:C26)</f>
        <v>3017580.8656849624</v>
      </c>
      <c r="D27" s="238">
        <f t="shared" ref="D27:M27" si="18">+SUM(D24:D26)</f>
        <v>3017580.8656849624</v>
      </c>
      <c r="E27" s="238">
        <f t="shared" si="18"/>
        <v>3017580.8656849624</v>
      </c>
      <c r="F27" s="238">
        <f t="shared" si="18"/>
        <v>3017580.8656849624</v>
      </c>
      <c r="G27" s="238">
        <f t="shared" si="18"/>
        <v>3017580.8656849624</v>
      </c>
      <c r="H27" s="238">
        <f t="shared" si="18"/>
        <v>3017580.8656849624</v>
      </c>
      <c r="I27" s="238">
        <f t="shared" si="18"/>
        <v>3017580.8656849624</v>
      </c>
      <c r="J27" s="238">
        <f t="shared" si="18"/>
        <v>3017580.8656849624</v>
      </c>
      <c r="K27" s="238">
        <f t="shared" si="18"/>
        <v>3017580.8656849624</v>
      </c>
      <c r="L27" s="238">
        <f t="shared" si="18"/>
        <v>3017580.8656849624</v>
      </c>
      <c r="M27" s="238">
        <f t="shared" si="18"/>
        <v>3017580.8656849624</v>
      </c>
      <c r="N27" s="220"/>
      <c r="O27" s="220"/>
      <c r="P27" s="220"/>
      <c r="Q27" s="220"/>
      <c r="R27" s="220"/>
      <c r="S27" s="227"/>
      <c r="T27" t="s">
        <v>327</v>
      </c>
      <c r="U27" t="s">
        <v>328</v>
      </c>
      <c r="V27" s="228">
        <v>0</v>
      </c>
      <c r="W27" s="227"/>
      <c r="X27" t="s">
        <v>328</v>
      </c>
      <c r="Y27" s="228">
        <v>0</v>
      </c>
      <c r="Z27" s="228">
        <v>0</v>
      </c>
      <c r="AA27" s="228">
        <v>0</v>
      </c>
      <c r="AB27" s="228">
        <v>0</v>
      </c>
      <c r="AC27" s="228">
        <v>0</v>
      </c>
    </row>
    <row r="28" spans="1:29" x14ac:dyDescent="0.2">
      <c r="A28" s="242"/>
      <c r="B28" s="259"/>
      <c r="C28" s="242"/>
      <c r="D28" s="242"/>
      <c r="E28" s="242"/>
      <c r="F28" s="242"/>
      <c r="G28" s="242"/>
      <c r="H28" s="242"/>
      <c r="I28" s="242"/>
      <c r="J28" s="242"/>
      <c r="K28" s="242"/>
      <c r="L28" s="242"/>
      <c r="M28" s="242"/>
      <c r="N28" s="242"/>
      <c r="O28" s="242"/>
      <c r="P28" s="242"/>
      <c r="Q28" s="242"/>
      <c r="R28" s="242"/>
      <c r="S28" s="227"/>
      <c r="T28" t="s">
        <v>329</v>
      </c>
      <c r="U28" t="s">
        <v>330</v>
      </c>
      <c r="V28" s="228">
        <f>243*9*V$3*11%</f>
        <v>7648.966626506025</v>
      </c>
      <c r="W28" s="227"/>
      <c r="X28" t="s">
        <v>330</v>
      </c>
      <c r="Y28" s="228">
        <f>243*9*Y7*11%</f>
        <v>23855.421686746991</v>
      </c>
      <c r="Z28" s="228">
        <f>243*9*Z7*11%</f>
        <v>47710.843373493983</v>
      </c>
      <c r="AA28" s="228">
        <f>243*9*AA7*11%</f>
        <v>15903.614457831325</v>
      </c>
      <c r="AB28" s="228">
        <f>243*9*AB7*11%</f>
        <v>127228.9156626506</v>
      </c>
      <c r="AC28" s="228">
        <f>243*9*AC7*11%</f>
        <v>34987.951807228914</v>
      </c>
    </row>
    <row r="29" spans="1:29" x14ac:dyDescent="0.2">
      <c r="A29" s="242"/>
      <c r="B29" s="253"/>
      <c r="C29" s="220"/>
      <c r="D29" s="220"/>
      <c r="E29" s="220"/>
      <c r="F29" s="220"/>
      <c r="G29" s="220"/>
      <c r="H29" s="220"/>
      <c r="I29" s="220"/>
      <c r="J29" s="220"/>
      <c r="K29" s="220"/>
      <c r="L29" s="220"/>
      <c r="M29" s="220"/>
      <c r="N29" s="242"/>
      <c r="O29" s="242"/>
      <c r="P29" s="242"/>
      <c r="Q29" s="242"/>
      <c r="R29" s="242"/>
      <c r="S29" s="227"/>
      <c r="T29" t="s">
        <v>331</v>
      </c>
      <c r="U29" t="s">
        <v>332</v>
      </c>
      <c r="V29" s="228">
        <f>243*9*V$3*3%</f>
        <v>2086.0818072289157</v>
      </c>
      <c r="W29" s="227"/>
      <c r="X29" t="s">
        <v>332</v>
      </c>
      <c r="Y29" s="228">
        <f>243*9*Y7*3%</f>
        <v>6506.0240963855422</v>
      </c>
      <c r="Z29" s="228">
        <f>243*9*Z7*3%</f>
        <v>13012.048192771084</v>
      </c>
      <c r="AA29" s="228">
        <f>243*9*AA7*3%</f>
        <v>4337.3493975903611</v>
      </c>
      <c r="AB29" s="228">
        <f>243*9*AB7*3%</f>
        <v>34698.795180722889</v>
      </c>
      <c r="AC29" s="228">
        <f>243*9*AC7*3%</f>
        <v>9542.1686746987943</v>
      </c>
    </row>
    <row r="30" spans="1:29" x14ac:dyDescent="0.2">
      <c r="A30" s="242"/>
      <c r="B30" s="253"/>
      <c r="C30" s="220"/>
      <c r="D30" s="220"/>
      <c r="E30" s="220"/>
      <c r="F30" s="220"/>
      <c r="G30" s="220"/>
      <c r="H30" s="220"/>
      <c r="I30" s="220"/>
      <c r="J30" s="220"/>
      <c r="K30" s="220"/>
      <c r="L30" s="220"/>
      <c r="M30" s="220"/>
      <c r="N30" s="242"/>
      <c r="O30" s="242"/>
      <c r="P30" s="242"/>
      <c r="Q30" s="242"/>
      <c r="R30" s="242"/>
      <c r="S30" s="227"/>
      <c r="V30" s="228"/>
      <c r="W30" s="227"/>
      <c r="Y30" s="228"/>
      <c r="Z30" s="228"/>
      <c r="AA30" s="228"/>
      <c r="AB30" s="228"/>
      <c r="AC30" s="228"/>
    </row>
    <row r="31" spans="1:29" x14ac:dyDescent="0.2">
      <c r="A31" s="242"/>
      <c r="B31" s="253"/>
      <c r="C31" s="220"/>
      <c r="D31" s="220"/>
      <c r="E31" s="220"/>
      <c r="F31" s="220"/>
      <c r="G31" s="220"/>
      <c r="H31" s="220"/>
      <c r="I31" s="220"/>
      <c r="J31" s="220"/>
      <c r="K31" s="220"/>
      <c r="L31" s="220"/>
      <c r="M31" s="220"/>
      <c r="N31" s="242"/>
      <c r="O31" s="242"/>
      <c r="P31" s="242"/>
      <c r="Q31" s="242"/>
      <c r="R31" s="242"/>
      <c r="S31" s="227"/>
      <c r="T31" t="s">
        <v>333</v>
      </c>
      <c r="U31" t="s">
        <v>334</v>
      </c>
      <c r="V31" s="228">
        <f>+SUM(V25:V29)*12</f>
        <v>141853.56289156625</v>
      </c>
      <c r="W31" s="227"/>
      <c r="X31" t="s">
        <v>334</v>
      </c>
      <c r="Y31" s="228">
        <f>+SUM(Y25:Y29)</f>
        <v>36867.469879518074</v>
      </c>
      <c r="Z31" s="228">
        <f>+SUM(Z25:Z29)</f>
        <v>73734.939759036148</v>
      </c>
      <c r="AA31" s="228">
        <f>+SUM(AA25:AA29)</f>
        <v>24578.313253012049</v>
      </c>
      <c r="AB31" s="228">
        <f>+SUM(AB25:AB29)</f>
        <v>196626.50602409639</v>
      </c>
      <c r="AC31" s="228">
        <f>+SUM(AC25:AC29)</f>
        <v>54072.289156626503</v>
      </c>
    </row>
    <row r="32" spans="1:29" x14ac:dyDescent="0.2">
      <c r="A32" s="220"/>
      <c r="B32" s="253"/>
      <c r="C32" s="220"/>
      <c r="D32" s="220"/>
      <c r="E32" s="220"/>
      <c r="F32" s="220"/>
      <c r="G32" s="220"/>
      <c r="H32" s="220"/>
      <c r="I32" s="220"/>
      <c r="J32" s="220"/>
      <c r="K32" s="220"/>
      <c r="L32" s="220"/>
      <c r="M32" s="220"/>
      <c r="N32" s="220"/>
      <c r="O32" s="220"/>
      <c r="P32" s="220"/>
      <c r="Q32" s="220"/>
      <c r="R32" s="220"/>
      <c r="S32" s="227"/>
      <c r="V32" s="228"/>
      <c r="W32" s="227"/>
      <c r="Y32" s="228"/>
      <c r="Z32" s="228"/>
      <c r="AA32" s="228"/>
      <c r="AB32" s="228"/>
      <c r="AC32" s="228"/>
    </row>
    <row r="33" spans="1:29" x14ac:dyDescent="0.2">
      <c r="A33" s="242"/>
      <c r="B33" s="253"/>
      <c r="C33" s="220"/>
      <c r="D33" s="220"/>
      <c r="E33" s="220"/>
      <c r="F33" s="220"/>
      <c r="G33" s="220"/>
      <c r="H33" s="220"/>
      <c r="I33" s="220"/>
      <c r="J33" s="220"/>
      <c r="K33" s="220"/>
      <c r="L33" s="220"/>
      <c r="M33" s="220"/>
      <c r="N33" s="242"/>
      <c r="O33" s="242"/>
      <c r="P33" s="242"/>
      <c r="Q33" s="242"/>
      <c r="R33" s="242"/>
      <c r="S33" s="227"/>
      <c r="U33" t="s">
        <v>335</v>
      </c>
      <c r="V33" s="228">
        <f>+V2*9*243*12</f>
        <v>692579.16</v>
      </c>
      <c r="W33" s="227"/>
      <c r="X33" s="223" t="s">
        <v>336</v>
      </c>
      <c r="Y33" s="228">
        <f>243*9*Y7</f>
        <v>216867.46987951809</v>
      </c>
      <c r="Z33" s="228">
        <f>243*9*Z7</f>
        <v>433734.93975903618</v>
      </c>
      <c r="AA33" s="228">
        <f>243*9*AA7</f>
        <v>144578.31325301205</v>
      </c>
      <c r="AB33" s="228">
        <f>243*9*AB7</f>
        <v>1156626.5060240964</v>
      </c>
      <c r="AC33" s="228">
        <f>243*9*AC7</f>
        <v>318072.2891566265</v>
      </c>
    </row>
    <row r="34" spans="1:29" x14ac:dyDescent="0.2">
      <c r="A34" s="220"/>
      <c r="B34" s="253"/>
      <c r="C34" s="220"/>
      <c r="D34" s="220"/>
      <c r="E34" s="220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0"/>
      <c r="Q34" s="220"/>
      <c r="R34" s="220"/>
      <c r="S34" s="227"/>
      <c r="U34" t="s">
        <v>337</v>
      </c>
      <c r="V34" s="228">
        <f>+(V33+V20+V31)*12%</f>
        <v>124340.77734939758</v>
      </c>
      <c r="W34" s="227"/>
      <c r="X34" t="s">
        <v>337</v>
      </c>
      <c r="Y34" s="228">
        <f>+(Y33+Y31+Y20)*12%</f>
        <v>36740.026773761718</v>
      </c>
      <c r="Z34" s="228">
        <f>+(Z33+Z31+Z20)*12%</f>
        <v>73480.053547523436</v>
      </c>
      <c r="AA34" s="228">
        <f>+(AA33+AA31+AA20)*12%</f>
        <v>24493.351182507806</v>
      </c>
      <c r="AB34" s="228">
        <f>+(AB33+AB31+AB20)*12%</f>
        <v>195946.80946006245</v>
      </c>
      <c r="AC34" s="228">
        <f>+(AC33+AC31+AC20)*12%</f>
        <v>53885.372601517178</v>
      </c>
    </row>
    <row r="35" spans="1:29" ht="15.75" x14ac:dyDescent="0.25">
      <c r="A35" s="220"/>
      <c r="B35" s="253"/>
      <c r="C35" s="220"/>
      <c r="D35" s="220"/>
      <c r="E35" s="220"/>
      <c r="F35" s="220"/>
      <c r="G35" s="220"/>
      <c r="H35" s="220"/>
      <c r="I35" s="220"/>
      <c r="J35" s="220"/>
      <c r="K35" s="220"/>
      <c r="L35" s="220"/>
      <c r="M35" s="220"/>
      <c r="N35" s="220"/>
      <c r="O35" s="220"/>
      <c r="P35" s="220"/>
      <c r="Q35" s="220"/>
      <c r="R35" s="220"/>
      <c r="S35" s="251"/>
      <c r="U35" t="s">
        <v>338</v>
      </c>
      <c r="V35" s="252">
        <f>+V34+V33+V31+V20</f>
        <v>1160513.921927711</v>
      </c>
      <c r="W35" s="251"/>
      <c r="X35" s="223" t="s">
        <v>339</v>
      </c>
      <c r="Y35" s="252">
        <f>+Y34+Y33+Y31+Y20</f>
        <v>342906.91655510938</v>
      </c>
      <c r="Z35" s="252">
        <f>+Z34+Z33+Z31+Z20</f>
        <v>685813.83311021875</v>
      </c>
      <c r="AA35" s="252">
        <f>+AA34+AA33+AA31+AA20</f>
        <v>228604.61103673954</v>
      </c>
      <c r="AB35" s="252">
        <f>+AB34+AB33+AB31+AB20</f>
        <v>1828836.8882939164</v>
      </c>
      <c r="AC35" s="252">
        <f>+AC34+AC33+AC31+AC20</f>
        <v>502930.14428082702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7"/>
  <sheetViews>
    <sheetView workbookViewId="0">
      <selection activeCell="F33" sqref="F33"/>
    </sheetView>
  </sheetViews>
  <sheetFormatPr baseColWidth="10" defaultRowHeight="12.75" x14ac:dyDescent="0.2"/>
  <cols>
    <col min="1" max="1" width="15.85546875" bestFit="1" customWidth="1"/>
    <col min="3" max="3" width="8.140625" customWidth="1"/>
    <col min="4" max="5" width="13.140625" customWidth="1"/>
    <col min="6" max="6" width="15.85546875" customWidth="1"/>
    <col min="7" max="7" width="1.85546875" customWidth="1"/>
    <col min="10" max="10" width="14.28515625" customWidth="1"/>
    <col min="11" max="11" width="13.5703125" customWidth="1"/>
    <col min="12" max="12" width="2" customWidth="1"/>
    <col min="16" max="16" width="13.28515625" bestFit="1" customWidth="1"/>
    <col min="17" max="17" width="2.42578125" customWidth="1"/>
    <col min="19" max="19" width="9.28515625" customWidth="1"/>
    <col min="20" max="20" width="10.42578125" customWidth="1"/>
    <col min="21" max="21" width="9.85546875" customWidth="1"/>
    <col min="23" max="23" width="13.28515625" bestFit="1" customWidth="1"/>
    <col min="24" max="24" width="2.42578125" customWidth="1"/>
    <col min="29" max="29" width="12.28515625" bestFit="1" customWidth="1"/>
  </cols>
  <sheetData>
    <row r="1" spans="1:29" ht="16.5" thickBot="1" x14ac:dyDescent="0.3">
      <c r="A1" s="416" t="s">
        <v>404</v>
      </c>
      <c r="B1" s="417"/>
      <c r="C1" s="417"/>
      <c r="D1" s="417"/>
      <c r="E1" s="417"/>
      <c r="F1" s="425"/>
      <c r="G1" s="275"/>
      <c r="H1" s="416" t="s">
        <v>353</v>
      </c>
      <c r="I1" s="417"/>
      <c r="J1" s="417"/>
      <c r="K1" s="417"/>
      <c r="L1" s="275"/>
      <c r="M1" s="416" t="s">
        <v>224</v>
      </c>
      <c r="N1" s="417"/>
      <c r="O1" s="417"/>
      <c r="P1" s="417"/>
      <c r="Q1" s="275"/>
      <c r="R1" s="416" t="s">
        <v>376</v>
      </c>
      <c r="S1" s="417"/>
      <c r="T1" s="417"/>
      <c r="U1" s="417"/>
      <c r="V1" s="417"/>
      <c r="W1" s="417"/>
      <c r="X1" s="275"/>
      <c r="Y1" s="416" t="s">
        <v>104</v>
      </c>
      <c r="Z1" s="417"/>
      <c r="AA1" s="417"/>
      <c r="AB1" s="417"/>
      <c r="AC1" s="417"/>
    </row>
    <row r="2" spans="1:29" x14ac:dyDescent="0.2">
      <c r="A2" s="268"/>
      <c r="B2" s="268"/>
      <c r="C2" s="268"/>
      <c r="D2" s="268"/>
      <c r="E2" s="268"/>
      <c r="F2" s="268"/>
      <c r="G2" s="275"/>
      <c r="H2" s="268"/>
      <c r="I2" s="268"/>
      <c r="J2" s="268"/>
      <c r="K2" s="268"/>
      <c r="L2" s="275"/>
      <c r="M2" s="268"/>
      <c r="N2" s="268"/>
      <c r="O2" s="268"/>
      <c r="P2" s="268"/>
      <c r="Q2" s="275"/>
      <c r="R2" s="268"/>
      <c r="S2" s="268"/>
      <c r="T2" s="268"/>
      <c r="U2" s="268"/>
      <c r="V2" s="268"/>
      <c r="W2" s="268"/>
      <c r="X2" s="275"/>
      <c r="Y2" s="268"/>
      <c r="Z2" s="268"/>
      <c r="AA2" s="268"/>
      <c r="AB2" s="268"/>
      <c r="AC2" s="268"/>
    </row>
    <row r="3" spans="1:29" ht="21.75" customHeight="1" x14ac:dyDescent="0.2">
      <c r="A3" s="316" t="s">
        <v>405</v>
      </c>
      <c r="B3" s="269" t="s">
        <v>342</v>
      </c>
      <c r="C3" s="272">
        <v>58</v>
      </c>
      <c r="D3" s="268"/>
      <c r="E3" s="268"/>
      <c r="F3" s="268"/>
      <c r="G3" s="275"/>
      <c r="H3" s="269" t="s">
        <v>354</v>
      </c>
      <c r="I3" s="268"/>
      <c r="J3" s="268"/>
      <c r="K3" s="270">
        <f>+'[2]EJ 2'!$G$20</f>
        <v>1888</v>
      </c>
      <c r="L3" s="275"/>
      <c r="M3" s="279" t="s">
        <v>368</v>
      </c>
      <c r="N3" s="268"/>
      <c r="O3" s="268"/>
      <c r="P3" s="268"/>
      <c r="Q3" s="275"/>
      <c r="R3" s="268"/>
      <c r="S3" s="268"/>
      <c r="T3" s="282" t="s">
        <v>377</v>
      </c>
      <c r="U3" s="282" t="s">
        <v>378</v>
      </c>
      <c r="V3" s="283" t="s">
        <v>379</v>
      </c>
      <c r="W3" s="283" t="s">
        <v>343</v>
      </c>
      <c r="X3" s="275"/>
      <c r="Y3" s="268"/>
      <c r="Z3" s="283" t="s">
        <v>380</v>
      </c>
      <c r="AA3" s="283" t="s">
        <v>383</v>
      </c>
      <c r="AB3" s="283" t="s">
        <v>384</v>
      </c>
      <c r="AC3" s="283" t="s">
        <v>102</v>
      </c>
    </row>
    <row r="4" spans="1:29" x14ac:dyDescent="0.2">
      <c r="A4" s="316" t="s">
        <v>406</v>
      </c>
      <c r="B4" s="316" t="s">
        <v>342</v>
      </c>
      <c r="C4" s="272">
        <f>+D4*InfoInicial!B32</f>
        <v>40.92</v>
      </c>
      <c r="D4" s="347">
        <v>2.64</v>
      </c>
      <c r="E4" s="268"/>
      <c r="F4" s="268"/>
      <c r="G4" s="275"/>
      <c r="H4" s="268"/>
      <c r="I4" s="268"/>
      <c r="J4" s="268"/>
      <c r="K4" s="268"/>
      <c r="L4" s="275"/>
      <c r="M4" s="268"/>
      <c r="N4" s="268"/>
      <c r="O4" s="268"/>
      <c r="P4" s="268"/>
      <c r="Q4" s="275"/>
      <c r="R4" s="316" t="s">
        <v>446</v>
      </c>
      <c r="S4" s="268"/>
      <c r="T4" s="284">
        <v>32000</v>
      </c>
      <c r="U4" s="285">
        <v>0.5</v>
      </c>
      <c r="V4" s="286">
        <v>1</v>
      </c>
      <c r="W4" s="284">
        <f>T4*(1+U4)*V4*12</f>
        <v>576000</v>
      </c>
      <c r="X4" s="275"/>
      <c r="Y4" s="288" t="s">
        <v>385</v>
      </c>
      <c r="Z4" s="277">
        <v>0.01</v>
      </c>
      <c r="AA4" s="277">
        <v>1.6E-2</v>
      </c>
      <c r="AB4" s="277">
        <v>1.4999999999999999E-2</v>
      </c>
      <c r="AC4" s="277">
        <v>0.03</v>
      </c>
    </row>
    <row r="5" spans="1:29" ht="13.5" thickBot="1" x14ac:dyDescent="0.25">
      <c r="A5" s="268" t="s">
        <v>407</v>
      </c>
      <c r="B5" s="316" t="s">
        <v>408</v>
      </c>
      <c r="C5" s="317">
        <v>9.4600000000000009</v>
      </c>
      <c r="D5" s="268"/>
      <c r="E5" s="268"/>
      <c r="F5" s="268"/>
      <c r="G5" s="275"/>
      <c r="H5" s="269" t="s">
        <v>355</v>
      </c>
      <c r="I5" s="268"/>
      <c r="J5" s="268"/>
      <c r="K5" s="272">
        <v>60.49</v>
      </c>
      <c r="L5" s="275"/>
      <c r="M5" s="269" t="s">
        <v>366</v>
      </c>
      <c r="N5" s="268"/>
      <c r="O5" s="268"/>
      <c r="P5" s="263">
        <f>+'E-Inv AF y Am'!E55*0.9</f>
        <v>382417.6704989837</v>
      </c>
      <c r="Q5" s="275"/>
      <c r="R5" s="316" t="s">
        <v>444</v>
      </c>
      <c r="S5" s="268"/>
      <c r="T5" s="284">
        <v>18000</v>
      </c>
      <c r="U5" s="285">
        <v>0.6</v>
      </c>
      <c r="V5" s="286">
        <v>1</v>
      </c>
      <c r="W5" s="284">
        <f t="shared" ref="W5" si="0">T5*(1+U5)*V5*12</f>
        <v>345600</v>
      </c>
      <c r="X5" s="275"/>
      <c r="Y5" s="268"/>
      <c r="Z5" s="268"/>
      <c r="AA5" s="268"/>
      <c r="AB5" s="268"/>
      <c r="AC5" s="268"/>
    </row>
    <row r="6" spans="1:29" ht="15.75" thickBot="1" x14ac:dyDescent="0.3">
      <c r="A6" s="419" t="s">
        <v>409</v>
      </c>
      <c r="B6" s="420"/>
      <c r="C6" s="420"/>
      <c r="D6" s="420"/>
      <c r="E6" s="420"/>
      <c r="F6" s="421"/>
      <c r="G6" s="275"/>
      <c r="H6" s="269" t="s">
        <v>356</v>
      </c>
      <c r="I6" s="268"/>
      <c r="J6" s="268"/>
      <c r="K6" s="272">
        <v>70.739999999999995</v>
      </c>
      <c r="L6" s="275"/>
      <c r="M6" s="269" t="s">
        <v>367</v>
      </c>
      <c r="N6" s="268"/>
      <c r="O6" s="268"/>
      <c r="P6" s="272">
        <f>P5/'[2]EJ 11'!$F$10</f>
        <v>17.226021193647913</v>
      </c>
      <c r="Q6" s="275"/>
      <c r="R6" s="316" t="s">
        <v>445</v>
      </c>
      <c r="S6" s="268"/>
      <c r="T6" s="284">
        <v>19000</v>
      </c>
      <c r="U6" s="285">
        <v>0.5</v>
      </c>
      <c r="V6" s="286">
        <v>1</v>
      </c>
      <c r="W6" s="284">
        <f>T6*(1+U6)*V6*12</f>
        <v>342000</v>
      </c>
      <c r="X6" s="275"/>
      <c r="Y6" s="413" t="s">
        <v>368</v>
      </c>
      <c r="Z6" s="414"/>
      <c r="AA6" s="414"/>
      <c r="AB6" s="414"/>
      <c r="AC6" s="415"/>
    </row>
    <row r="7" spans="1:29" x14ac:dyDescent="0.2">
      <c r="A7" s="268"/>
      <c r="B7" s="268"/>
      <c r="C7" s="268"/>
      <c r="D7" s="268"/>
      <c r="E7" s="268"/>
      <c r="F7" s="268"/>
      <c r="G7" s="275"/>
      <c r="H7" s="268"/>
      <c r="I7" s="268"/>
      <c r="J7" s="268"/>
      <c r="K7" s="268"/>
      <c r="L7" s="275"/>
      <c r="M7" s="268"/>
      <c r="N7" s="268"/>
      <c r="O7" s="268"/>
      <c r="P7" s="268"/>
      <c r="Q7" s="275"/>
      <c r="R7" s="316" t="s">
        <v>447</v>
      </c>
      <c r="S7" s="268"/>
      <c r="T7" s="284">
        <v>20000</v>
      </c>
      <c r="U7" s="285">
        <v>0.5</v>
      </c>
      <c r="V7" s="286">
        <v>1</v>
      </c>
      <c r="W7" s="284">
        <f>T7*(1+U7)*V7*12</f>
        <v>360000</v>
      </c>
      <c r="X7" s="275"/>
      <c r="Y7" s="268"/>
      <c r="Z7" s="268"/>
      <c r="AA7" s="268"/>
      <c r="AB7" s="268"/>
      <c r="AC7" s="268"/>
    </row>
    <row r="8" spans="1:29" x14ac:dyDescent="0.2">
      <c r="A8" s="268"/>
      <c r="B8" s="268"/>
      <c r="C8" s="268"/>
      <c r="D8" s="316" t="s">
        <v>410</v>
      </c>
      <c r="E8" s="316" t="s">
        <v>411</v>
      </c>
      <c r="F8" s="316" t="s">
        <v>412</v>
      </c>
      <c r="G8" s="276"/>
      <c r="H8" s="269" t="s">
        <v>357</v>
      </c>
      <c r="I8" s="268"/>
      <c r="J8" s="268"/>
      <c r="K8" s="277">
        <v>0.7</v>
      </c>
      <c r="L8" s="275"/>
      <c r="M8" s="279" t="s">
        <v>369</v>
      </c>
      <c r="N8" s="268"/>
      <c r="O8" s="268"/>
      <c r="P8" s="268"/>
      <c r="Q8" s="275"/>
      <c r="R8" s="316" t="s">
        <v>449</v>
      </c>
      <c r="S8" s="268"/>
      <c r="T8" s="284">
        <v>13000</v>
      </c>
      <c r="U8" s="285">
        <v>0.5</v>
      </c>
      <c r="V8" s="286">
        <v>3</v>
      </c>
      <c r="W8" s="284">
        <f>T8*(1+U8)*V8*12</f>
        <v>702000</v>
      </c>
      <c r="X8" s="275"/>
      <c r="Y8" s="269" t="s">
        <v>380</v>
      </c>
      <c r="Z8" s="268"/>
      <c r="AA8" s="268"/>
      <c r="AB8" s="268"/>
      <c r="AC8" s="272">
        <f>('E-Inv AF y Am'!B51-'E-Inv AF y Am'!B50)*0.9*'Entrada de Datos'!Z4</f>
        <v>57229.643250000001</v>
      </c>
    </row>
    <row r="9" spans="1:29" x14ac:dyDescent="0.2">
      <c r="A9" s="268"/>
      <c r="B9" s="268"/>
      <c r="C9" s="268"/>
      <c r="D9" s="318" t="s">
        <v>413</v>
      </c>
      <c r="E9" s="318" t="s">
        <v>414</v>
      </c>
      <c r="F9" s="318" t="s">
        <v>413</v>
      </c>
      <c r="G9" s="275"/>
      <c r="H9" s="269" t="s">
        <v>358</v>
      </c>
      <c r="I9" s="268"/>
      <c r="J9" s="268"/>
      <c r="K9" s="277">
        <v>0.4</v>
      </c>
      <c r="L9" s="275"/>
      <c r="M9" s="268"/>
      <c r="N9" s="268"/>
      <c r="O9" s="268"/>
      <c r="P9" s="268"/>
      <c r="Q9" s="275"/>
      <c r="X9" s="275"/>
      <c r="Y9" s="268"/>
      <c r="Z9" s="268"/>
      <c r="AA9" s="268"/>
      <c r="AB9" s="268"/>
      <c r="AC9" s="272"/>
    </row>
    <row r="10" spans="1:29" x14ac:dyDescent="0.2">
      <c r="A10" s="316" t="s">
        <v>415</v>
      </c>
      <c r="B10" s="269"/>
      <c r="C10" s="270"/>
      <c r="D10" s="319">
        <f>+'[2]EJ 1 -  Caucho'!$C$28</f>
        <v>6138</v>
      </c>
      <c r="E10" s="325">
        <f>+'[2]EJ 1 - Separador'!$C$28</f>
        <v>120480</v>
      </c>
      <c r="F10" s="270">
        <f>+'[2]EJ 1 - Caño'!$C$30</f>
        <v>17722.800000000003</v>
      </c>
      <c r="G10" s="275"/>
      <c r="H10" s="268"/>
      <c r="I10" s="268"/>
      <c r="J10" s="268"/>
      <c r="K10" s="268"/>
      <c r="L10" s="275"/>
      <c r="M10" s="269" t="s">
        <v>366</v>
      </c>
      <c r="N10" s="268"/>
      <c r="O10" s="268"/>
      <c r="P10" s="281">
        <f>('E-Inv AF y Am'!D55-'E-Inv AF y Am'!D50)*0.9</f>
        <v>367063.6704989837</v>
      </c>
      <c r="Q10" s="275"/>
      <c r="W10" s="263">
        <f>SUM(W4:W8)</f>
        <v>2325600</v>
      </c>
      <c r="X10" s="275"/>
      <c r="Y10" s="269" t="s">
        <v>383</v>
      </c>
      <c r="Z10" s="268"/>
      <c r="AA10" s="268"/>
      <c r="AB10" s="268"/>
      <c r="AC10" s="272">
        <f>('E-Inv AF y Am'!B45+'E-Inv AF y Am'!B46)*AA4</f>
        <v>23845.600000000002</v>
      </c>
    </row>
    <row r="11" spans="1:29" x14ac:dyDescent="0.2">
      <c r="A11" s="316" t="s">
        <v>416</v>
      </c>
      <c r="B11" s="269"/>
      <c r="C11" s="268"/>
      <c r="D11" s="320">
        <f>+'[2]EJ 1 -  Caucho'!$F$4</f>
        <v>6000</v>
      </c>
      <c r="E11" s="326">
        <f>+'[2]EJ 1 - Separador'!$F$6</f>
        <v>120000</v>
      </c>
      <c r="F11" s="270">
        <f>+'[2]EJ 1 - Caño'!$F$4</f>
        <v>16200.000000000002</v>
      </c>
      <c r="G11" s="275"/>
      <c r="H11" s="278" t="s">
        <v>359</v>
      </c>
      <c r="I11" s="268"/>
      <c r="J11" s="268"/>
      <c r="K11" s="268"/>
      <c r="L11" s="275"/>
      <c r="M11" s="269" t="s">
        <v>370</v>
      </c>
      <c r="N11" s="268"/>
      <c r="O11" s="268"/>
      <c r="P11" s="272">
        <f>'E-Inv AF y Am'!D50</f>
        <v>17060</v>
      </c>
      <c r="Q11" s="275"/>
      <c r="R11" s="268"/>
      <c r="S11" s="268"/>
      <c r="T11" s="268"/>
      <c r="U11" s="268"/>
      <c r="V11" s="268"/>
      <c r="W11" s="268"/>
      <c r="X11" s="275"/>
      <c r="Y11" s="268"/>
      <c r="Z11" s="288" t="s">
        <v>386</v>
      </c>
      <c r="AA11" s="268"/>
      <c r="AB11" s="268"/>
      <c r="AC11" s="272">
        <f>('E-Inv AF y Am'!D50*0.89)*(0.11+0.05)</f>
        <v>2429.3440000000001</v>
      </c>
    </row>
    <row r="12" spans="1:29" x14ac:dyDescent="0.2">
      <c r="A12" s="268"/>
      <c r="B12" s="268"/>
      <c r="C12" s="268"/>
      <c r="D12" s="321"/>
      <c r="E12" s="327"/>
      <c r="F12" s="268"/>
      <c r="G12" s="275"/>
      <c r="H12" s="268"/>
      <c r="I12" s="268"/>
      <c r="J12" s="268"/>
      <c r="K12" s="268"/>
      <c r="L12" s="275"/>
      <c r="M12" s="269" t="s">
        <v>371</v>
      </c>
      <c r="N12" s="268"/>
      <c r="O12" s="268"/>
      <c r="P12" s="263">
        <f>P10+P11</f>
        <v>384123.6704989837</v>
      </c>
      <c r="Q12" s="275"/>
      <c r="R12" s="316" t="s">
        <v>443</v>
      </c>
      <c r="S12" s="268"/>
      <c r="T12" s="268"/>
      <c r="U12" s="268"/>
      <c r="V12" s="268"/>
      <c r="W12" s="268"/>
      <c r="X12" s="275"/>
      <c r="Y12" s="268"/>
      <c r="Z12" s="288" t="s">
        <v>387</v>
      </c>
      <c r="AA12" s="268"/>
      <c r="AB12" s="268"/>
      <c r="AC12" s="272">
        <f>SUM(AC8:AC11)*0.1</f>
        <v>8350.4587250000004</v>
      </c>
    </row>
    <row r="13" spans="1:29" x14ac:dyDescent="0.2">
      <c r="A13" s="269" t="s">
        <v>341</v>
      </c>
      <c r="B13" s="269"/>
      <c r="C13" s="268"/>
      <c r="D13" s="322">
        <f>D10/D11</f>
        <v>1.0229999999999999</v>
      </c>
      <c r="E13" s="328">
        <f>E10/E11</f>
        <v>1.004</v>
      </c>
      <c r="F13" s="271">
        <f>F10/F11</f>
        <v>1.0940000000000001</v>
      </c>
      <c r="G13" s="275"/>
      <c r="H13" s="316" t="s">
        <v>452</v>
      </c>
      <c r="I13" s="269"/>
      <c r="J13" s="269" t="s">
        <v>360</v>
      </c>
      <c r="K13" s="272">
        <f>K5*(1+SUM(K8:K9))</f>
        <v>127.02900000000001</v>
      </c>
      <c r="L13" s="275"/>
      <c r="M13" s="268"/>
      <c r="N13" s="268"/>
      <c r="O13" s="268"/>
      <c r="P13" s="268"/>
      <c r="Q13" s="275"/>
      <c r="R13" s="268"/>
      <c r="S13" s="268"/>
      <c r="T13" s="268"/>
      <c r="U13" s="268"/>
      <c r="V13" s="268"/>
      <c r="W13" s="268"/>
      <c r="X13" s="275"/>
      <c r="Y13" s="268"/>
      <c r="Z13" s="288" t="s">
        <v>388</v>
      </c>
      <c r="AA13" s="268"/>
      <c r="AB13" s="268"/>
      <c r="AC13" s="272">
        <f>SUM(AC8:AC12)</f>
        <v>91855.045975000001</v>
      </c>
    </row>
    <row r="14" spans="1:29" x14ac:dyDescent="0.2">
      <c r="A14" s="269" t="s">
        <v>343</v>
      </c>
      <c r="B14" s="269" t="s">
        <v>344</v>
      </c>
      <c r="C14" s="268"/>
      <c r="D14" s="323">
        <f>D10*C3</f>
        <v>356004</v>
      </c>
      <c r="E14" s="329">
        <f>E10*C5</f>
        <v>1139740.8</v>
      </c>
      <c r="F14" s="263">
        <f>F10*C4</f>
        <v>725216.97600000014</v>
      </c>
      <c r="G14" s="275"/>
      <c r="H14" s="316" t="s">
        <v>451</v>
      </c>
      <c r="I14" s="268"/>
      <c r="J14" s="269" t="s">
        <v>360</v>
      </c>
      <c r="K14" s="272">
        <f>K6*(1+SUM(K8:K9))</f>
        <v>148.554</v>
      </c>
      <c r="L14" s="275"/>
      <c r="M14" s="269" t="s">
        <v>372</v>
      </c>
      <c r="N14" s="268"/>
      <c r="O14" s="268"/>
      <c r="P14" s="272">
        <f>+P12/'[2]EJ 11'!$F$10</f>
        <v>17.302868040494761</v>
      </c>
      <c r="Q14" s="275"/>
      <c r="R14" s="316" t="s">
        <v>450</v>
      </c>
      <c r="S14" s="268"/>
      <c r="T14" s="272">
        <v>9500</v>
      </c>
      <c r="U14" s="268"/>
      <c r="V14" s="268"/>
      <c r="W14" s="268"/>
      <c r="X14" s="275"/>
      <c r="Y14" s="268"/>
      <c r="Z14" s="268"/>
      <c r="AA14" s="268"/>
      <c r="AB14" s="268"/>
      <c r="AC14" s="268"/>
    </row>
    <row r="15" spans="1:29" ht="13.5" thickBot="1" x14ac:dyDescent="0.25">
      <c r="A15" s="269" t="s">
        <v>345</v>
      </c>
      <c r="B15" s="269" t="s">
        <v>342</v>
      </c>
      <c r="C15" s="268"/>
      <c r="D15" s="324">
        <f>D14/D11</f>
        <v>59.334000000000003</v>
      </c>
      <c r="E15" s="330">
        <f>E14/E11</f>
        <v>9.4978400000000001</v>
      </c>
      <c r="F15" s="273">
        <f>F14/F11</f>
        <v>44.766480000000001</v>
      </c>
      <c r="G15" s="275"/>
      <c r="H15" s="268"/>
      <c r="I15" s="268"/>
      <c r="J15" s="268"/>
      <c r="K15" s="268"/>
      <c r="L15" s="275"/>
      <c r="M15" s="269" t="s">
        <v>373</v>
      </c>
      <c r="N15" s="268"/>
      <c r="O15" s="268"/>
      <c r="P15" s="272">
        <f>P12/('[2]EJ 11'!$E$10+('[2]EJ 9'!$H$56+'[2]EJ 9'!$H$82)/2)</f>
        <v>21.330128299631529</v>
      </c>
      <c r="Q15" s="275"/>
      <c r="R15" s="280"/>
      <c r="S15" s="287"/>
      <c r="T15" s="268"/>
      <c r="U15" s="268"/>
      <c r="V15" s="268"/>
      <c r="W15" s="268"/>
      <c r="X15" s="275"/>
      <c r="Y15" s="269" t="s">
        <v>384</v>
      </c>
      <c r="Z15" s="268"/>
      <c r="AA15" s="268"/>
      <c r="AB15" s="268"/>
      <c r="AC15" s="272">
        <f>(D14+F14)*AB4</f>
        <v>16218.314640000004</v>
      </c>
    </row>
    <row r="16" spans="1:29" ht="13.5" thickBot="1" x14ac:dyDescent="0.25">
      <c r="A16" s="268"/>
      <c r="B16" s="268"/>
      <c r="C16" s="268"/>
      <c r="D16" s="331"/>
      <c r="E16" s="332"/>
      <c r="F16" s="268"/>
      <c r="G16" s="275"/>
      <c r="H16" s="419" t="s">
        <v>340</v>
      </c>
      <c r="I16" s="420"/>
      <c r="J16" s="420"/>
      <c r="K16" s="421"/>
      <c r="L16" s="275"/>
      <c r="M16" s="268"/>
      <c r="N16" s="268"/>
      <c r="O16" s="268"/>
      <c r="P16" s="268"/>
      <c r="Q16" s="275"/>
      <c r="R16" s="268"/>
      <c r="S16" s="268"/>
      <c r="T16" s="268"/>
      <c r="U16" s="268"/>
      <c r="V16" s="268"/>
      <c r="W16" s="268"/>
      <c r="X16" s="275"/>
      <c r="Y16" s="268"/>
      <c r="Z16" s="268"/>
      <c r="AA16" s="268"/>
      <c r="AB16" s="268"/>
      <c r="AC16" s="272"/>
    </row>
    <row r="17" spans="1:29" ht="13.5" thickBot="1" x14ac:dyDescent="0.25">
      <c r="A17" s="422" t="s">
        <v>24</v>
      </c>
      <c r="B17" s="423"/>
      <c r="C17" s="423"/>
      <c r="D17" s="423"/>
      <c r="E17" s="423"/>
      <c r="F17" s="424"/>
      <c r="G17" s="275"/>
      <c r="H17" s="268"/>
      <c r="I17" s="268"/>
      <c r="J17" s="268"/>
      <c r="K17" s="268"/>
      <c r="L17" s="275"/>
      <c r="M17" s="418" t="s">
        <v>374</v>
      </c>
      <c r="N17" s="418"/>
      <c r="O17" s="418"/>
      <c r="P17" s="418"/>
      <c r="Q17" s="275"/>
      <c r="R17" s="269" t="s">
        <v>343</v>
      </c>
      <c r="S17" s="268"/>
      <c r="T17" s="363">
        <f>+T14*12</f>
        <v>114000</v>
      </c>
      <c r="U17" s="268"/>
      <c r="V17" s="268"/>
      <c r="W17" s="268"/>
      <c r="X17" s="275"/>
      <c r="Y17" s="269" t="s">
        <v>102</v>
      </c>
      <c r="Z17" s="268"/>
      <c r="AA17" s="268"/>
      <c r="AB17" s="268"/>
      <c r="AC17" s="272">
        <f>(W21+K21)*AC4</f>
        <v>103186.86624</v>
      </c>
    </row>
    <row r="18" spans="1:29" ht="13.5" thickBot="1" x14ac:dyDescent="0.25">
      <c r="A18" s="333"/>
      <c r="B18" s="333"/>
      <c r="C18" s="333"/>
      <c r="D18" s="334"/>
      <c r="E18" s="334"/>
      <c r="F18" s="333"/>
      <c r="G18" s="275"/>
      <c r="H18" s="316" t="s">
        <v>419</v>
      </c>
      <c r="I18" s="268"/>
      <c r="J18" s="349">
        <v>3</v>
      </c>
      <c r="K18" s="272">
        <f>J18*K3*K13</f>
        <v>719492.25600000005</v>
      </c>
      <c r="L18" s="275"/>
      <c r="M18" s="268"/>
      <c r="N18" s="268"/>
      <c r="O18" s="268"/>
      <c r="P18" s="268"/>
      <c r="Q18" s="275"/>
      <c r="R18" s="268"/>
      <c r="S18" s="268"/>
      <c r="T18" s="268"/>
      <c r="U18" s="268"/>
      <c r="V18" s="268"/>
      <c r="W18" s="268"/>
      <c r="X18" s="275"/>
      <c r="Y18" s="268"/>
      <c r="Z18" s="268"/>
      <c r="AA18" s="268"/>
      <c r="AB18" s="268"/>
      <c r="AC18" s="268"/>
    </row>
    <row r="19" spans="1:29" ht="15.75" thickBot="1" x14ac:dyDescent="0.3">
      <c r="A19" s="335" t="s">
        <v>346</v>
      </c>
      <c r="B19" s="348" t="s">
        <v>417</v>
      </c>
      <c r="C19" s="336"/>
      <c r="D19" s="337">
        <f>+'[2]EJ 9'!$G$107</f>
        <v>5143.7787767133386</v>
      </c>
      <c r="E19" s="338">
        <f>+'E-Costos'!B94*'Entrada de Datos'!E13</f>
        <v>80320</v>
      </c>
      <c r="F19" s="339">
        <f>+'[2]EJ 9'!$G$115</f>
        <v>14458.314959469419</v>
      </c>
      <c r="G19" s="275"/>
      <c r="H19" s="316" t="s">
        <v>420</v>
      </c>
      <c r="I19" s="268"/>
      <c r="J19" s="349">
        <v>1</v>
      </c>
      <c r="K19" s="272">
        <f>J19*K3*K14</f>
        <v>280469.95199999999</v>
      </c>
      <c r="L19" s="275"/>
      <c r="M19" s="269" t="s">
        <v>24</v>
      </c>
      <c r="N19" s="268"/>
      <c r="O19" s="268"/>
      <c r="P19" s="263">
        <f>P15*(('[3]EJ 9'!$H$56+'[3]EJ 9'!$H$84)/2)</f>
        <v>58391.454168822711</v>
      </c>
      <c r="Q19" s="275"/>
      <c r="R19" s="413" t="s">
        <v>409</v>
      </c>
      <c r="S19" s="414"/>
      <c r="T19" s="414"/>
      <c r="U19" s="414"/>
      <c r="V19" s="414"/>
      <c r="W19" s="415"/>
      <c r="X19" s="275"/>
      <c r="Y19" s="269" t="s">
        <v>343</v>
      </c>
      <c r="Z19" s="268"/>
      <c r="AA19" s="268"/>
      <c r="AB19" s="268"/>
      <c r="AC19" s="263">
        <f>AC13+AC15+AC17</f>
        <v>211260.22685500002</v>
      </c>
    </row>
    <row r="20" spans="1:29" x14ac:dyDescent="0.2">
      <c r="A20" s="335" t="s">
        <v>348</v>
      </c>
      <c r="B20" s="348" t="s">
        <v>418</v>
      </c>
      <c r="C20" s="336"/>
      <c r="D20" s="337">
        <f>+'[2]EJ 6 - Caucho'!$G$27</f>
        <v>4841.7391304347821</v>
      </c>
      <c r="E20" s="338">
        <f>+'E-Costos'!B94</f>
        <v>80000</v>
      </c>
      <c r="F20" s="339">
        <f>+'[2]EJ 6 - Caño'!$G$27</f>
        <v>13072.695652173914</v>
      </c>
      <c r="G20" s="275"/>
      <c r="H20" s="268"/>
      <c r="I20" s="268"/>
      <c r="J20" s="268"/>
      <c r="K20" s="268"/>
      <c r="L20" s="275"/>
      <c r="M20" s="269" t="s">
        <v>375</v>
      </c>
      <c r="N20" s="268"/>
      <c r="O20" s="268"/>
      <c r="P20" s="263">
        <f>P14*(('[3]EJ 9'!$H$56+'[3]EJ 9'!$H$84)/2)</f>
        <v>47366.786171332613</v>
      </c>
      <c r="Q20" s="275"/>
      <c r="R20" s="268"/>
      <c r="S20" s="268"/>
      <c r="T20" s="268"/>
      <c r="U20" s="268"/>
      <c r="V20" s="268"/>
      <c r="W20" s="268"/>
      <c r="X20" s="275"/>
      <c r="Y20" s="269" t="s">
        <v>361</v>
      </c>
      <c r="Z20" s="268"/>
      <c r="AA20" s="268"/>
      <c r="AB20" s="268"/>
      <c r="AC20" s="272">
        <f>AC19/'[2]EJ 11'!$F$10</f>
        <v>9.5162264349099104</v>
      </c>
    </row>
    <row r="21" spans="1:29" ht="22.5" x14ac:dyDescent="0.2">
      <c r="A21" s="340" t="s">
        <v>349</v>
      </c>
      <c r="B21" s="348" t="s">
        <v>417</v>
      </c>
      <c r="C21" s="336"/>
      <c r="D21" s="337">
        <f>+'[2]EJ 9'!$G$105</f>
        <v>69.813559322033896</v>
      </c>
      <c r="E21" s="338">
        <f>+E20/118</f>
        <v>677.96610169491521</v>
      </c>
      <c r="F21" s="339">
        <f>+'[2]EJ 9'!$G$113</f>
        <v>150.19322033898308</v>
      </c>
      <c r="G21" s="275"/>
      <c r="H21" s="279" t="s">
        <v>343</v>
      </c>
      <c r="I21" s="268"/>
      <c r="J21" s="268"/>
      <c r="K21" s="263">
        <f>SUM(K18:K19)</f>
        <v>999962.2080000001</v>
      </c>
      <c r="L21" s="275"/>
      <c r="M21" s="269" t="s">
        <v>368</v>
      </c>
      <c r="N21" s="268"/>
      <c r="O21" s="268"/>
      <c r="P21" s="263">
        <f>P6*(('[3]EJ 9'!$H$56+'[3]EJ 9'!$H$84)/2)</f>
        <v>47156.417106850531</v>
      </c>
      <c r="Q21" s="275"/>
      <c r="R21" s="269" t="s">
        <v>343</v>
      </c>
      <c r="S21" s="268"/>
      <c r="T21" s="268"/>
      <c r="U21" s="268"/>
      <c r="V21" s="268"/>
      <c r="W21" s="263">
        <f>W10+T17</f>
        <v>2439600</v>
      </c>
      <c r="X21" s="275"/>
      <c r="Y21" s="269" t="s">
        <v>389</v>
      </c>
      <c r="Z21" s="268"/>
      <c r="AA21" s="268"/>
      <c r="AB21" s="268"/>
      <c r="AC21" s="263">
        <f>('[2]EJ 9'!$H$56+'[2]EJ 9'!$H$82)*AC20/2</f>
        <v>895.17045277542377</v>
      </c>
    </row>
    <row r="22" spans="1:29" ht="23.25" thickBot="1" x14ac:dyDescent="0.25">
      <c r="A22" s="340" t="s">
        <v>350</v>
      </c>
      <c r="B22" s="335" t="s">
        <v>347</v>
      </c>
      <c r="C22" s="336"/>
      <c r="D22" s="337">
        <f>+D19-D20-D21</f>
        <v>232.22608695652269</v>
      </c>
      <c r="E22" s="338">
        <v>0</v>
      </c>
      <c r="F22" s="337">
        <f>+F19-F20-F21</f>
        <v>1235.4260869565217</v>
      </c>
      <c r="G22" s="275"/>
      <c r="H22" s="269" t="s">
        <v>361</v>
      </c>
      <c r="I22" s="268"/>
      <c r="J22" s="268"/>
      <c r="K22" s="272">
        <f>K21/'[2]EJ 11'!$F$10</f>
        <v>45.043342702702709</v>
      </c>
      <c r="L22" s="275"/>
      <c r="Q22" s="275"/>
      <c r="R22" s="269" t="s">
        <v>361</v>
      </c>
      <c r="S22" s="268"/>
      <c r="T22" s="268"/>
      <c r="U22" s="268"/>
      <c r="V22" s="268"/>
      <c r="W22" s="272">
        <f>W21/'[2]EJ 11'!$F$10</f>
        <v>109.89189189189189</v>
      </c>
      <c r="X22" s="275"/>
      <c r="Y22" s="268"/>
      <c r="Z22" s="268"/>
      <c r="AA22" s="268"/>
      <c r="AB22" s="268"/>
      <c r="AC22" s="268"/>
    </row>
    <row r="23" spans="1:29" ht="15.75" thickBot="1" x14ac:dyDescent="0.3">
      <c r="A23" s="266"/>
      <c r="B23" s="266"/>
      <c r="C23" s="266"/>
      <c r="D23" s="321"/>
      <c r="E23" s="327"/>
      <c r="F23" s="266"/>
      <c r="G23" s="275"/>
      <c r="H23" s="268"/>
      <c r="I23" s="268"/>
      <c r="J23" s="268"/>
      <c r="K23" s="268"/>
      <c r="L23" s="275"/>
      <c r="Q23" s="275"/>
      <c r="R23" s="269" t="s">
        <v>381</v>
      </c>
      <c r="S23" s="268"/>
      <c r="T23" s="268"/>
      <c r="U23" s="268"/>
      <c r="V23" s="268"/>
      <c r="W23" s="263">
        <f>('[2]EJ 9'!$H$56+'[2]EJ 9'!$H$82)/2*W22</f>
        <v>10337.28813559322</v>
      </c>
      <c r="X23" s="275"/>
      <c r="Y23" s="413" t="s">
        <v>375</v>
      </c>
      <c r="Z23" s="414"/>
      <c r="AA23" s="414"/>
      <c r="AB23" s="414"/>
      <c r="AC23" s="415"/>
    </row>
    <row r="24" spans="1:29" ht="15.75" thickBot="1" x14ac:dyDescent="0.3">
      <c r="A24" s="265" t="s">
        <v>343</v>
      </c>
      <c r="B24" s="266"/>
      <c r="C24" s="266"/>
      <c r="D24" s="323">
        <f>D19*C3</f>
        <v>298339.16904937365</v>
      </c>
      <c r="E24" s="323">
        <f>E19*C5</f>
        <v>759827.20000000007</v>
      </c>
      <c r="F24" s="264">
        <f>F19*C4</f>
        <v>591634.24814148864</v>
      </c>
      <c r="G24" s="275"/>
      <c r="H24" s="413" t="s">
        <v>24</v>
      </c>
      <c r="I24" s="414"/>
      <c r="J24" s="414"/>
      <c r="K24" s="415"/>
      <c r="L24" s="275"/>
      <c r="Q24" s="275"/>
      <c r="R24" s="268"/>
      <c r="S24" s="268"/>
      <c r="T24" s="268"/>
      <c r="U24" s="268"/>
      <c r="V24" s="268"/>
      <c r="W24" s="268"/>
      <c r="X24" s="275"/>
      <c r="Y24" s="268"/>
      <c r="Z24" s="268"/>
      <c r="AA24" s="268"/>
      <c r="AB24" s="268"/>
      <c r="AC24" s="268"/>
    </row>
    <row r="25" spans="1:29" ht="24" thickBot="1" x14ac:dyDescent="0.3">
      <c r="A25" s="267" t="s">
        <v>351</v>
      </c>
      <c r="B25" s="266"/>
      <c r="C25" s="266"/>
      <c r="D25" s="323">
        <f>D21*C3</f>
        <v>4049.1864406779659</v>
      </c>
      <c r="E25" s="323">
        <f>E21*C5</f>
        <v>6413.5593220338988</v>
      </c>
      <c r="F25" s="264">
        <f>F21*C4</f>
        <v>6145.906576271188</v>
      </c>
      <c r="G25" s="275"/>
      <c r="H25" s="269" t="s">
        <v>362</v>
      </c>
      <c r="I25" s="268"/>
      <c r="J25" s="268"/>
      <c r="K25" s="277">
        <v>0.9</v>
      </c>
      <c r="L25" s="275"/>
      <c r="Q25" s="275"/>
      <c r="R25" s="413" t="s">
        <v>24</v>
      </c>
      <c r="S25" s="414"/>
      <c r="T25" s="414"/>
      <c r="U25" s="414"/>
      <c r="V25" s="414"/>
      <c r="W25" s="415"/>
      <c r="X25" s="275"/>
      <c r="Y25" s="269" t="s">
        <v>343</v>
      </c>
      <c r="Z25" s="268"/>
      <c r="AA25" s="268"/>
      <c r="AB25" s="268"/>
      <c r="AC25" s="263">
        <f>AC19-(('E-Inv AF y Am'!D50*0.89)+AC11+AC12)</f>
        <v>185297.02413000001</v>
      </c>
    </row>
    <row r="26" spans="1:29" ht="22.5" x14ac:dyDescent="0.2">
      <c r="A26" s="267" t="s">
        <v>352</v>
      </c>
      <c r="B26" s="266"/>
      <c r="C26" s="266"/>
      <c r="D26" s="323">
        <f>D22*C3</f>
        <v>13469.113043478315</v>
      </c>
      <c r="E26" s="323">
        <f>E22*D3</f>
        <v>0</v>
      </c>
      <c r="F26" s="264">
        <f>F22*C4</f>
        <v>50553.635478260869</v>
      </c>
      <c r="G26" s="275"/>
      <c r="H26" s="316" t="s">
        <v>353</v>
      </c>
      <c r="I26" s="268"/>
      <c r="J26" s="268"/>
      <c r="K26" s="263">
        <f>K21*K25</f>
        <v>899965.98720000009</v>
      </c>
      <c r="L26" s="275"/>
      <c r="Q26" s="275"/>
      <c r="R26" s="268"/>
      <c r="S26" s="268"/>
      <c r="T26" s="268"/>
      <c r="U26" s="268"/>
      <c r="V26" s="268"/>
      <c r="W26" s="268"/>
      <c r="X26" s="275"/>
      <c r="Y26" s="269" t="s">
        <v>361</v>
      </c>
      <c r="Z26" s="268"/>
      <c r="AA26" s="268"/>
      <c r="AB26" s="268"/>
      <c r="AC26" s="272">
        <f>AC25/'[2]EJ 11'!$F$10</f>
        <v>8.3467127986486496</v>
      </c>
    </row>
    <row r="27" spans="1:29" x14ac:dyDescent="0.2">
      <c r="G27" s="275"/>
      <c r="H27" s="269" t="s">
        <v>363</v>
      </c>
      <c r="I27" s="268"/>
      <c r="J27" s="268"/>
      <c r="K27" s="272">
        <f>+'[2]EJ 11'!$E$10*K22</f>
        <v>806926.02523826098</v>
      </c>
      <c r="L27" s="275"/>
      <c r="M27" s="269"/>
      <c r="N27" s="268"/>
      <c r="O27" s="268"/>
      <c r="P27" s="355"/>
      <c r="Q27" s="275"/>
      <c r="R27" s="269" t="s">
        <v>343</v>
      </c>
      <c r="S27" s="268"/>
      <c r="T27" s="268"/>
      <c r="U27" s="268"/>
      <c r="V27" s="268"/>
      <c r="W27" s="263">
        <f>W21*K25</f>
        <v>2195640</v>
      </c>
      <c r="X27" s="275"/>
      <c r="Y27" s="269" t="s">
        <v>389</v>
      </c>
      <c r="Z27" s="268"/>
      <c r="AA27" s="268"/>
      <c r="AB27" s="268"/>
      <c r="AC27" s="263">
        <f>('[2]EJ 9'!$H$56+'[2]EJ 9'!$H$82)*AC26/2</f>
        <v>785.15688190677974</v>
      </c>
    </row>
    <row r="28" spans="1:29" ht="13.5" thickBot="1" x14ac:dyDescent="0.25">
      <c r="G28" s="275"/>
      <c r="H28" s="269" t="s">
        <v>364</v>
      </c>
      <c r="I28" s="268"/>
      <c r="J28" s="268"/>
      <c r="K28" s="263">
        <f>+'[2]EJ 11'!$E$12*K22</f>
        <v>9909.840773189193</v>
      </c>
      <c r="L28" s="275"/>
      <c r="M28" s="268"/>
      <c r="N28" s="268"/>
      <c r="O28" s="268"/>
      <c r="P28" s="268"/>
      <c r="Q28" s="275"/>
      <c r="R28" s="269" t="s">
        <v>361</v>
      </c>
      <c r="S28" s="268"/>
      <c r="T28" s="268"/>
      <c r="U28" s="268"/>
      <c r="V28" s="268"/>
      <c r="W28" s="272">
        <f>W27/'[2]EJ 11'!$E$10</f>
        <v>122.56261649580615</v>
      </c>
      <c r="X28" s="275"/>
      <c r="Y28" s="268"/>
      <c r="Z28" s="268"/>
      <c r="AA28" s="268"/>
      <c r="AB28" s="268"/>
      <c r="AC28" s="268"/>
    </row>
    <row r="29" spans="1:29" ht="15.75" thickBot="1" x14ac:dyDescent="0.3">
      <c r="G29" s="275"/>
      <c r="H29" s="280" t="s">
        <v>365</v>
      </c>
      <c r="I29" s="280"/>
      <c r="J29" s="280"/>
      <c r="K29" s="263">
        <f>K26-SUM(K27:K28)</f>
        <v>83130.121188549907</v>
      </c>
      <c r="L29" s="275"/>
      <c r="M29" s="268"/>
      <c r="N29" s="268"/>
      <c r="O29" s="268"/>
      <c r="P29" s="268"/>
      <c r="Q29" s="275"/>
      <c r="R29" s="269" t="s">
        <v>382</v>
      </c>
      <c r="S29" s="268"/>
      <c r="T29" s="268"/>
      <c r="U29" s="268"/>
      <c r="V29" s="268"/>
      <c r="W29" s="263">
        <f>('[2]EJ 9'!$H$56+'[2]EJ 9'!$H$82)/2*W28</f>
        <v>11529.195280537699</v>
      </c>
      <c r="X29" s="275"/>
      <c r="Y29" s="413" t="s">
        <v>24</v>
      </c>
      <c r="Z29" s="414"/>
      <c r="AA29" s="414"/>
      <c r="AB29" s="414"/>
      <c r="AC29" s="415"/>
    </row>
    <row r="30" spans="1:29" x14ac:dyDescent="0.2">
      <c r="X30" s="275"/>
      <c r="Y30" s="268"/>
      <c r="Z30" s="268"/>
      <c r="AA30" s="268"/>
      <c r="AB30" s="268"/>
      <c r="AC30" s="268"/>
    </row>
    <row r="31" spans="1:29" x14ac:dyDescent="0.2">
      <c r="X31" s="275"/>
      <c r="Y31" s="269" t="s">
        <v>343</v>
      </c>
      <c r="Z31" s="268"/>
      <c r="AA31" s="268"/>
      <c r="AB31" s="268"/>
      <c r="AC31" s="263">
        <f>AC25*0.9</f>
        <v>166767.32171700001</v>
      </c>
    </row>
    <row r="32" spans="1:29" x14ac:dyDescent="0.2">
      <c r="X32" s="275"/>
      <c r="Y32" s="269" t="s">
        <v>363</v>
      </c>
      <c r="Z32" s="268"/>
      <c r="AA32" s="268"/>
      <c r="AB32" s="268"/>
      <c r="AC32" s="272">
        <f>'[2]EJ 11'!$E$10*AC26</f>
        <v>149526.64208055654</v>
      </c>
    </row>
    <row r="33" spans="4:29" x14ac:dyDescent="0.2">
      <c r="X33" s="275"/>
      <c r="Y33" s="269" t="s">
        <v>390</v>
      </c>
      <c r="Z33" s="268"/>
      <c r="AA33" s="268"/>
      <c r="AB33" s="268"/>
      <c r="AC33" s="263">
        <f>AC27</f>
        <v>785.15688190677974</v>
      </c>
    </row>
    <row r="34" spans="4:29" x14ac:dyDescent="0.2">
      <c r="D34">
        <v>510.42</v>
      </c>
      <c r="X34" s="275"/>
      <c r="Y34" s="269" t="s">
        <v>391</v>
      </c>
      <c r="Z34" s="268"/>
      <c r="AA34" s="268"/>
      <c r="AB34" s="268"/>
      <c r="AC34" s="263">
        <f>AC31-AC32-AC33</f>
        <v>16455.522754536691</v>
      </c>
    </row>
    <row r="35" spans="4:29" x14ac:dyDescent="0.2">
      <c r="D35">
        <v>88.06</v>
      </c>
    </row>
    <row r="36" spans="4:29" x14ac:dyDescent="0.2">
      <c r="D36">
        <v>400.65</v>
      </c>
    </row>
    <row r="37" spans="4:29" x14ac:dyDescent="0.2">
      <c r="D37" s="412">
        <f>D34-D35-D36</f>
        <v>21.710000000000036</v>
      </c>
    </row>
  </sheetData>
  <mergeCells count="15">
    <mergeCell ref="A6:F6"/>
    <mergeCell ref="A17:F17"/>
    <mergeCell ref="A1:F1"/>
    <mergeCell ref="H16:K16"/>
    <mergeCell ref="R25:W25"/>
    <mergeCell ref="Y29:AC29"/>
    <mergeCell ref="Y23:AC23"/>
    <mergeCell ref="Y1:AC1"/>
    <mergeCell ref="H24:K24"/>
    <mergeCell ref="H1:K1"/>
    <mergeCell ref="M17:P17"/>
    <mergeCell ref="M1:P1"/>
    <mergeCell ref="R1:W1"/>
    <mergeCell ref="R19:W19"/>
    <mergeCell ref="Y6:AC6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G41"/>
  <sheetViews>
    <sheetView topLeftCell="A13" zoomScaleNormal="100" workbookViewId="0">
      <selection activeCell="D4" sqref="D4"/>
    </sheetView>
  </sheetViews>
  <sheetFormatPr baseColWidth="10" defaultRowHeight="12.75" x14ac:dyDescent="0.2"/>
  <cols>
    <col min="1" max="1" width="42.28515625" bestFit="1" customWidth="1"/>
    <col min="4" max="4" width="17.42578125" customWidth="1"/>
  </cols>
  <sheetData>
    <row r="1" spans="1:5" x14ac:dyDescent="0.2">
      <c r="A1" s="311" t="s">
        <v>397</v>
      </c>
      <c r="E1" s="315"/>
    </row>
    <row r="3" spans="1:5" x14ac:dyDescent="0.2">
      <c r="A3" s="6" t="s">
        <v>35</v>
      </c>
      <c r="B3" s="7">
        <v>0.21</v>
      </c>
    </row>
    <row r="4" spans="1:5" x14ac:dyDescent="0.2">
      <c r="A4" s="6" t="s">
        <v>36</v>
      </c>
      <c r="B4" s="7">
        <v>0.35</v>
      </c>
    </row>
    <row r="5" spans="1:5" x14ac:dyDescent="0.2">
      <c r="A5" s="6" t="s">
        <v>78</v>
      </c>
      <c r="B5" s="7">
        <v>7.0000000000000007E-2</v>
      </c>
      <c r="C5" t="s">
        <v>79</v>
      </c>
    </row>
    <row r="7" spans="1:5" x14ac:dyDescent="0.2">
      <c r="A7" s="6" t="s">
        <v>45</v>
      </c>
      <c r="B7" t="s">
        <v>44</v>
      </c>
    </row>
    <row r="8" spans="1:5" x14ac:dyDescent="0.2">
      <c r="A8" s="5" t="s">
        <v>37</v>
      </c>
      <c r="B8" s="4">
        <v>30</v>
      </c>
      <c r="C8" t="s">
        <v>38</v>
      </c>
    </row>
    <row r="9" spans="1:5" x14ac:dyDescent="0.2">
      <c r="A9" s="5" t="s">
        <v>39</v>
      </c>
      <c r="B9" s="4">
        <v>10</v>
      </c>
      <c r="C9" t="s">
        <v>38</v>
      </c>
    </row>
    <row r="10" spans="1:5" x14ac:dyDescent="0.2">
      <c r="A10" s="5" t="s">
        <v>40</v>
      </c>
      <c r="B10" s="4">
        <v>10</v>
      </c>
      <c r="C10" t="s">
        <v>38</v>
      </c>
    </row>
    <row r="11" spans="1:5" x14ac:dyDescent="0.2">
      <c r="A11" s="3" t="s">
        <v>41</v>
      </c>
      <c r="B11" s="4">
        <v>5</v>
      </c>
      <c r="C11" t="s">
        <v>38</v>
      </c>
    </row>
    <row r="12" spans="1:5" x14ac:dyDescent="0.2">
      <c r="A12" s="3" t="s">
        <v>42</v>
      </c>
      <c r="B12" s="4">
        <v>5</v>
      </c>
      <c r="C12" t="s">
        <v>38</v>
      </c>
    </row>
    <row r="13" spans="1:5" x14ac:dyDescent="0.2">
      <c r="A13" s="3" t="s">
        <v>43</v>
      </c>
      <c r="B13" s="4">
        <v>3</v>
      </c>
      <c r="C13" t="s">
        <v>38</v>
      </c>
    </row>
    <row r="14" spans="1:5" x14ac:dyDescent="0.2">
      <c r="A14" s="3" t="s">
        <v>46</v>
      </c>
      <c r="B14" s="4">
        <v>5</v>
      </c>
      <c r="C14" t="s">
        <v>38</v>
      </c>
    </row>
    <row r="15" spans="1:5" x14ac:dyDescent="0.2">
      <c r="A15" s="313" t="s">
        <v>58</v>
      </c>
      <c r="B15" s="314">
        <v>4.4999999999999998E-2</v>
      </c>
    </row>
    <row r="17" spans="1:7" x14ac:dyDescent="0.2">
      <c r="A17" s="6" t="s">
        <v>72</v>
      </c>
      <c r="B17" s="429" t="s">
        <v>398</v>
      </c>
      <c r="C17" s="430"/>
      <c r="D17" s="430"/>
      <c r="E17" s="430"/>
      <c r="F17" s="430"/>
      <c r="G17" s="431"/>
    </row>
    <row r="19" spans="1:7" x14ac:dyDescent="0.2">
      <c r="A19" s="6" t="s">
        <v>63</v>
      </c>
      <c r="B19" s="23">
        <f>+AVERAGE([4]Hoja1!$B$9:$F$9)</f>
        <v>112000</v>
      </c>
      <c r="C19" t="s">
        <v>65</v>
      </c>
    </row>
    <row r="20" spans="1:7" x14ac:dyDescent="0.2">
      <c r="A20" s="6" t="s">
        <v>64</v>
      </c>
      <c r="B20" s="23">
        <f>+[4]Hoja1!$B$10</f>
        <v>140</v>
      </c>
      <c r="C20" t="s">
        <v>66</v>
      </c>
    </row>
    <row r="22" spans="1:7" x14ac:dyDescent="0.2">
      <c r="A22" s="6" t="s">
        <v>67</v>
      </c>
    </row>
    <row r="23" spans="1:7" x14ac:dyDescent="0.2">
      <c r="A23" s="6" t="s">
        <v>68</v>
      </c>
      <c r="B23" s="23">
        <v>5</v>
      </c>
      <c r="C23" t="s">
        <v>71</v>
      </c>
    </row>
    <row r="24" spans="1:7" x14ac:dyDescent="0.2">
      <c r="A24" s="6" t="s">
        <v>69</v>
      </c>
      <c r="B24" s="23">
        <v>3</v>
      </c>
      <c r="C24" t="s">
        <v>71</v>
      </c>
    </row>
    <row r="25" spans="1:7" x14ac:dyDescent="0.2">
      <c r="A25" s="6" t="s">
        <v>70</v>
      </c>
      <c r="B25" s="23">
        <v>2</v>
      </c>
      <c r="C25" t="s">
        <v>71</v>
      </c>
    </row>
    <row r="27" spans="1:7" x14ac:dyDescent="0.2">
      <c r="A27" s="6" t="s">
        <v>73</v>
      </c>
      <c r="B27" s="23">
        <v>500</v>
      </c>
      <c r="C27" t="s">
        <v>74</v>
      </c>
    </row>
    <row r="28" spans="1:7" x14ac:dyDescent="0.2">
      <c r="A28" s="6" t="s">
        <v>75</v>
      </c>
      <c r="B28" s="23">
        <v>8</v>
      </c>
      <c r="C28" t="s">
        <v>77</v>
      </c>
    </row>
    <row r="29" spans="1:7" x14ac:dyDescent="0.2">
      <c r="A29" s="6" t="s">
        <v>76</v>
      </c>
      <c r="B29" s="23">
        <v>3</v>
      </c>
      <c r="C29" t="s">
        <v>77</v>
      </c>
    </row>
    <row r="32" spans="1:7" x14ac:dyDescent="0.2">
      <c r="A32" s="6" t="s">
        <v>32</v>
      </c>
      <c r="B32" s="23">
        <v>15.5</v>
      </c>
      <c r="C32" t="s">
        <v>33</v>
      </c>
      <c r="D32" s="23">
        <v>1</v>
      </c>
      <c r="E32" t="s">
        <v>34</v>
      </c>
    </row>
    <row r="33" spans="1:4" x14ac:dyDescent="0.2">
      <c r="A33" s="1"/>
    </row>
    <row r="34" spans="1:4" x14ac:dyDescent="0.2">
      <c r="A34" s="1"/>
    </row>
    <row r="35" spans="1:4" x14ac:dyDescent="0.2">
      <c r="A35" s="6" t="s">
        <v>235</v>
      </c>
      <c r="B35" s="290">
        <v>0.22</v>
      </c>
      <c r="C35" t="s">
        <v>241</v>
      </c>
    </row>
    <row r="36" spans="1:4" x14ac:dyDescent="0.2">
      <c r="A36" s="6" t="s">
        <v>239</v>
      </c>
      <c r="B36" s="426"/>
      <c r="C36" s="427"/>
      <c r="D36" s="428"/>
    </row>
    <row r="37" spans="1:4" x14ac:dyDescent="0.2">
      <c r="A37" s="6" t="s">
        <v>236</v>
      </c>
      <c r="B37" s="291"/>
    </row>
    <row r="38" spans="1:4" x14ac:dyDescent="0.2">
      <c r="A38" s="6"/>
    </row>
    <row r="39" spans="1:4" x14ac:dyDescent="0.2">
      <c r="A39" s="6" t="s">
        <v>237</v>
      </c>
      <c r="B39" s="23"/>
    </row>
    <row r="40" spans="1:4" x14ac:dyDescent="0.2">
      <c r="A40" s="6" t="s">
        <v>238</v>
      </c>
      <c r="B40" s="292"/>
    </row>
    <row r="41" spans="1:4" x14ac:dyDescent="0.2">
      <c r="A41" s="6" t="s">
        <v>240</v>
      </c>
      <c r="B41" s="292"/>
      <c r="C41" t="s">
        <v>241</v>
      </c>
    </row>
  </sheetData>
  <mergeCells count="2">
    <mergeCell ref="B36:D36"/>
    <mergeCell ref="B17:G17"/>
  </mergeCells>
  <pageMargins left="0.75" right="0.75" top="0.7" bottom="1" header="0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  <pageSetUpPr fitToPage="1"/>
  </sheetPr>
  <dimension ref="A1:J56"/>
  <sheetViews>
    <sheetView topLeftCell="A22" zoomScale="85" zoomScaleNormal="85" workbookViewId="0">
      <selection activeCell="I43" sqref="I43"/>
    </sheetView>
  </sheetViews>
  <sheetFormatPr baseColWidth="10" defaultRowHeight="12.75" x14ac:dyDescent="0.2"/>
  <cols>
    <col min="1" max="1" width="46" style="24" customWidth="1"/>
    <col min="2" max="5" width="14.85546875" style="24" bestFit="1" customWidth="1"/>
    <col min="6" max="7" width="14.85546875" style="24" customWidth="1"/>
    <col min="8" max="8" width="15.28515625" style="24" customWidth="1"/>
    <col min="9" max="9" width="16.28515625" style="24" customWidth="1"/>
    <col min="10" max="16384" width="11.42578125" style="24"/>
  </cols>
  <sheetData>
    <row r="1" spans="1:10" x14ac:dyDescent="0.2">
      <c r="A1" s="311" t="s">
        <v>399</v>
      </c>
      <c r="B1"/>
      <c r="C1"/>
      <c r="D1"/>
      <c r="E1" s="312">
        <f>+InfoInicial!E1</f>
        <v>0</v>
      </c>
    </row>
    <row r="2" spans="1:10" ht="13.5" thickBot="1" x14ac:dyDescent="0.25"/>
    <row r="3" spans="1:10" ht="16.5" thickTop="1" x14ac:dyDescent="0.25">
      <c r="A3" s="25" t="s">
        <v>29</v>
      </c>
      <c r="B3" s="432" t="s">
        <v>30</v>
      </c>
      <c r="C3" s="432"/>
      <c r="D3" s="432" t="s">
        <v>31</v>
      </c>
      <c r="E3" s="433"/>
    </row>
    <row r="4" spans="1:10" ht="16.5" thickBot="1" x14ac:dyDescent="0.3">
      <c r="A4" s="27"/>
      <c r="B4" s="28" t="s">
        <v>23</v>
      </c>
      <c r="C4" s="28" t="s">
        <v>24</v>
      </c>
      <c r="D4" s="28" t="s">
        <v>23</v>
      </c>
      <c r="E4" s="29" t="s">
        <v>24</v>
      </c>
      <c r="H4" s="350" t="s">
        <v>421</v>
      </c>
    </row>
    <row r="5" spans="1:10" ht="13.5" thickTop="1" x14ac:dyDescent="0.2">
      <c r="A5" s="30"/>
      <c r="B5" s="31"/>
      <c r="C5" s="31"/>
      <c r="D5" s="31"/>
      <c r="E5" s="31"/>
      <c r="H5" s="350"/>
    </row>
    <row r="6" spans="1:10" x14ac:dyDescent="0.2">
      <c r="A6" s="11" t="s">
        <v>22</v>
      </c>
      <c r="B6" s="32"/>
      <c r="C6" s="32"/>
      <c r="D6" s="32"/>
      <c r="E6" s="32"/>
      <c r="H6" s="351" t="s">
        <v>422</v>
      </c>
      <c r="I6" s="352" t="s">
        <v>423</v>
      </c>
      <c r="J6" s="352" t="s">
        <v>242</v>
      </c>
    </row>
    <row r="7" spans="1:10" x14ac:dyDescent="0.2">
      <c r="A7" s="10" t="s">
        <v>2</v>
      </c>
      <c r="B7" s="33">
        <f>200000*InfoInicial!B32</f>
        <v>3100000</v>
      </c>
      <c r="C7" s="33"/>
      <c r="D7" s="33"/>
      <c r="E7" s="33"/>
      <c r="H7" s="24" t="s">
        <v>426</v>
      </c>
      <c r="I7" s="354">
        <v>60000</v>
      </c>
      <c r="J7" s="355">
        <f>+I7*0.21</f>
        <v>12600</v>
      </c>
    </row>
    <row r="8" spans="1:10" x14ac:dyDescent="0.2">
      <c r="A8" s="10" t="s">
        <v>3</v>
      </c>
      <c r="B8" s="33">
        <v>600000</v>
      </c>
      <c r="C8" s="33"/>
      <c r="D8" s="33"/>
      <c r="E8" s="33"/>
      <c r="H8" s="24" t="s">
        <v>429</v>
      </c>
      <c r="I8" s="354">
        <v>500000</v>
      </c>
      <c r="J8" s="355">
        <f t="shared" ref="J8:J11" si="0">+I8*0.21</f>
        <v>105000</v>
      </c>
    </row>
    <row r="9" spans="1:10" x14ac:dyDescent="0.2">
      <c r="A9" s="10" t="s">
        <v>4</v>
      </c>
      <c r="B9" s="33">
        <v>350000</v>
      </c>
      <c r="C9" s="33">
        <v>0</v>
      </c>
      <c r="D9" s="130"/>
      <c r="E9" s="130"/>
      <c r="H9" s="24" t="s">
        <v>431</v>
      </c>
      <c r="I9" s="354">
        <v>23000</v>
      </c>
      <c r="J9" s="355">
        <f t="shared" si="0"/>
        <v>4830</v>
      </c>
    </row>
    <row r="10" spans="1:10" x14ac:dyDescent="0.2">
      <c r="A10" s="10" t="s">
        <v>5</v>
      </c>
      <c r="B10" s="357"/>
      <c r="C10" s="358"/>
      <c r="D10" s="358"/>
      <c r="E10" s="359"/>
      <c r="H10" s="24" t="s">
        <v>433</v>
      </c>
      <c r="I10" s="354">
        <v>150000</v>
      </c>
      <c r="J10" s="355">
        <f t="shared" si="0"/>
        <v>31500</v>
      </c>
    </row>
    <row r="11" spans="1:10" x14ac:dyDescent="0.2">
      <c r="A11" s="10" t="s">
        <v>6</v>
      </c>
      <c r="B11" s="33">
        <v>0</v>
      </c>
      <c r="C11" s="33">
        <v>0</v>
      </c>
      <c r="D11" s="137"/>
      <c r="E11" s="130"/>
      <c r="G11" s="215"/>
      <c r="H11" s="24" t="s">
        <v>435</v>
      </c>
      <c r="I11" s="354">
        <v>120000</v>
      </c>
      <c r="J11" s="355">
        <f t="shared" si="0"/>
        <v>25200</v>
      </c>
    </row>
    <row r="12" spans="1:10" x14ac:dyDescent="0.2">
      <c r="A12" s="10" t="s">
        <v>7</v>
      </c>
      <c r="B12" s="126">
        <f>+SUM(I7:I11)</f>
        <v>853000</v>
      </c>
      <c r="C12" s="33">
        <v>0</v>
      </c>
      <c r="D12" s="130"/>
      <c r="E12" s="130"/>
      <c r="G12" s="215"/>
    </row>
    <row r="13" spans="1:10" x14ac:dyDescent="0.2">
      <c r="A13" s="34" t="s">
        <v>8</v>
      </c>
      <c r="B13" s="33">
        <v>0</v>
      </c>
      <c r="C13" s="33">
        <v>0</v>
      </c>
      <c r="D13" s="130"/>
      <c r="E13" s="130"/>
      <c r="H13" s="351" t="s">
        <v>424</v>
      </c>
      <c r="I13" s="352" t="s">
        <v>423</v>
      </c>
      <c r="J13" s="352" t="s">
        <v>242</v>
      </c>
    </row>
    <row r="14" spans="1:10" x14ac:dyDescent="0.2">
      <c r="A14" s="10" t="s">
        <v>9</v>
      </c>
      <c r="B14" s="33">
        <f>+B12*0.05</f>
        <v>42650</v>
      </c>
      <c r="C14" s="33">
        <v>0</v>
      </c>
      <c r="D14" s="130"/>
      <c r="E14" s="130"/>
      <c r="F14" s="356"/>
      <c r="H14" s="24" t="s">
        <v>427</v>
      </c>
      <c r="I14" s="354">
        <v>16000</v>
      </c>
      <c r="J14" s="355">
        <f t="shared" ref="J14:J19" si="1">+I14*0.21</f>
        <v>3360</v>
      </c>
    </row>
    <row r="15" spans="1:10" x14ac:dyDescent="0.2">
      <c r="A15" s="10" t="s">
        <v>21</v>
      </c>
      <c r="B15" s="126">
        <f>180000+500000</f>
        <v>680000</v>
      </c>
      <c r="C15" s="33"/>
      <c r="D15" s="33"/>
      <c r="E15" s="33"/>
      <c r="H15" s="24" t="s">
        <v>430</v>
      </c>
      <c r="I15" s="354">
        <v>25000</v>
      </c>
      <c r="J15" s="355">
        <f t="shared" si="1"/>
        <v>5250</v>
      </c>
    </row>
    <row r="16" spans="1:10" x14ac:dyDescent="0.2">
      <c r="A16" s="10" t="s">
        <v>10</v>
      </c>
      <c r="B16" s="33">
        <f>+SUM(I14:I19)</f>
        <v>241000</v>
      </c>
      <c r="C16" s="33"/>
      <c r="D16" s="33"/>
      <c r="E16" s="33"/>
      <c r="H16" s="24" t="s">
        <v>432</v>
      </c>
      <c r="I16" s="354">
        <v>120000</v>
      </c>
      <c r="J16" s="355">
        <f t="shared" si="1"/>
        <v>25200</v>
      </c>
    </row>
    <row r="17" spans="1:10" x14ac:dyDescent="0.2">
      <c r="A17" s="10" t="s">
        <v>11</v>
      </c>
      <c r="B17" s="33">
        <v>300000</v>
      </c>
      <c r="C17" s="33"/>
      <c r="D17" s="33"/>
      <c r="E17" s="33"/>
      <c r="H17" s="24" t="s">
        <v>434</v>
      </c>
      <c r="I17" s="354">
        <v>5000</v>
      </c>
      <c r="J17" s="355">
        <f t="shared" si="1"/>
        <v>1050</v>
      </c>
    </row>
    <row r="18" spans="1:10" x14ac:dyDescent="0.2">
      <c r="A18" s="10" t="s">
        <v>12</v>
      </c>
      <c r="B18" s="33">
        <f>InfoInicial!B15*(SUM(B5:C17))</f>
        <v>277499.25</v>
      </c>
      <c r="C18" s="33"/>
      <c r="D18" s="33"/>
      <c r="E18" s="33"/>
      <c r="H18" s="24" t="s">
        <v>436</v>
      </c>
      <c r="I18" s="354">
        <v>15000</v>
      </c>
      <c r="J18" s="355">
        <f t="shared" si="1"/>
        <v>3150</v>
      </c>
    </row>
    <row r="19" spans="1:10" x14ac:dyDescent="0.2">
      <c r="A19" s="11" t="s">
        <v>13</v>
      </c>
      <c r="B19" s="128">
        <f>SUM(B5:B18)</f>
        <v>6444149.25</v>
      </c>
      <c r="C19" s="128">
        <f>SUM(C5:C18)</f>
        <v>0</v>
      </c>
      <c r="D19" s="128"/>
      <c r="E19" s="128"/>
      <c r="H19" s="24" t="s">
        <v>437</v>
      </c>
      <c r="I19" s="354">
        <v>60000</v>
      </c>
      <c r="J19" s="355">
        <f t="shared" si="1"/>
        <v>12600</v>
      </c>
    </row>
    <row r="20" spans="1:10" x14ac:dyDescent="0.2">
      <c r="A20" s="10"/>
      <c r="B20" s="2"/>
      <c r="C20" s="2"/>
      <c r="D20" s="2"/>
      <c r="E20" s="2"/>
    </row>
    <row r="21" spans="1:10" x14ac:dyDescent="0.2">
      <c r="A21" s="11" t="s">
        <v>14</v>
      </c>
      <c r="B21" s="2"/>
      <c r="C21" s="2"/>
      <c r="D21" s="2"/>
      <c r="E21" s="2"/>
    </row>
    <row r="22" spans="1:10" x14ac:dyDescent="0.2">
      <c r="A22" s="10" t="s">
        <v>15</v>
      </c>
      <c r="B22" s="33">
        <f>+SUM(B9:E14)*0.005</f>
        <v>6228.25</v>
      </c>
      <c r="C22" s="33">
        <v>0</v>
      </c>
      <c r="D22" s="130"/>
      <c r="E22" s="130"/>
      <c r="H22" s="353" t="s">
        <v>425</v>
      </c>
      <c r="I22" s="352" t="s">
        <v>423</v>
      </c>
      <c r="J22" s="352" t="s">
        <v>242</v>
      </c>
    </row>
    <row r="23" spans="1:10" x14ac:dyDescent="0.2">
      <c r="A23" s="10" t="s">
        <v>16</v>
      </c>
      <c r="B23" s="33">
        <f>0.02*(SUM($B$19:$E$19))</f>
        <v>128882.985</v>
      </c>
      <c r="C23" s="33">
        <v>0</v>
      </c>
      <c r="D23" s="130"/>
      <c r="E23" s="130"/>
      <c r="H23" s="24" t="s">
        <v>428</v>
      </c>
      <c r="I23" s="354"/>
      <c r="J23" s="355">
        <f>I23*0.21</f>
        <v>0</v>
      </c>
    </row>
    <row r="24" spans="1:10" x14ac:dyDescent="0.2">
      <c r="A24" s="10" t="s">
        <v>17</v>
      </c>
      <c r="B24" s="357"/>
      <c r="C24" s="358"/>
      <c r="D24" s="358"/>
      <c r="E24" s="359"/>
    </row>
    <row r="25" spans="1:10" x14ac:dyDescent="0.2">
      <c r="A25" s="360" t="s">
        <v>438</v>
      </c>
      <c r="B25" s="33">
        <f>+I23*8</f>
        <v>0</v>
      </c>
      <c r="C25" s="33">
        <f>12*I23</f>
        <v>0</v>
      </c>
      <c r="D25" s="130"/>
      <c r="E25" s="130"/>
    </row>
    <row r="26" spans="1:10" x14ac:dyDescent="0.2">
      <c r="A26" s="360" t="s">
        <v>439</v>
      </c>
      <c r="B26" s="33">
        <v>0</v>
      </c>
      <c r="C26" s="33">
        <f>+'E-Costos'!G36</f>
        <v>163608.39246482577</v>
      </c>
      <c r="D26" s="130"/>
      <c r="E26" s="130"/>
    </row>
    <row r="27" spans="1:10" x14ac:dyDescent="0.2">
      <c r="A27" s="361" t="s">
        <v>440</v>
      </c>
      <c r="B27" s="33">
        <f>+B23*0.1</f>
        <v>12888.298500000001</v>
      </c>
      <c r="C27" s="33">
        <v>0</v>
      </c>
      <c r="D27" s="130"/>
      <c r="E27" s="130"/>
    </row>
    <row r="28" spans="1:10" x14ac:dyDescent="0.2">
      <c r="A28" s="361" t="s">
        <v>441</v>
      </c>
      <c r="B28" s="33">
        <v>0</v>
      </c>
      <c r="C28" s="33">
        <v>0</v>
      </c>
      <c r="D28" s="130"/>
      <c r="E28" s="130"/>
    </row>
    <row r="29" spans="1:10" x14ac:dyDescent="0.2">
      <c r="A29" s="362" t="s">
        <v>442</v>
      </c>
      <c r="B29" s="129">
        <f>InfoInicial!B15*(SUM(B22:E28))</f>
        <v>14022.356668417156</v>
      </c>
      <c r="C29" s="33">
        <v>0</v>
      </c>
      <c r="D29" s="130"/>
      <c r="E29" s="130"/>
    </row>
    <row r="30" spans="1:10" x14ac:dyDescent="0.2">
      <c r="A30" s="11" t="s">
        <v>18</v>
      </c>
      <c r="B30" s="128">
        <f>SUM(B22:B29)</f>
        <v>162021.89016841716</v>
      </c>
      <c r="C30" s="128">
        <f>SUM(C22:C29)</f>
        <v>163608.39246482577</v>
      </c>
      <c r="D30" s="128"/>
      <c r="E30" s="128"/>
    </row>
    <row r="31" spans="1:10" x14ac:dyDescent="0.2">
      <c r="A31" s="10"/>
      <c r="B31" s="2"/>
      <c r="C31" s="2"/>
      <c r="D31" s="2"/>
      <c r="E31" s="2"/>
    </row>
    <row r="32" spans="1:10" x14ac:dyDescent="0.2">
      <c r="A32" s="11" t="s">
        <v>19</v>
      </c>
      <c r="B32" s="128">
        <f>+B30+B19</f>
        <v>6606171.1401684172</v>
      </c>
      <c r="C32" s="128">
        <f>+C30+C19</f>
        <v>163608.39246482577</v>
      </c>
      <c r="D32" s="128"/>
      <c r="E32" s="128"/>
    </row>
    <row r="33" spans="1:8" x14ac:dyDescent="0.2">
      <c r="A33" s="10"/>
      <c r="B33" s="2"/>
      <c r="C33" s="2"/>
      <c r="D33" s="2"/>
      <c r="E33" s="2"/>
    </row>
    <row r="34" spans="1:8" x14ac:dyDescent="0.2">
      <c r="A34" s="11" t="s">
        <v>244</v>
      </c>
      <c r="B34" s="128">
        <f>+B32*0.21</f>
        <v>1387295.9394353675</v>
      </c>
      <c r="C34" s="128">
        <f>+C32*0.21</f>
        <v>34357.762417613412</v>
      </c>
      <c r="D34" s="128"/>
      <c r="E34" s="128"/>
    </row>
    <row r="35" spans="1:8" x14ac:dyDescent="0.2">
      <c r="A35" s="10"/>
      <c r="B35" s="2"/>
      <c r="C35" s="2"/>
      <c r="D35" s="2"/>
      <c r="E35" s="2"/>
      <c r="G35" s="132"/>
    </row>
    <row r="36" spans="1:8" ht="13.5" thickBot="1" x14ac:dyDescent="0.25">
      <c r="A36" s="36" t="s">
        <v>20</v>
      </c>
      <c r="B36" s="131">
        <f>+SUM(B32:E32)+SUM(B34:E34)</f>
        <v>8191433.2344862241</v>
      </c>
      <c r="C36" s="37"/>
      <c r="D36" s="37"/>
      <c r="E36" s="37"/>
    </row>
    <row r="37" spans="1:8" ht="13.5" thickTop="1" x14ac:dyDescent="0.2"/>
    <row r="38" spans="1:8" ht="13.5" thickBot="1" x14ac:dyDescent="0.25"/>
    <row r="39" spans="1:8" ht="13.5" thickTop="1" x14ac:dyDescent="0.2">
      <c r="A39" s="38" t="s">
        <v>47</v>
      </c>
      <c r="B39" s="26" t="s">
        <v>48</v>
      </c>
      <c r="C39" s="26" t="s">
        <v>49</v>
      </c>
      <c r="D39" s="432" t="s">
        <v>50</v>
      </c>
      <c r="E39" s="432"/>
      <c r="F39" s="432"/>
      <c r="G39" s="39" t="s">
        <v>51</v>
      </c>
    </row>
    <row r="40" spans="1:8" ht="13.5" thickBot="1" x14ac:dyDescent="0.25">
      <c r="A40" s="40"/>
      <c r="B40" s="28" t="s">
        <v>52</v>
      </c>
      <c r="C40" s="28"/>
      <c r="D40" s="28" t="s">
        <v>53</v>
      </c>
      <c r="E40" s="28" t="s">
        <v>54</v>
      </c>
      <c r="F40" s="28"/>
      <c r="G40" s="41"/>
    </row>
    <row r="41" spans="1:8" ht="13.5" thickTop="1" x14ac:dyDescent="0.2">
      <c r="A41" s="42" t="s">
        <v>1</v>
      </c>
      <c r="B41" s="43"/>
      <c r="C41" s="43"/>
      <c r="D41" s="43"/>
      <c r="E41" s="43"/>
      <c r="F41" s="44"/>
      <c r="G41" s="45"/>
    </row>
    <row r="42" spans="1:8" x14ac:dyDescent="0.2">
      <c r="A42" s="10" t="s">
        <v>2</v>
      </c>
      <c r="B42" s="33">
        <f>+B7</f>
        <v>3100000</v>
      </c>
      <c r="C42" s="33"/>
      <c r="D42" s="33"/>
      <c r="E42" s="33"/>
      <c r="F42" s="33"/>
      <c r="G42" s="46">
        <f>+B42</f>
        <v>3100000</v>
      </c>
    </row>
    <row r="43" spans="1:8" x14ac:dyDescent="0.2">
      <c r="A43" s="10" t="s">
        <v>3</v>
      </c>
      <c r="B43" s="33">
        <f>+B8</f>
        <v>600000</v>
      </c>
      <c r="C43" s="344">
        <f>1/30</f>
        <v>3.3333333333333333E-2</v>
      </c>
      <c r="D43" s="33">
        <f>+$B$43*$C$43</f>
        <v>20000</v>
      </c>
      <c r="E43" s="33">
        <f t="shared" ref="E43:E48" si="2">+B43*C43</f>
        <v>20000</v>
      </c>
      <c r="F43" s="33"/>
      <c r="G43" s="46">
        <f t="shared" ref="G43:G50" si="3">B43-(D43*3)-(E43*2)</f>
        <v>500000</v>
      </c>
    </row>
    <row r="44" spans="1:8" x14ac:dyDescent="0.2">
      <c r="A44" s="10" t="s">
        <v>4</v>
      </c>
      <c r="B44" s="33">
        <f>+B9</f>
        <v>350000</v>
      </c>
      <c r="C44" s="344">
        <f>1/10</f>
        <v>0.1</v>
      </c>
      <c r="D44" s="33">
        <f t="shared" ref="D44:D50" si="4">+C44*B44</f>
        <v>35000</v>
      </c>
      <c r="E44" s="33">
        <f t="shared" si="2"/>
        <v>35000</v>
      </c>
      <c r="F44" s="33"/>
      <c r="G44" s="46">
        <f t="shared" si="3"/>
        <v>175000</v>
      </c>
    </row>
    <row r="45" spans="1:8" x14ac:dyDescent="0.2">
      <c r="A45" s="34" t="s">
        <v>55</v>
      </c>
      <c r="B45" s="126">
        <f>+F14+SUM(B10:C14)-B50</f>
        <v>810350</v>
      </c>
      <c r="C45" s="344">
        <f>1/10</f>
        <v>0.1</v>
      </c>
      <c r="D45" s="33">
        <f t="shared" si="4"/>
        <v>81035</v>
      </c>
      <c r="E45" s="33">
        <f t="shared" si="2"/>
        <v>81035</v>
      </c>
      <c r="F45" s="33"/>
      <c r="G45" s="46">
        <f t="shared" si="3"/>
        <v>405175</v>
      </c>
    </row>
    <row r="46" spans="1:8" x14ac:dyDescent="0.2">
      <c r="A46" s="34" t="s">
        <v>56</v>
      </c>
      <c r="B46" s="33">
        <f>+B15</f>
        <v>680000</v>
      </c>
      <c r="C46" s="344">
        <f>1/5</f>
        <v>0.2</v>
      </c>
      <c r="D46" s="33">
        <f t="shared" si="4"/>
        <v>136000</v>
      </c>
      <c r="E46" s="33">
        <f t="shared" si="2"/>
        <v>136000</v>
      </c>
      <c r="F46" s="33"/>
      <c r="G46" s="46">
        <f t="shared" si="3"/>
        <v>0</v>
      </c>
      <c r="H46" s="215"/>
    </row>
    <row r="47" spans="1:8" x14ac:dyDescent="0.2">
      <c r="A47" s="35" t="s">
        <v>57</v>
      </c>
      <c r="B47" s="33">
        <f>+B16</f>
        <v>241000</v>
      </c>
      <c r="C47" s="344">
        <f>1/5</f>
        <v>0.2</v>
      </c>
      <c r="D47" s="33">
        <f t="shared" si="4"/>
        <v>48200</v>
      </c>
      <c r="E47" s="33">
        <f t="shared" si="2"/>
        <v>48200</v>
      </c>
      <c r="F47" s="33"/>
      <c r="G47" s="46">
        <f t="shared" si="3"/>
        <v>0</v>
      </c>
      <c r="H47" s="215"/>
    </row>
    <row r="48" spans="1:8" x14ac:dyDescent="0.2">
      <c r="A48" s="35" t="s">
        <v>58</v>
      </c>
      <c r="B48" s="33">
        <f>+B18</f>
        <v>277499.25</v>
      </c>
      <c r="C48" s="344">
        <f>4.5/100</f>
        <v>4.4999999999999998E-2</v>
      </c>
      <c r="D48" s="33">
        <f t="shared" si="4"/>
        <v>12487.466249999999</v>
      </c>
      <c r="E48" s="33">
        <f t="shared" si="2"/>
        <v>12487.466249999999</v>
      </c>
      <c r="F48" s="33"/>
      <c r="G48" s="46">
        <f t="shared" si="3"/>
        <v>215061.91875000001</v>
      </c>
    </row>
    <row r="49" spans="1:8" x14ac:dyDescent="0.2">
      <c r="A49" s="10" t="s">
        <v>11</v>
      </c>
      <c r="B49" s="33">
        <v>300000</v>
      </c>
      <c r="C49" s="344">
        <f>1/30</f>
        <v>3.3333333333333333E-2</v>
      </c>
      <c r="D49" s="33">
        <f>C49*B49</f>
        <v>10000</v>
      </c>
      <c r="E49" s="33">
        <f>C49*B49</f>
        <v>10000</v>
      </c>
      <c r="F49" s="33"/>
      <c r="G49" s="46">
        <f t="shared" si="3"/>
        <v>250000</v>
      </c>
    </row>
    <row r="50" spans="1:8" x14ac:dyDescent="0.2">
      <c r="A50" s="35" t="s">
        <v>59</v>
      </c>
      <c r="B50" s="126">
        <f>B12*0.1+F14*0.1</f>
        <v>85300</v>
      </c>
      <c r="C50" s="344">
        <f>5/(InfoInicial!B14*5)</f>
        <v>0.2</v>
      </c>
      <c r="D50" s="33">
        <f t="shared" si="4"/>
        <v>17060</v>
      </c>
      <c r="E50" s="33">
        <f>B50*C50</f>
        <v>17060</v>
      </c>
      <c r="F50" s="33"/>
      <c r="G50" s="46">
        <f t="shared" si="3"/>
        <v>0</v>
      </c>
    </row>
    <row r="51" spans="1:8" x14ac:dyDescent="0.2">
      <c r="A51" s="47" t="s">
        <v>60</v>
      </c>
      <c r="B51" s="128">
        <f>SUM(B42:B50)</f>
        <v>6444149.25</v>
      </c>
      <c r="C51" s="344"/>
      <c r="D51" s="128">
        <f>SUM(D42:D50)</f>
        <v>359782.46625</v>
      </c>
      <c r="E51" s="128">
        <f>SUM(E42:E50)</f>
        <v>359782.46625</v>
      </c>
      <c r="F51" s="128"/>
      <c r="G51" s="133">
        <f>SUM(G42:G50)</f>
        <v>4645236.9187500002</v>
      </c>
    </row>
    <row r="52" spans="1:8" x14ac:dyDescent="0.2">
      <c r="A52" s="11"/>
      <c r="B52" s="48"/>
      <c r="C52" s="345"/>
      <c r="D52" s="49"/>
      <c r="E52" s="49"/>
      <c r="F52" s="49"/>
      <c r="G52" s="50"/>
    </row>
    <row r="53" spans="1:8" x14ac:dyDescent="0.2">
      <c r="A53" s="47" t="s">
        <v>61</v>
      </c>
      <c r="B53" s="128">
        <f>+SUM(B30:E30)</f>
        <v>325630.2826332429</v>
      </c>
      <c r="C53" s="344">
        <f>5/(InfoInicial!B14*5)</f>
        <v>0.2</v>
      </c>
      <c r="D53" s="128">
        <f>+B53*C53</f>
        <v>65126.056526648579</v>
      </c>
      <c r="E53" s="128">
        <f>+C53*B53</f>
        <v>65126.056526648579</v>
      </c>
      <c r="F53" s="128"/>
      <c r="G53" s="46"/>
    </row>
    <row r="54" spans="1:8" x14ac:dyDescent="0.2">
      <c r="A54" s="11"/>
      <c r="B54" s="32"/>
      <c r="C54" s="346"/>
      <c r="D54" s="51"/>
      <c r="E54" s="52"/>
      <c r="F54" s="52"/>
      <c r="G54" s="53"/>
      <c r="H54" s="54"/>
    </row>
    <row r="55" spans="1:8" ht="13.5" thickBot="1" x14ac:dyDescent="0.25">
      <c r="A55" s="55" t="s">
        <v>62</v>
      </c>
      <c r="B55" s="131">
        <f>+SUM(B51:B53)</f>
        <v>6769779.5326332431</v>
      </c>
      <c r="C55" s="37"/>
      <c r="D55" s="131">
        <f>+D53+D51</f>
        <v>424908.52277664858</v>
      </c>
      <c r="E55" s="131">
        <f>+E53+E51</f>
        <v>424908.52277664858</v>
      </c>
      <c r="F55" s="131"/>
      <c r="G55" s="134">
        <f>+G51</f>
        <v>4645236.9187500002</v>
      </c>
      <c r="H55" s="57"/>
    </row>
    <row r="56" spans="1:8" ht="13.5" thickTop="1" x14ac:dyDescent="0.2"/>
  </sheetData>
  <mergeCells count="3">
    <mergeCell ref="B3:C3"/>
    <mergeCell ref="D3:E3"/>
    <mergeCell ref="D39:F39"/>
  </mergeCells>
  <pageMargins left="0.43" right="0.75" top="0.56000000000000005" bottom="1.1499999999999999" header="0" footer="0"/>
  <pageSetup paperSize="9" scale="78" fitToHeight="3" orientation="landscape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198"/>
  <sheetViews>
    <sheetView zoomScaleNormal="100" workbookViewId="0">
      <selection activeCell="G24" sqref="G24"/>
    </sheetView>
  </sheetViews>
  <sheetFormatPr baseColWidth="10" defaultRowHeight="12.75" x14ac:dyDescent="0.2"/>
  <cols>
    <col min="1" max="1" width="43.28515625" style="24" customWidth="1"/>
    <col min="2" max="2" width="17.7109375" style="24" customWidth="1"/>
    <col min="3" max="6" width="17.140625" style="24" customWidth="1"/>
    <col min="7" max="7" width="18.28515625" style="24" customWidth="1"/>
    <col min="8" max="11" width="17.140625" style="24" customWidth="1"/>
    <col min="12" max="12" width="17.42578125" style="24" bestFit="1" customWidth="1"/>
    <col min="13" max="13" width="16.140625" style="24" bestFit="1" customWidth="1"/>
    <col min="14" max="16384" width="11.42578125" style="24"/>
  </cols>
  <sheetData>
    <row r="1" spans="1:12" ht="16.5" thickTop="1" x14ac:dyDescent="0.25">
      <c r="A1" s="437" t="s">
        <v>99</v>
      </c>
      <c r="B1" s="438"/>
      <c r="C1" s="438"/>
      <c r="D1" s="438"/>
      <c r="E1" s="438"/>
      <c r="F1" s="439"/>
      <c r="G1" s="364"/>
      <c r="H1" s="364"/>
      <c r="I1" s="364"/>
      <c r="J1" s="364"/>
      <c r="K1" s="364"/>
    </row>
    <row r="2" spans="1:12" x14ac:dyDescent="0.2">
      <c r="A2" s="61"/>
      <c r="B2" s="434" t="s">
        <v>81</v>
      </c>
      <c r="C2" s="435"/>
      <c r="D2" s="435"/>
      <c r="E2" s="435"/>
      <c r="F2" s="436"/>
      <c r="G2" s="365"/>
      <c r="H2" s="365"/>
      <c r="I2" s="365"/>
      <c r="J2" s="365"/>
      <c r="K2" s="365"/>
    </row>
    <row r="3" spans="1:12" ht="13.5" thickBot="1" x14ac:dyDescent="0.25">
      <c r="A3" s="97" t="s">
        <v>80</v>
      </c>
      <c r="B3" s="135" t="s">
        <v>24</v>
      </c>
      <c r="C3" s="135" t="s">
        <v>25</v>
      </c>
      <c r="D3" s="135" t="s">
        <v>26</v>
      </c>
      <c r="E3" s="135" t="s">
        <v>27</v>
      </c>
      <c r="F3" s="136" t="s">
        <v>28</v>
      </c>
      <c r="G3" s="366"/>
      <c r="H3" s="366"/>
      <c r="I3" s="366"/>
      <c r="J3" s="366"/>
      <c r="K3" s="366"/>
    </row>
    <row r="4" spans="1:12" ht="13.5" thickTop="1" x14ac:dyDescent="0.2">
      <c r="A4" s="68" t="s">
        <v>89</v>
      </c>
      <c r="B4" s="79">
        <f>'Entrada de Datos'!D24+'Entrada de Datos'!F24+'Entrada de Datos'!E24</f>
        <v>1649800.6171908625</v>
      </c>
      <c r="C4" s="79">
        <f>'Entrada de Datos'!$D$14+'Entrada de Datos'!$F$14+'Entrada de Datos'!$E$14</f>
        <v>2220961.7760000005</v>
      </c>
      <c r="D4" s="79">
        <f>'Entrada de Datos'!$D$14+'Entrada de Datos'!$F$14+'Entrada de Datos'!$E$14</f>
        <v>2220961.7760000005</v>
      </c>
      <c r="E4" s="79">
        <f>'Entrada de Datos'!$D$14+'Entrada de Datos'!$F$14+'Entrada de Datos'!$E$14</f>
        <v>2220961.7760000005</v>
      </c>
      <c r="F4" s="145">
        <f>'Entrada de Datos'!$D$14+'Entrada de Datos'!$F$14+'Entrada de Datos'!$E$14</f>
        <v>2220961.7760000005</v>
      </c>
      <c r="G4" s="367"/>
      <c r="H4" s="367"/>
      <c r="I4" s="367"/>
      <c r="J4" s="367"/>
      <c r="K4" s="367"/>
      <c r="L4" s="215"/>
    </row>
    <row r="5" spans="1:12" x14ac:dyDescent="0.2">
      <c r="A5" s="10" t="s">
        <v>90</v>
      </c>
      <c r="B5" s="62">
        <f>'Entrada de Datos'!K26</f>
        <v>899965.98720000009</v>
      </c>
      <c r="C5" s="62">
        <f>'Entrada de Datos'!$K$21</f>
        <v>999962.2080000001</v>
      </c>
      <c r="D5" s="62">
        <f>'Entrada de Datos'!$K$21</f>
        <v>999962.2080000001</v>
      </c>
      <c r="E5" s="62">
        <f>'Entrada de Datos'!$K$21</f>
        <v>999962.2080000001</v>
      </c>
      <c r="F5" s="63">
        <f>'Entrada de Datos'!$K$21</f>
        <v>999962.2080000001</v>
      </c>
      <c r="G5" s="367"/>
      <c r="H5" s="367"/>
      <c r="I5" s="367"/>
      <c r="J5" s="367"/>
      <c r="K5" s="367"/>
    </row>
    <row r="6" spans="1:12" x14ac:dyDescent="0.2">
      <c r="A6" s="10" t="s">
        <v>82</v>
      </c>
      <c r="B6" s="440"/>
      <c r="C6" s="441"/>
      <c r="D6" s="441"/>
      <c r="E6" s="441"/>
      <c r="F6" s="442"/>
      <c r="G6" s="368"/>
      <c r="H6" s="368"/>
      <c r="I6" s="368"/>
      <c r="J6" s="368"/>
      <c r="K6" s="368"/>
    </row>
    <row r="7" spans="1:12" x14ac:dyDescent="0.2">
      <c r="A7" s="10" t="s">
        <v>91</v>
      </c>
      <c r="B7" s="62">
        <f>'Entrada de Datos'!$P$12</f>
        <v>384123.6704989837</v>
      </c>
      <c r="C7" s="62">
        <f>'Entrada de Datos'!$P$12</f>
        <v>384123.6704989837</v>
      </c>
      <c r="D7" s="62">
        <f>'Entrada de Datos'!$P$12</f>
        <v>384123.6704989837</v>
      </c>
      <c r="E7" s="62">
        <f>'Entrada de Datos'!$P$5</f>
        <v>382417.6704989837</v>
      </c>
      <c r="F7" s="63">
        <f>'Entrada de Datos'!$P$5</f>
        <v>382417.6704989837</v>
      </c>
      <c r="G7" s="367"/>
      <c r="H7" s="367"/>
      <c r="I7" s="367"/>
      <c r="J7" s="367"/>
      <c r="K7" s="367"/>
      <c r="L7" s="215"/>
    </row>
    <row r="8" spans="1:12" x14ac:dyDescent="0.2">
      <c r="A8" s="10" t="s">
        <v>92</v>
      </c>
      <c r="B8" s="62">
        <f>'Entrada de Datos'!W27*0.5</f>
        <v>1097820</v>
      </c>
      <c r="C8" s="62">
        <f>'Entrada de Datos'!$W$21*0.5</f>
        <v>1219800</v>
      </c>
      <c r="D8" s="62">
        <f>'Entrada de Datos'!$W$21*0.5</f>
        <v>1219800</v>
      </c>
      <c r="E8" s="62">
        <f>'Entrada de Datos'!$W$21*0.5</f>
        <v>1219800</v>
      </c>
      <c r="F8" s="62">
        <f>'Entrada de Datos'!$W$21*0.5</f>
        <v>1219800</v>
      </c>
      <c r="G8" s="367"/>
      <c r="H8" s="367"/>
      <c r="I8" s="367"/>
      <c r="J8" s="367"/>
      <c r="K8" s="367"/>
      <c r="L8" s="215"/>
    </row>
    <row r="9" spans="1:12" x14ac:dyDescent="0.2">
      <c r="A9" s="10" t="s">
        <v>93</v>
      </c>
      <c r="B9" s="214">
        <f>'Entrada de Datos'!AC31</f>
        <v>166767.32171700001</v>
      </c>
      <c r="C9" s="214">
        <f>'Entrada de Datos'!$AC$25</f>
        <v>185297.02413000001</v>
      </c>
      <c r="D9" s="214">
        <f>'Entrada de Datos'!$AC$25</f>
        <v>185297.02413000001</v>
      </c>
      <c r="E9" s="214">
        <f>'Entrada de Datos'!$AC$19</f>
        <v>211260.22685500002</v>
      </c>
      <c r="F9" s="373">
        <f>'Entrada de Datos'!$AC$19</f>
        <v>211260.22685500002</v>
      </c>
      <c r="G9" s="369"/>
      <c r="H9" s="369"/>
      <c r="I9" s="369"/>
      <c r="J9" s="369"/>
      <c r="K9" s="369"/>
      <c r="L9" s="215"/>
    </row>
    <row r="10" spans="1:12" x14ac:dyDescent="0.2">
      <c r="A10" s="10" t="s">
        <v>94</v>
      </c>
      <c r="B10" s="62">
        <f>+C10*0.95</f>
        <v>91200</v>
      </c>
      <c r="C10" s="62">
        <f>12*8000</f>
        <v>96000</v>
      </c>
      <c r="D10" s="62">
        <f t="shared" ref="D10:F10" si="0">12*8000</f>
        <v>96000</v>
      </c>
      <c r="E10" s="62">
        <f t="shared" si="0"/>
        <v>96000</v>
      </c>
      <c r="F10" s="62">
        <f t="shared" si="0"/>
        <v>96000</v>
      </c>
      <c r="G10" s="367"/>
      <c r="H10" s="367"/>
      <c r="I10" s="367"/>
      <c r="J10" s="367"/>
      <c r="K10" s="367"/>
      <c r="L10" s="215"/>
    </row>
    <row r="11" spans="1:12" x14ac:dyDescent="0.2">
      <c r="A11" s="10" t="s">
        <v>95</v>
      </c>
      <c r="B11" s="62">
        <f>C11*0.95</f>
        <v>16316.25</v>
      </c>
      <c r="C11" s="62">
        <f>1500*11.45</f>
        <v>17175</v>
      </c>
      <c r="D11" s="62">
        <f t="shared" ref="D11:F11" si="1">1500*11.45</f>
        <v>17175</v>
      </c>
      <c r="E11" s="62">
        <f t="shared" si="1"/>
        <v>17175</v>
      </c>
      <c r="F11" s="63">
        <f t="shared" si="1"/>
        <v>17175</v>
      </c>
      <c r="G11" s="367"/>
      <c r="H11" s="367"/>
      <c r="I11" s="367"/>
      <c r="J11" s="367"/>
      <c r="K11" s="367"/>
      <c r="L11" s="215"/>
    </row>
    <row r="12" spans="1:12" x14ac:dyDescent="0.2">
      <c r="A12" s="10" t="s">
        <v>96</v>
      </c>
      <c r="B12" s="62">
        <f>+('E-Inv AF y Am'!$B$43+'E-Inv AF y Am'!$B$44)*0.018+(121200*0.03)</f>
        <v>20736</v>
      </c>
      <c r="C12" s="62">
        <f>+('E-Inv AF y Am'!$B$43+'E-Inv AF y Am'!$B$44)*0.018+(121200*0.03)</f>
        <v>20736</v>
      </c>
      <c r="D12" s="62">
        <f>+('E-Inv AF y Am'!$B$43+'E-Inv AF y Am'!$B$44)*0.018+(121200*0.03)</f>
        <v>20736</v>
      </c>
      <c r="E12" s="62">
        <f>+('E-Inv AF y Am'!$B$43+'E-Inv AF y Am'!$B$44)*0.018+(121200*0.03)</f>
        <v>20736</v>
      </c>
      <c r="F12" s="63">
        <f>+('E-Inv AF y Am'!$B$43+'E-Inv AF y Am'!$B$44)*0.018+(121200*0.03)</f>
        <v>20736</v>
      </c>
      <c r="G12" s="367"/>
      <c r="H12" s="367"/>
      <c r="I12" s="367"/>
      <c r="J12" s="367"/>
      <c r="K12" s="367"/>
      <c r="L12" s="215"/>
    </row>
    <row r="13" spans="1:12" x14ac:dyDescent="0.2">
      <c r="A13" s="10" t="s">
        <v>97</v>
      </c>
      <c r="B13" s="62">
        <f>('E-Inv AF y Am'!$B$51*0.033)+0.75*((C4*0.02)+(C24*0.02)+(C9*0.01)+(C29*0.01))</f>
        <v>247616.09803267405</v>
      </c>
      <c r="C13" s="62">
        <f>('E-Inv AF y Am'!$B$51*0.033)+(C4*0.02)+(C24*0.02)+(C9*0.01)+(C29*0.01)</f>
        <v>259269.15562689878</v>
      </c>
      <c r="D13" s="62">
        <f>('E-Inv AF y Am'!$B$51*0.033)+(D4*0.02)+(D24*0.02)+(D9*0.01)+(D29*0.01)</f>
        <v>259269.15562689878</v>
      </c>
      <c r="E13" s="62">
        <f>('E-Inv AF y Am'!$B$51*0.033)+(E4*0.02)+(E24*0.02)+(E9*0.01)+(E29*0.01)</f>
        <v>259529.88778985743</v>
      </c>
      <c r="F13" s="63">
        <f>('E-Inv AF y Am'!$B$51*0.033)+(F4*0.02)+(F24*0.02)+(F9*0.01)+(F29*0.01)</f>
        <v>259529.88778985743</v>
      </c>
      <c r="G13" s="367"/>
      <c r="H13" s="367"/>
      <c r="I13" s="367"/>
      <c r="J13" s="367"/>
      <c r="K13" s="367"/>
      <c r="L13" s="215"/>
    </row>
    <row r="14" spans="1:12" x14ac:dyDescent="0.2">
      <c r="A14" s="144" t="s">
        <v>245</v>
      </c>
      <c r="B14" s="62">
        <f>+'E-Inv AF y Am'!C25*0.9</f>
        <v>0</v>
      </c>
      <c r="C14" s="62">
        <f>+B14</f>
        <v>0</v>
      </c>
      <c r="D14" s="62">
        <f t="shared" ref="D14:F14" si="2">+C14</f>
        <v>0</v>
      </c>
      <c r="E14" s="62">
        <f t="shared" si="2"/>
        <v>0</v>
      </c>
      <c r="F14" s="63">
        <f t="shared" si="2"/>
        <v>0</v>
      </c>
      <c r="G14" s="367"/>
      <c r="H14" s="367"/>
      <c r="I14" s="367"/>
      <c r="J14" s="367"/>
      <c r="K14" s="367"/>
      <c r="L14" s="215"/>
    </row>
    <row r="15" spans="1:12" x14ac:dyDescent="0.2">
      <c r="A15" s="10" t="s">
        <v>98</v>
      </c>
      <c r="B15" s="62">
        <f>+SUM(B4:B14)*InfoInicial!$B$15</f>
        <v>205845.56750877839</v>
      </c>
      <c r="C15" s="62">
        <f>+SUM(C4:C14)*InfoInicial!$B$15</f>
        <v>243149.61754151472</v>
      </c>
      <c r="D15" s="62">
        <f>+SUM(D4:D14)*InfoInicial!$B$15</f>
        <v>243149.61754151472</v>
      </c>
      <c r="E15" s="62">
        <f>+SUM(E4:E14)*InfoInicial!$B$15</f>
        <v>244252.92461147284</v>
      </c>
      <c r="F15" s="63">
        <f>+SUM(F4:F14)*InfoInicial!$B$15</f>
        <v>244252.92461147284</v>
      </c>
      <c r="G15" s="367"/>
      <c r="H15" s="367"/>
      <c r="I15" s="367"/>
      <c r="J15" s="367"/>
      <c r="K15" s="367"/>
      <c r="L15" s="215"/>
    </row>
    <row r="16" spans="1:12" x14ac:dyDescent="0.2">
      <c r="A16" s="11" t="s">
        <v>83</v>
      </c>
      <c r="B16" s="84">
        <f>SUM(B4:B15)</f>
        <v>4780191.5121482983</v>
      </c>
      <c r="C16" s="84">
        <f t="shared" ref="C16:F16" si="3">SUM(C4:C15)</f>
        <v>5646474.4517973969</v>
      </c>
      <c r="D16" s="84">
        <f t="shared" si="3"/>
        <v>5646474.4517973969</v>
      </c>
      <c r="E16" s="84">
        <f t="shared" si="3"/>
        <v>5672095.6937553138</v>
      </c>
      <c r="F16" s="85">
        <f t="shared" si="3"/>
        <v>5672095.6937553138</v>
      </c>
      <c r="G16" s="370"/>
      <c r="H16" s="370"/>
      <c r="I16" s="370"/>
      <c r="J16" s="370"/>
      <c r="K16" s="370"/>
      <c r="L16" s="215"/>
    </row>
    <row r="17" spans="1:13" x14ac:dyDescent="0.2">
      <c r="A17" s="64"/>
      <c r="B17" s="17"/>
      <c r="C17" s="17"/>
      <c r="D17" s="17"/>
      <c r="E17" s="17"/>
      <c r="F17" s="374"/>
      <c r="G17" s="371"/>
      <c r="H17" s="371"/>
      <c r="I17" s="371"/>
      <c r="J17" s="371"/>
      <c r="K17" s="371"/>
    </row>
    <row r="18" spans="1:13" x14ac:dyDescent="0.2">
      <c r="A18" s="65" t="s">
        <v>117</v>
      </c>
      <c r="B18" s="161">
        <f>+(B4+B5+B9+B10*0.6+B11+B15*0.5)/B16</f>
        <v>0.60468141339450554</v>
      </c>
      <c r="C18" s="161">
        <f t="shared" ref="C18:F18" si="4">+(C4+C5+C9+C10*0.6+C11+C15*0.5)/C16</f>
        <v>0.63802127285885091</v>
      </c>
      <c r="D18" s="161">
        <f t="shared" si="4"/>
        <v>0.63802127285885091</v>
      </c>
      <c r="E18" s="161">
        <f t="shared" si="4"/>
        <v>0.63981390108706626</v>
      </c>
      <c r="F18" s="162">
        <f t="shared" si="4"/>
        <v>0.63981390108706626</v>
      </c>
      <c r="G18" s="372"/>
      <c r="H18" s="372"/>
      <c r="I18" s="372"/>
      <c r="J18" s="372"/>
      <c r="K18" s="372"/>
      <c r="L18" s="215"/>
    </row>
    <row r="19" spans="1:13" ht="13.5" thickBot="1" x14ac:dyDescent="0.25">
      <c r="A19" s="66" t="s">
        <v>118</v>
      </c>
      <c r="B19" s="163">
        <f>+(B7+B8+B10*0.4+B12+B13+B14+B15*0.5)/B16</f>
        <v>0.39531858660549457</v>
      </c>
      <c r="C19" s="163">
        <f t="shared" ref="C19:F19" si="5">+(C7+C8+C10*0.4+C12+C13+C14+C15*0.5)/C16</f>
        <v>0.3619787271411492</v>
      </c>
      <c r="D19" s="163">
        <f t="shared" si="5"/>
        <v>0.3619787271411492</v>
      </c>
      <c r="E19" s="163">
        <f t="shared" si="5"/>
        <v>0.36018609891293385</v>
      </c>
      <c r="F19" s="164">
        <f t="shared" si="5"/>
        <v>0.36018609891293385</v>
      </c>
      <c r="G19" s="372"/>
      <c r="H19" s="372"/>
      <c r="I19" s="372"/>
      <c r="J19" s="372"/>
      <c r="K19" s="372"/>
      <c r="L19" s="215"/>
    </row>
    <row r="20" spans="1:13" ht="14.25" thickTop="1" thickBot="1" x14ac:dyDescent="0.25"/>
    <row r="21" spans="1:13" ht="13.5" thickTop="1" x14ac:dyDescent="0.2">
      <c r="A21" s="68"/>
      <c r="B21" s="443" t="s">
        <v>84</v>
      </c>
      <c r="C21" s="444"/>
      <c r="D21" s="444"/>
      <c r="E21" s="444"/>
      <c r="F21" s="445"/>
      <c r="G21" s="375"/>
      <c r="H21" s="376"/>
      <c r="I21" s="376"/>
      <c r="J21" s="376"/>
      <c r="K21" s="376"/>
      <c r="L21" s="376"/>
    </row>
    <row r="22" spans="1:13" x14ac:dyDescent="0.2">
      <c r="A22" s="61"/>
      <c r="B22" s="446" t="s">
        <v>85</v>
      </c>
      <c r="C22" s="447"/>
      <c r="D22" s="447"/>
      <c r="E22" s="447"/>
      <c r="F22" s="448"/>
      <c r="G22" s="383" t="s">
        <v>100</v>
      </c>
      <c r="H22" s="376"/>
      <c r="I22" s="376"/>
      <c r="J22" s="376"/>
      <c r="K22" s="376"/>
      <c r="L22" s="293"/>
    </row>
    <row r="23" spans="1:13" ht="13.5" thickBot="1" x14ac:dyDescent="0.25">
      <c r="A23" s="97" t="s">
        <v>80</v>
      </c>
      <c r="B23" s="150" t="s">
        <v>24</v>
      </c>
      <c r="C23" s="150" t="s">
        <v>25</v>
      </c>
      <c r="D23" s="150" t="s">
        <v>26</v>
      </c>
      <c r="E23" s="150" t="s">
        <v>27</v>
      </c>
      <c r="F23" s="384" t="s">
        <v>28</v>
      </c>
      <c r="G23" s="379" t="s">
        <v>24</v>
      </c>
      <c r="H23" s="377"/>
      <c r="I23" s="377"/>
      <c r="J23" s="377"/>
      <c r="K23" s="377"/>
      <c r="L23" s="293"/>
    </row>
    <row r="24" spans="1:13" ht="13.5" thickTop="1" x14ac:dyDescent="0.2">
      <c r="A24" s="68" t="s">
        <v>89</v>
      </c>
      <c r="B24" s="79">
        <f>'Entrada de Datos'!$D$25+'Entrada de Datos'!$F$25+'Entrada de Datos'!$E$25</f>
        <v>16608.652338983055</v>
      </c>
      <c r="C24" s="79">
        <f>'Entrada de Datos'!$D$25+'Entrada de Datos'!$F$25+'Entrada de Datos'!$E$25</f>
        <v>16608.652338983055</v>
      </c>
      <c r="D24" s="79">
        <f>'Entrada de Datos'!$D$25+'Entrada de Datos'!$F$25+'Entrada de Datos'!$E$25</f>
        <v>16608.652338983055</v>
      </c>
      <c r="E24" s="79">
        <f>'Entrada de Datos'!$D$25+'Entrada de Datos'!$F$25+'Entrada de Datos'!$E$25</f>
        <v>16608.652338983055</v>
      </c>
      <c r="F24" s="145">
        <f>'Entrada de Datos'!$D$25+'Entrada de Datos'!$F$25+'Entrada de Datos'!$E$25</f>
        <v>16608.652338983055</v>
      </c>
      <c r="G24" s="380">
        <f>'Entrada de Datos'!D26+'Entrada de Datos'!F26</f>
        <v>64022.74852173918</v>
      </c>
      <c r="H24" s="367"/>
      <c r="I24" s="367"/>
      <c r="J24" s="367"/>
      <c r="K24" s="367"/>
      <c r="L24" s="293"/>
      <c r="M24" s="215"/>
    </row>
    <row r="25" spans="1:13" x14ac:dyDescent="0.2">
      <c r="A25" s="10" t="s">
        <v>90</v>
      </c>
      <c r="B25" s="62">
        <f>'Entrada de Datos'!$K$28</f>
        <v>9909.840773189193</v>
      </c>
      <c r="C25" s="62">
        <f>'Entrada de Datos'!$K$28</f>
        <v>9909.840773189193</v>
      </c>
      <c r="D25" s="62">
        <f>'Entrada de Datos'!$K$28</f>
        <v>9909.840773189193</v>
      </c>
      <c r="E25" s="62">
        <f>'Entrada de Datos'!$K$28</f>
        <v>9909.840773189193</v>
      </c>
      <c r="F25" s="63">
        <f>'Entrada de Datos'!$K$28</f>
        <v>9909.840773189193</v>
      </c>
      <c r="G25" s="341">
        <f>'Entrada de Datos'!K29</f>
        <v>83130.121188549907</v>
      </c>
      <c r="H25" s="367"/>
      <c r="I25" s="367"/>
      <c r="J25" s="367"/>
      <c r="K25" s="367"/>
      <c r="L25" s="293"/>
      <c r="M25" s="215"/>
    </row>
    <row r="26" spans="1:13" x14ac:dyDescent="0.2">
      <c r="A26" s="10" t="s">
        <v>82</v>
      </c>
      <c r="B26" s="33"/>
      <c r="C26" s="33"/>
      <c r="D26" s="33"/>
      <c r="E26" s="33"/>
      <c r="F26" s="46"/>
      <c r="G26" s="381"/>
      <c r="H26" s="378"/>
      <c r="I26" s="378"/>
      <c r="J26" s="378"/>
      <c r="K26" s="378"/>
      <c r="L26" s="293"/>
      <c r="M26" s="215"/>
    </row>
    <row r="27" spans="1:13" x14ac:dyDescent="0.2">
      <c r="A27" s="10" t="s">
        <v>91</v>
      </c>
      <c r="B27" s="62">
        <f>'Entrada de Datos'!P19</f>
        <v>58391.454168822711</v>
      </c>
      <c r="C27" s="62">
        <f>'Entrada de Datos'!$P$20</f>
        <v>47366.786171332613</v>
      </c>
      <c r="D27" s="62">
        <f>'Entrada de Datos'!$P$20</f>
        <v>47366.786171332613</v>
      </c>
      <c r="E27" s="62">
        <f>'Entrada de Datos'!$P$21</f>
        <v>47156.417106850531</v>
      </c>
      <c r="F27" s="63">
        <f>'Entrada de Datos'!$P$21</f>
        <v>47156.417106850531</v>
      </c>
      <c r="G27" s="341"/>
      <c r="H27" s="367"/>
      <c r="I27" s="367"/>
      <c r="J27" s="367"/>
      <c r="K27" s="367"/>
      <c r="L27" s="293"/>
      <c r="M27" s="215"/>
    </row>
    <row r="28" spans="1:13" x14ac:dyDescent="0.2">
      <c r="A28" s="10" t="s">
        <v>92</v>
      </c>
      <c r="B28" s="62">
        <f>'Entrada de Datos'!W29</f>
        <v>11529.195280537699</v>
      </c>
      <c r="C28" s="62">
        <f>'Entrada de Datos'!$W$23</f>
        <v>10337.28813559322</v>
      </c>
      <c r="D28" s="62">
        <f>'Entrada de Datos'!$W$23</f>
        <v>10337.28813559322</v>
      </c>
      <c r="E28" s="62">
        <f>'Entrada de Datos'!$W$23</f>
        <v>10337.28813559322</v>
      </c>
      <c r="F28" s="63">
        <f>'Entrada de Datos'!$W$23</f>
        <v>10337.28813559322</v>
      </c>
      <c r="G28" s="341"/>
      <c r="H28" s="367"/>
      <c r="I28" s="367"/>
      <c r="J28" s="367"/>
      <c r="K28" s="367"/>
      <c r="L28" s="293"/>
      <c r="M28" s="215"/>
    </row>
    <row r="29" spans="1:13" x14ac:dyDescent="0.2">
      <c r="A29" s="10" t="s">
        <v>93</v>
      </c>
      <c r="B29" s="62">
        <f>'Entrada de Datos'!AC33</f>
        <v>785.15688190677974</v>
      </c>
      <c r="C29" s="62">
        <f>'Entrada de Datos'!$AC$27</f>
        <v>785.15688190677974</v>
      </c>
      <c r="D29" s="62">
        <f>'Entrada de Datos'!$AC$27</f>
        <v>785.15688190677974</v>
      </c>
      <c r="E29" s="62">
        <f>'Entrada de Datos'!$AC$21</f>
        <v>895.17045277542377</v>
      </c>
      <c r="F29" s="63">
        <f>'Entrada de Datos'!$AC$21</f>
        <v>895.17045277542377</v>
      </c>
      <c r="G29" s="341">
        <f>'Entrada de Datos'!AC34</f>
        <v>16455.522754536691</v>
      </c>
      <c r="H29" s="367"/>
      <c r="I29" s="367"/>
      <c r="J29" s="367"/>
      <c r="K29" s="367"/>
      <c r="L29" s="293"/>
      <c r="M29" s="215"/>
    </row>
    <row r="30" spans="1:13" x14ac:dyDescent="0.2">
      <c r="A30" s="10" t="s">
        <v>94</v>
      </c>
      <c r="B30" s="62">
        <f>+($B$24/($B$24+$B$4))*B10</f>
        <v>908.96583511120821</v>
      </c>
      <c r="C30" s="62">
        <f t="shared" ref="C30:F30" si="6">+(C24/(C24+C4))*C10</f>
        <v>712.57226335707674</v>
      </c>
      <c r="D30" s="62">
        <f t="shared" si="6"/>
        <v>712.57226335707674</v>
      </c>
      <c r="E30" s="62">
        <f t="shared" si="6"/>
        <v>712.57226335707674</v>
      </c>
      <c r="F30" s="63">
        <f t="shared" si="6"/>
        <v>712.57226335707674</v>
      </c>
      <c r="G30" s="341"/>
      <c r="H30" s="367"/>
      <c r="I30" s="367"/>
      <c r="J30" s="367"/>
      <c r="K30" s="367"/>
      <c r="L30" s="293"/>
      <c r="M30" s="215"/>
    </row>
    <row r="31" spans="1:13" x14ac:dyDescent="0.2">
      <c r="A31" s="10" t="s">
        <v>95</v>
      </c>
      <c r="B31" s="62">
        <f>+($B$24/($B$24+$B$4))*B11</f>
        <v>162.61966893786459</v>
      </c>
      <c r="C31" s="62">
        <f t="shared" ref="C31:F31" si="7">+($B$24/($B$24+$B$4))*C11</f>
        <v>171.17859888196273</v>
      </c>
      <c r="D31" s="62">
        <f t="shared" si="7"/>
        <v>171.17859888196273</v>
      </c>
      <c r="E31" s="62">
        <f t="shared" si="7"/>
        <v>171.17859888196273</v>
      </c>
      <c r="F31" s="63">
        <f t="shared" si="7"/>
        <v>171.17859888196273</v>
      </c>
      <c r="G31" s="341">
        <v>0</v>
      </c>
      <c r="H31" s="367"/>
      <c r="I31" s="367"/>
      <c r="J31" s="367"/>
      <c r="K31" s="367"/>
      <c r="L31" s="293"/>
      <c r="M31" s="215"/>
    </row>
    <row r="32" spans="1:13" x14ac:dyDescent="0.2">
      <c r="A32" s="10" t="s">
        <v>96</v>
      </c>
      <c r="B32" s="62">
        <f t="shared" ref="B32:F34" si="8">+($B$24/($B$24+$B$4))*B12</f>
        <v>206.6701267200221</v>
      </c>
      <c r="C32" s="62">
        <f t="shared" si="8"/>
        <v>206.6701267200221</v>
      </c>
      <c r="D32" s="62">
        <f t="shared" si="8"/>
        <v>206.6701267200221</v>
      </c>
      <c r="E32" s="62">
        <f t="shared" si="8"/>
        <v>206.6701267200221</v>
      </c>
      <c r="F32" s="63">
        <f t="shared" si="8"/>
        <v>206.6701267200221</v>
      </c>
      <c r="G32" s="341"/>
      <c r="H32" s="367"/>
      <c r="I32" s="367"/>
      <c r="J32" s="367"/>
      <c r="K32" s="367"/>
      <c r="L32" s="293"/>
      <c r="M32" s="215"/>
    </row>
    <row r="33" spans="1:13" x14ac:dyDescent="0.2">
      <c r="A33" s="10" t="s">
        <v>97</v>
      </c>
      <c r="B33" s="62">
        <f t="shared" si="8"/>
        <v>2467.9229532373724</v>
      </c>
      <c r="C33" s="62">
        <f t="shared" si="8"/>
        <v>2584.0658395063801</v>
      </c>
      <c r="D33" s="62">
        <f t="shared" si="8"/>
        <v>2584.0658395063801</v>
      </c>
      <c r="E33" s="62">
        <f t="shared" si="8"/>
        <v>2586.6644867458981</v>
      </c>
      <c r="F33" s="63">
        <f t="shared" si="8"/>
        <v>2586.6644867458981</v>
      </c>
      <c r="G33" s="341"/>
      <c r="H33" s="367"/>
      <c r="I33" s="367"/>
      <c r="J33" s="367"/>
      <c r="K33" s="367"/>
      <c r="L33" s="293"/>
      <c r="M33" s="215"/>
    </row>
    <row r="34" spans="1:13" x14ac:dyDescent="0.2">
      <c r="A34" s="144" t="s">
        <v>245</v>
      </c>
      <c r="B34" s="62">
        <f t="shared" si="8"/>
        <v>0</v>
      </c>
      <c r="C34" s="62">
        <f t="shared" si="8"/>
        <v>0</v>
      </c>
      <c r="D34" s="62">
        <f t="shared" si="8"/>
        <v>0</v>
      </c>
      <c r="E34" s="62">
        <f t="shared" si="8"/>
        <v>0</v>
      </c>
      <c r="F34" s="63">
        <f t="shared" si="8"/>
        <v>0</v>
      </c>
      <c r="G34" s="341"/>
      <c r="H34" s="367"/>
      <c r="I34" s="367"/>
      <c r="J34" s="367"/>
      <c r="K34" s="367"/>
      <c r="L34" s="293"/>
      <c r="M34" s="215"/>
    </row>
    <row r="35" spans="1:13" x14ac:dyDescent="0.2">
      <c r="A35" s="10" t="s">
        <v>98</v>
      </c>
      <c r="B35" s="62">
        <v>0</v>
      </c>
      <c r="C35" s="62">
        <v>0</v>
      </c>
      <c r="D35" s="62">
        <v>0</v>
      </c>
      <c r="E35" s="62">
        <v>0</v>
      </c>
      <c r="F35" s="46">
        <v>0</v>
      </c>
      <c r="G35" s="341"/>
      <c r="H35" s="378"/>
      <c r="I35" s="378"/>
      <c r="J35" s="378"/>
      <c r="K35" s="378"/>
      <c r="L35" s="293"/>
      <c r="M35" s="215"/>
    </row>
    <row r="36" spans="1:13" ht="13.5" thickBot="1" x14ac:dyDescent="0.25">
      <c r="A36" s="66" t="s">
        <v>86</v>
      </c>
      <c r="B36" s="67">
        <f>SUM(B24:B35)</f>
        <v>100970.4780274459</v>
      </c>
      <c r="C36" s="67">
        <f t="shared" ref="C36:F36" si="9">SUM(C24:C35)</f>
        <v>88682.211129470292</v>
      </c>
      <c r="D36" s="67">
        <f t="shared" si="9"/>
        <v>88682.211129470292</v>
      </c>
      <c r="E36" s="67">
        <f t="shared" si="9"/>
        <v>88584.454283096376</v>
      </c>
      <c r="F36" s="385">
        <f t="shared" si="9"/>
        <v>88584.454283096376</v>
      </c>
      <c r="G36" s="382">
        <f>SUM(G24:G35)</f>
        <v>163608.39246482577</v>
      </c>
      <c r="H36" s="367"/>
      <c r="I36" s="367"/>
      <c r="J36" s="367"/>
      <c r="K36" s="367"/>
      <c r="L36" s="293"/>
    </row>
    <row r="37" spans="1:13" ht="14.25" thickTop="1" thickBot="1" x14ac:dyDescent="0.25">
      <c r="A37" s="71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</row>
    <row r="38" spans="1:13" ht="13.5" thickTop="1" x14ac:dyDescent="0.2">
      <c r="A38" s="73"/>
      <c r="B38" s="449" t="s">
        <v>87</v>
      </c>
      <c r="C38" s="450"/>
      <c r="D38" s="450"/>
      <c r="E38" s="450"/>
      <c r="F38" s="451"/>
      <c r="G38" s="386"/>
      <c r="H38" s="386"/>
      <c r="I38" s="386"/>
      <c r="J38" s="386"/>
      <c r="K38" s="386"/>
    </row>
    <row r="39" spans="1:13" ht="13.5" thickBot="1" x14ac:dyDescent="0.25">
      <c r="A39" s="66"/>
      <c r="B39" s="70" t="s">
        <v>24</v>
      </c>
      <c r="C39" s="70" t="s">
        <v>25</v>
      </c>
      <c r="D39" s="70" t="s">
        <v>26</v>
      </c>
      <c r="E39" s="70" t="s">
        <v>27</v>
      </c>
      <c r="F39" s="74" t="s">
        <v>28</v>
      </c>
      <c r="G39" s="377"/>
      <c r="H39" s="377"/>
      <c r="I39" s="377"/>
      <c r="J39" s="377"/>
      <c r="K39" s="377"/>
      <c r="L39" s="72"/>
    </row>
    <row r="40" spans="1:13" ht="13.5" thickTop="1" x14ac:dyDescent="0.2">
      <c r="A40" s="73" t="s">
        <v>83</v>
      </c>
      <c r="B40" s="151">
        <f>+B16</f>
        <v>4780191.5121482983</v>
      </c>
      <c r="C40" s="151">
        <f t="shared" ref="C40:F40" si="10">+C16</f>
        <v>5646474.4517973969</v>
      </c>
      <c r="D40" s="151">
        <f t="shared" si="10"/>
        <v>5646474.4517973969</v>
      </c>
      <c r="E40" s="151">
        <f t="shared" si="10"/>
        <v>5672095.6937553138</v>
      </c>
      <c r="F40" s="152">
        <f t="shared" si="10"/>
        <v>5672095.6937553138</v>
      </c>
      <c r="G40" s="370"/>
      <c r="H40" s="370"/>
      <c r="I40" s="370"/>
      <c r="J40" s="370"/>
      <c r="K40" s="370"/>
      <c r="L40" s="72"/>
    </row>
    <row r="41" spans="1:13" x14ac:dyDescent="0.2">
      <c r="A41" s="144" t="s">
        <v>247</v>
      </c>
      <c r="B41" s="62">
        <f>+G36</f>
        <v>163608.39246482577</v>
      </c>
      <c r="C41" s="62"/>
      <c r="D41" s="62"/>
      <c r="E41" s="62"/>
      <c r="F41" s="63"/>
      <c r="G41" s="378"/>
      <c r="H41" s="378"/>
      <c r="I41" s="378"/>
      <c r="J41" s="378"/>
      <c r="K41" s="378"/>
      <c r="L41" s="72"/>
    </row>
    <row r="42" spans="1:13" x14ac:dyDescent="0.2">
      <c r="A42" s="144" t="s">
        <v>248</v>
      </c>
      <c r="B42" s="62">
        <f>+$B$36</f>
        <v>100970.4780274459</v>
      </c>
      <c r="C42" s="62">
        <f>+$C$36</f>
        <v>88682.211129470292</v>
      </c>
      <c r="D42" s="62">
        <f>+$D$36</f>
        <v>88682.211129470292</v>
      </c>
      <c r="E42" s="62">
        <f>+$E$36</f>
        <v>88584.454283096376</v>
      </c>
      <c r="F42" s="63">
        <f>+$F$36</f>
        <v>88584.454283096376</v>
      </c>
      <c r="G42" s="367"/>
      <c r="H42" s="367"/>
      <c r="I42" s="367"/>
      <c r="J42" s="367"/>
      <c r="K42" s="367"/>
      <c r="L42" s="72"/>
    </row>
    <row r="43" spans="1:13" x14ac:dyDescent="0.2">
      <c r="A43" s="144" t="s">
        <v>249</v>
      </c>
      <c r="B43" s="62">
        <v>0</v>
      </c>
      <c r="C43" s="62">
        <f>+$B$42</f>
        <v>100970.4780274459</v>
      </c>
      <c r="D43" s="62">
        <f>+$C$42</f>
        <v>88682.211129470292</v>
      </c>
      <c r="E43" s="62">
        <f>+$D$42</f>
        <v>88682.211129470292</v>
      </c>
      <c r="F43" s="63">
        <f>+$E$42</f>
        <v>88584.454283096376</v>
      </c>
      <c r="G43" s="367"/>
      <c r="H43" s="367"/>
      <c r="I43" s="367"/>
      <c r="J43" s="367"/>
      <c r="K43" s="367"/>
      <c r="L43" s="72"/>
    </row>
    <row r="44" spans="1:13" x14ac:dyDescent="0.2">
      <c r="A44" s="10" t="s">
        <v>132</v>
      </c>
      <c r="B44" s="62">
        <f>+B42-B43</f>
        <v>100970.4780274459</v>
      </c>
      <c r="C44" s="62">
        <f t="shared" ref="C44:F44" si="11">+C42-C43</f>
        <v>-12288.266897975613</v>
      </c>
      <c r="D44" s="62">
        <f t="shared" si="11"/>
        <v>0</v>
      </c>
      <c r="E44" s="62">
        <f t="shared" si="11"/>
        <v>-97.756846373915323</v>
      </c>
      <c r="F44" s="63">
        <f t="shared" si="11"/>
        <v>0</v>
      </c>
      <c r="G44" s="367"/>
      <c r="H44" s="367"/>
      <c r="I44" s="367"/>
      <c r="J44" s="367"/>
      <c r="K44" s="367"/>
      <c r="L44" s="72"/>
    </row>
    <row r="45" spans="1:13" x14ac:dyDescent="0.2">
      <c r="A45" s="75" t="s">
        <v>88</v>
      </c>
      <c r="B45" s="62">
        <f t="shared" ref="B45:F45" si="12">+B40-B41-B42+B43</f>
        <v>4515612.6416560262</v>
      </c>
      <c r="C45" s="62">
        <f t="shared" si="12"/>
        <v>5658762.7186953723</v>
      </c>
      <c r="D45" s="62">
        <f t="shared" si="12"/>
        <v>5646474.4517973969</v>
      </c>
      <c r="E45" s="62">
        <f t="shared" si="12"/>
        <v>5672193.4506016877</v>
      </c>
      <c r="F45" s="63">
        <f t="shared" si="12"/>
        <v>5672095.6937553138</v>
      </c>
      <c r="G45" s="367"/>
      <c r="H45" s="367"/>
      <c r="I45" s="367"/>
      <c r="J45" s="367"/>
      <c r="K45" s="367"/>
      <c r="L45" s="72"/>
    </row>
    <row r="46" spans="1:13" x14ac:dyDescent="0.2">
      <c r="A46" s="76" t="s">
        <v>140</v>
      </c>
      <c r="B46" s="146">
        <f>+B45/B94</f>
        <v>56.445158020700326</v>
      </c>
      <c r="C46" s="146">
        <f t="shared" ref="C46:F46" si="13">+C45/C94</f>
        <v>47.156355989128102</v>
      </c>
      <c r="D46" s="146">
        <f t="shared" si="13"/>
        <v>47.05395376497831</v>
      </c>
      <c r="E46" s="146">
        <f t="shared" si="13"/>
        <v>47.268278755014066</v>
      </c>
      <c r="F46" s="153">
        <f t="shared" si="13"/>
        <v>47.267464114627614</v>
      </c>
      <c r="G46" s="370"/>
      <c r="H46" s="370"/>
      <c r="I46" s="370"/>
      <c r="J46" s="370"/>
      <c r="K46" s="370"/>
      <c r="L46" s="215"/>
    </row>
    <row r="47" spans="1:13" x14ac:dyDescent="0.2">
      <c r="A47" s="76"/>
      <c r="B47" s="19"/>
      <c r="C47" s="19"/>
      <c r="D47" s="19"/>
      <c r="E47" s="19"/>
      <c r="F47" s="20"/>
      <c r="G47" s="367"/>
      <c r="H47" s="367"/>
      <c r="I47" s="367"/>
      <c r="J47" s="367"/>
      <c r="K47" s="367"/>
      <c r="L47" s="72"/>
    </row>
    <row r="48" spans="1:13" x14ac:dyDescent="0.2">
      <c r="A48" s="76" t="s">
        <v>115</v>
      </c>
      <c r="B48" s="165">
        <f>+(B42+B43)/(B41+B42+B43)</f>
        <v>0.38162714142509441</v>
      </c>
      <c r="C48" s="165">
        <f t="shared" ref="C48:F48" si="14">+(C42+C43)/(C41+C42+C43)</f>
        <v>1</v>
      </c>
      <c r="D48" s="165">
        <f t="shared" si="14"/>
        <v>1</v>
      </c>
      <c r="E48" s="165">
        <f t="shared" si="14"/>
        <v>1</v>
      </c>
      <c r="F48" s="166">
        <f t="shared" si="14"/>
        <v>1</v>
      </c>
      <c r="G48" s="387"/>
      <c r="H48" s="387"/>
      <c r="I48" s="387"/>
      <c r="J48" s="387"/>
      <c r="K48" s="387"/>
      <c r="L48" s="72"/>
    </row>
    <row r="49" spans="1:12" ht="13.5" thickBot="1" x14ac:dyDescent="0.25">
      <c r="A49" s="66" t="s">
        <v>116</v>
      </c>
      <c r="B49" s="167">
        <f>+B41/(SUM(B41:B43))</f>
        <v>0.61837285857490554</v>
      </c>
      <c r="C49" s="167">
        <f t="shared" ref="C49:F49" si="15">+C41/(SUM(C41:C43))</f>
        <v>0</v>
      </c>
      <c r="D49" s="167">
        <f t="shared" si="15"/>
        <v>0</v>
      </c>
      <c r="E49" s="167">
        <f t="shared" si="15"/>
        <v>0</v>
      </c>
      <c r="F49" s="168">
        <f t="shared" si="15"/>
        <v>0</v>
      </c>
      <c r="G49" s="387"/>
      <c r="H49" s="387"/>
      <c r="I49" s="387"/>
      <c r="J49" s="387"/>
      <c r="K49" s="387"/>
      <c r="L49" s="72"/>
    </row>
    <row r="50" spans="1:12" ht="13.5" thickTop="1" x14ac:dyDescent="0.2"/>
    <row r="51" spans="1:12" ht="13.5" thickBot="1" x14ac:dyDescent="0.25"/>
    <row r="52" spans="1:12" ht="13.5" thickTop="1" x14ac:dyDescent="0.2">
      <c r="A52" s="77"/>
      <c r="B52" s="388" t="s">
        <v>111</v>
      </c>
      <c r="C52" s="389"/>
      <c r="D52" s="389"/>
      <c r="E52" s="389"/>
      <c r="F52" s="390"/>
      <c r="G52" s="365"/>
      <c r="H52" s="365"/>
      <c r="I52" s="365"/>
      <c r="J52" s="365"/>
      <c r="K52" s="365"/>
    </row>
    <row r="53" spans="1:12" ht="13.5" thickBot="1" x14ac:dyDescent="0.25">
      <c r="A53" s="78" t="s">
        <v>80</v>
      </c>
      <c r="B53" s="28" t="s">
        <v>24</v>
      </c>
      <c r="C53" s="28" t="s">
        <v>25</v>
      </c>
      <c r="D53" s="28" t="s">
        <v>26</v>
      </c>
      <c r="E53" s="28" t="s">
        <v>27</v>
      </c>
      <c r="F53" s="29" t="s">
        <v>28</v>
      </c>
      <c r="G53" s="366"/>
      <c r="H53" s="366"/>
      <c r="I53" s="366"/>
      <c r="J53" s="366"/>
      <c r="K53" s="366"/>
    </row>
    <row r="54" spans="1:12" ht="13.5" thickTop="1" x14ac:dyDescent="0.2">
      <c r="A54" s="68" t="s">
        <v>102</v>
      </c>
      <c r="B54" s="79">
        <f>C54*0.9</f>
        <v>548910</v>
      </c>
      <c r="C54" s="79">
        <f>+C8*0.5</f>
        <v>609900</v>
      </c>
      <c r="D54" s="79">
        <f t="shared" ref="D54:F54" si="16">+D8*0.5</f>
        <v>609900</v>
      </c>
      <c r="E54" s="79">
        <f t="shared" si="16"/>
        <v>609900</v>
      </c>
      <c r="F54" s="79">
        <f t="shared" si="16"/>
        <v>609900</v>
      </c>
      <c r="G54" s="367"/>
      <c r="H54" s="367"/>
      <c r="I54" s="367"/>
      <c r="J54" s="367"/>
      <c r="K54" s="367"/>
    </row>
    <row r="55" spans="1:12" x14ac:dyDescent="0.2">
      <c r="A55" s="10" t="s">
        <v>103</v>
      </c>
      <c r="B55" s="62">
        <f>'E-Inv AF y Am'!$D$55*0.05</f>
        <v>21245.42613883243</v>
      </c>
      <c r="C55" s="62">
        <f>'E-Inv AF y Am'!$D$55*0.05</f>
        <v>21245.42613883243</v>
      </c>
      <c r="D55" s="62">
        <f>'E-Inv AF y Am'!$D$55*0.05</f>
        <v>21245.42613883243</v>
      </c>
      <c r="E55" s="62">
        <f>'E-Inv AF y Am'!$E$55*0.05</f>
        <v>21245.42613883243</v>
      </c>
      <c r="F55" s="63">
        <f>'E-Inv AF y Am'!$E$55*0.05</f>
        <v>21245.42613883243</v>
      </c>
      <c r="G55" s="367"/>
      <c r="H55" s="367"/>
      <c r="I55" s="367"/>
      <c r="J55" s="367"/>
      <c r="K55" s="367"/>
    </row>
    <row r="56" spans="1:12" x14ac:dyDescent="0.2">
      <c r="A56" s="10" t="s">
        <v>104</v>
      </c>
      <c r="B56" s="62">
        <f>C56*0.9</f>
        <v>14098.5</v>
      </c>
      <c r="C56" s="62">
        <f>'E-Inv AF y Am'!$B$16*0.065</f>
        <v>15665</v>
      </c>
      <c r="D56" s="62">
        <f>'E-Inv AF y Am'!$B$16*0.065</f>
        <v>15665</v>
      </c>
      <c r="E56" s="62">
        <f>'E-Inv AF y Am'!$B$16*0.065</f>
        <v>15665</v>
      </c>
      <c r="F56" s="63">
        <f>'E-Inv AF y Am'!$B$16*0.065</f>
        <v>15665</v>
      </c>
      <c r="G56" s="367"/>
      <c r="H56" s="367"/>
      <c r="I56" s="367"/>
      <c r="J56" s="367"/>
      <c r="K56" s="367"/>
    </row>
    <row r="57" spans="1:12" x14ac:dyDescent="0.2">
      <c r="A57" s="10" t="s">
        <v>105</v>
      </c>
      <c r="B57" s="62">
        <f>C57*0.95</f>
        <v>9120</v>
      </c>
      <c r="C57" s="62">
        <f>+C10*0.1</f>
        <v>9600</v>
      </c>
      <c r="D57" s="62">
        <f t="shared" ref="D57:F57" si="17">+D10*0.1</f>
        <v>9600</v>
      </c>
      <c r="E57" s="62">
        <f t="shared" si="17"/>
        <v>9600</v>
      </c>
      <c r="F57" s="62">
        <f t="shared" si="17"/>
        <v>9600</v>
      </c>
      <c r="G57" s="367"/>
      <c r="H57" s="367"/>
      <c r="I57" s="367"/>
      <c r="J57" s="367"/>
      <c r="K57" s="367"/>
    </row>
    <row r="58" spans="1:12" x14ac:dyDescent="0.2">
      <c r="A58" s="10" t="s">
        <v>106</v>
      </c>
      <c r="B58" s="62">
        <f>C58*0.95</f>
        <v>16316.25</v>
      </c>
      <c r="C58" s="62">
        <f>1500*11.45</f>
        <v>17175</v>
      </c>
      <c r="D58" s="62">
        <f t="shared" ref="D58:F58" si="18">1500*11.45</f>
        <v>17175</v>
      </c>
      <c r="E58" s="62">
        <f t="shared" si="18"/>
        <v>17175</v>
      </c>
      <c r="F58" s="63">
        <f t="shared" si="18"/>
        <v>17175</v>
      </c>
      <c r="G58" s="367"/>
      <c r="H58" s="367"/>
      <c r="I58" s="367"/>
      <c r="J58" s="367"/>
      <c r="K58" s="367"/>
    </row>
    <row r="59" spans="1:12" x14ac:dyDescent="0.2">
      <c r="A59" s="144" t="s">
        <v>246</v>
      </c>
      <c r="B59" s="62">
        <f>+'E-Inv AF y Am'!C25*0.05</f>
        <v>0</v>
      </c>
      <c r="C59" s="62">
        <f>+B59</f>
        <v>0</v>
      </c>
      <c r="D59" s="62">
        <f t="shared" ref="D59:F59" si="19">+C59</f>
        <v>0</v>
      </c>
      <c r="E59" s="62">
        <f t="shared" si="19"/>
        <v>0</v>
      </c>
      <c r="F59" s="62">
        <f t="shared" si="19"/>
        <v>0</v>
      </c>
      <c r="G59" s="367"/>
      <c r="H59" s="367"/>
      <c r="I59" s="367"/>
      <c r="J59" s="367"/>
      <c r="K59" s="367"/>
    </row>
    <row r="60" spans="1:12" x14ac:dyDescent="0.2">
      <c r="A60" s="10" t="s">
        <v>107</v>
      </c>
      <c r="B60" s="62">
        <f>C60*0.95</f>
        <v>144851.25</v>
      </c>
      <c r="C60" s="62">
        <f t="shared" ref="C60:F60" si="20">C54*0.25</f>
        <v>152475</v>
      </c>
      <c r="D60" s="62">
        <f t="shared" si="20"/>
        <v>152475</v>
      </c>
      <c r="E60" s="62">
        <f t="shared" si="20"/>
        <v>152475</v>
      </c>
      <c r="F60" s="63">
        <f t="shared" si="20"/>
        <v>152475</v>
      </c>
      <c r="G60" s="367"/>
      <c r="H60" s="367"/>
      <c r="I60" s="367"/>
      <c r="J60" s="367"/>
      <c r="K60" s="367"/>
    </row>
    <row r="61" spans="1:12" x14ac:dyDescent="0.2">
      <c r="A61" s="10" t="s">
        <v>108</v>
      </c>
      <c r="B61" s="62">
        <f>(0.038*('E-Inv AF y Am'!$B$8+'E-Inv AF y Am'!$B$9)+'E-Inv AF y Am'!$B$19*0.0124)</f>
        <v>116007.4507</v>
      </c>
      <c r="C61" s="62">
        <f>(0.038*('E-Inv AF y Am'!$B$8+'E-Inv AF y Am'!$B$9)+'E-Inv AF y Am'!$B$19*0.0124)</f>
        <v>116007.4507</v>
      </c>
      <c r="D61" s="62">
        <f>(0.038*('E-Inv AF y Am'!$B$8+'E-Inv AF y Am'!$B$9)+'E-Inv AF y Am'!$B$19*0.0124)</f>
        <v>116007.4507</v>
      </c>
      <c r="E61" s="62">
        <f>(0.038*('E-Inv AF y Am'!$B$8+'E-Inv AF y Am'!$B$9)+'E-Inv AF y Am'!$B$19*0.0124)</f>
        <v>116007.4507</v>
      </c>
      <c r="F61" s="62">
        <f>(0.038*('E-Inv AF y Am'!$B$8+'E-Inv AF y Am'!$B$9)+'E-Inv AF y Am'!$B$19*0.0124)</f>
        <v>116007.4507</v>
      </c>
      <c r="G61" s="367"/>
      <c r="H61" s="367"/>
      <c r="I61" s="367"/>
      <c r="J61" s="367"/>
      <c r="K61" s="367"/>
    </row>
    <row r="62" spans="1:12" x14ac:dyDescent="0.2">
      <c r="A62" s="10" t="s">
        <v>109</v>
      </c>
      <c r="B62" s="62">
        <f>+B13*0.05</f>
        <v>12380.804901633703</v>
      </c>
      <c r="C62" s="62">
        <f t="shared" ref="C62:F62" si="21">+C13*0.05</f>
        <v>12963.45778134494</v>
      </c>
      <c r="D62" s="62">
        <f t="shared" si="21"/>
        <v>12963.45778134494</v>
      </c>
      <c r="E62" s="62">
        <f t="shared" si="21"/>
        <v>12976.494389492873</v>
      </c>
      <c r="F62" s="63">
        <f t="shared" si="21"/>
        <v>12976.494389492873</v>
      </c>
      <c r="G62" s="367"/>
      <c r="H62" s="367"/>
      <c r="I62" s="367"/>
      <c r="J62" s="367"/>
      <c r="K62" s="367"/>
    </row>
    <row r="63" spans="1:12" x14ac:dyDescent="0.2">
      <c r="A63" s="10" t="s">
        <v>101</v>
      </c>
      <c r="B63" s="84">
        <f>SUM(B54:B62)</f>
        <v>882929.68174046627</v>
      </c>
      <c r="C63" s="84">
        <f t="shared" ref="C63:F63" si="22">SUM(C54:C62)</f>
        <v>955031.3346201774</v>
      </c>
      <c r="D63" s="84">
        <f t="shared" si="22"/>
        <v>955031.3346201774</v>
      </c>
      <c r="E63" s="84">
        <f t="shared" si="22"/>
        <v>955044.37122832541</v>
      </c>
      <c r="F63" s="85">
        <f t="shared" si="22"/>
        <v>955044.37122832541</v>
      </c>
      <c r="G63" s="370"/>
      <c r="H63" s="370"/>
      <c r="I63" s="370"/>
      <c r="J63" s="370"/>
      <c r="K63" s="370"/>
    </row>
    <row r="64" spans="1:12" x14ac:dyDescent="0.2">
      <c r="A64" s="10" t="s">
        <v>448</v>
      </c>
      <c r="B64" s="62">
        <f>+B63*0.045</f>
        <v>39731.835678320982</v>
      </c>
      <c r="C64" s="62">
        <f t="shared" ref="C64:F64" si="23">+C63*0.045</f>
        <v>42976.410057907982</v>
      </c>
      <c r="D64" s="62">
        <f t="shared" si="23"/>
        <v>42976.410057907982</v>
      </c>
      <c r="E64" s="62">
        <f t="shared" si="23"/>
        <v>42976.996705274643</v>
      </c>
      <c r="F64" s="62">
        <f t="shared" si="23"/>
        <v>42976.996705274643</v>
      </c>
      <c r="G64" s="367"/>
      <c r="H64" s="367"/>
      <c r="I64" s="367"/>
      <c r="J64" s="367"/>
      <c r="K64" s="367"/>
    </row>
    <row r="65" spans="1:12" x14ac:dyDescent="0.2">
      <c r="A65" s="10"/>
      <c r="B65" s="48"/>
      <c r="C65" s="48"/>
      <c r="D65" s="48"/>
      <c r="E65" s="48"/>
      <c r="F65" s="392"/>
      <c r="G65" s="371"/>
      <c r="H65" s="371"/>
      <c r="I65" s="371"/>
      <c r="J65" s="371"/>
      <c r="K65" s="371"/>
    </row>
    <row r="66" spans="1:12" x14ac:dyDescent="0.2">
      <c r="A66" s="75" t="s">
        <v>110</v>
      </c>
      <c r="B66" s="84">
        <f>+B64+B63</f>
        <v>922661.51741878723</v>
      </c>
      <c r="C66" s="84">
        <f t="shared" ref="C66:F66" si="24">+C64+C63</f>
        <v>998007.74467808544</v>
      </c>
      <c r="D66" s="84">
        <f t="shared" si="24"/>
        <v>998007.74467808544</v>
      </c>
      <c r="E66" s="84">
        <f t="shared" si="24"/>
        <v>998021.36793360009</v>
      </c>
      <c r="F66" s="85">
        <f t="shared" si="24"/>
        <v>998021.36793360009</v>
      </c>
      <c r="G66" s="370"/>
      <c r="H66" s="370"/>
      <c r="I66" s="370"/>
      <c r="J66" s="370"/>
      <c r="K66" s="370"/>
    </row>
    <row r="67" spans="1:12" x14ac:dyDescent="0.2">
      <c r="A67" s="75"/>
      <c r="B67" s="8"/>
      <c r="C67" s="8"/>
      <c r="D67" s="8"/>
      <c r="E67" s="8"/>
      <c r="F67" s="9"/>
      <c r="G67" s="391"/>
      <c r="H67" s="391"/>
      <c r="I67" s="391"/>
      <c r="J67" s="391"/>
      <c r="K67" s="391"/>
      <c r="L67" s="72"/>
    </row>
    <row r="68" spans="1:12" x14ac:dyDescent="0.2">
      <c r="A68" s="75" t="s">
        <v>115</v>
      </c>
      <c r="B68" s="169">
        <v>0</v>
      </c>
      <c r="C68" s="169">
        <v>0</v>
      </c>
      <c r="D68" s="169">
        <v>0</v>
      </c>
      <c r="E68" s="169">
        <v>0</v>
      </c>
      <c r="F68" s="170">
        <v>0</v>
      </c>
      <c r="G68" s="387"/>
      <c r="H68" s="387"/>
      <c r="I68" s="387"/>
      <c r="J68" s="387"/>
      <c r="K68" s="387"/>
      <c r="L68" s="72"/>
    </row>
    <row r="69" spans="1:12" ht="13.5" thickBot="1" x14ac:dyDescent="0.25">
      <c r="A69" s="66" t="s">
        <v>116</v>
      </c>
      <c r="B69" s="167">
        <f>+SUM(B54:B62,B64)/B66</f>
        <v>1</v>
      </c>
      <c r="C69" s="167">
        <f t="shared" ref="C69:F69" si="25">+SUM(C54:C62,C64)/C66</f>
        <v>1</v>
      </c>
      <c r="D69" s="167">
        <f t="shared" si="25"/>
        <v>1</v>
      </c>
      <c r="E69" s="167">
        <f t="shared" si="25"/>
        <v>1</v>
      </c>
      <c r="F69" s="168">
        <f t="shared" si="25"/>
        <v>1</v>
      </c>
      <c r="G69" s="387"/>
      <c r="H69" s="387"/>
      <c r="I69" s="387"/>
      <c r="J69" s="387"/>
      <c r="K69" s="387"/>
      <c r="L69" s="72"/>
    </row>
    <row r="70" spans="1:12" ht="13.5" thickTop="1" x14ac:dyDescent="0.2"/>
    <row r="71" spans="1:12" ht="13.5" thickBot="1" x14ac:dyDescent="0.25"/>
    <row r="72" spans="1:12" ht="13.5" thickTop="1" x14ac:dyDescent="0.2">
      <c r="A72" s="77"/>
      <c r="B72" s="452" t="s">
        <v>112</v>
      </c>
      <c r="C72" s="453"/>
      <c r="D72" s="453"/>
      <c r="E72" s="453"/>
      <c r="F72" s="454"/>
      <c r="G72" s="365"/>
      <c r="H72" s="365"/>
      <c r="I72" s="365"/>
      <c r="J72" s="365"/>
      <c r="K72" s="365"/>
    </row>
    <row r="73" spans="1:12" ht="13.5" thickBot="1" x14ac:dyDescent="0.25">
      <c r="A73" s="78" t="s">
        <v>80</v>
      </c>
      <c r="B73" s="28" t="s">
        <v>24</v>
      </c>
      <c r="C73" s="28" t="s">
        <v>25</v>
      </c>
      <c r="D73" s="28" t="s">
        <v>26</v>
      </c>
      <c r="E73" s="28" t="s">
        <v>27</v>
      </c>
      <c r="F73" s="29" t="s">
        <v>28</v>
      </c>
      <c r="G73" s="366"/>
      <c r="H73" s="366"/>
      <c r="I73" s="366"/>
      <c r="J73" s="366"/>
      <c r="K73" s="366"/>
    </row>
    <row r="74" spans="1:12" ht="13.5" thickTop="1" x14ac:dyDescent="0.2">
      <c r="A74" s="68" t="s">
        <v>102</v>
      </c>
      <c r="B74" s="79">
        <f>C74*0.9</f>
        <v>548910</v>
      </c>
      <c r="C74" s="79">
        <f>+C8*0.5</f>
        <v>609900</v>
      </c>
      <c r="D74" s="79">
        <f t="shared" ref="D74:F74" si="26">+D8*0.5</f>
        <v>609900</v>
      </c>
      <c r="E74" s="79">
        <f t="shared" si="26"/>
        <v>609900</v>
      </c>
      <c r="F74" s="79">
        <f t="shared" si="26"/>
        <v>609900</v>
      </c>
      <c r="G74" s="367"/>
      <c r="H74" s="367"/>
      <c r="I74" s="367"/>
      <c r="J74" s="367"/>
      <c r="K74" s="367"/>
    </row>
    <row r="75" spans="1:12" x14ac:dyDescent="0.2">
      <c r="A75" s="10" t="s">
        <v>103</v>
      </c>
      <c r="B75" s="62">
        <f>'E-Inv AF y Am'!$D$55*0.05</f>
        <v>21245.42613883243</v>
      </c>
      <c r="C75" s="62">
        <f>'E-Inv AF y Am'!$D$55*0.05</f>
        <v>21245.42613883243</v>
      </c>
      <c r="D75" s="62">
        <f>'E-Inv AF y Am'!$D$55*0.05</f>
        <v>21245.42613883243</v>
      </c>
      <c r="E75" s="62">
        <f>'E-Inv AF y Am'!$E$55*0.05</f>
        <v>21245.42613883243</v>
      </c>
      <c r="F75" s="63">
        <f>'E-Inv AF y Am'!$E$55*0.05</f>
        <v>21245.42613883243</v>
      </c>
      <c r="G75" s="367"/>
      <c r="H75" s="367"/>
      <c r="I75" s="367"/>
      <c r="J75" s="367"/>
      <c r="K75" s="367"/>
    </row>
    <row r="76" spans="1:12" x14ac:dyDescent="0.2">
      <c r="A76" s="10" t="s">
        <v>104</v>
      </c>
      <c r="B76" s="62">
        <f>C76*0.9</f>
        <v>14098.5</v>
      </c>
      <c r="C76" s="62">
        <f>'E-Inv AF y Am'!$B$16*0.065</f>
        <v>15665</v>
      </c>
      <c r="D76" s="62">
        <f>'E-Inv AF y Am'!$B$16*0.065</f>
        <v>15665</v>
      </c>
      <c r="E76" s="62">
        <f>'E-Inv AF y Am'!$B$16*0.065</f>
        <v>15665</v>
      </c>
      <c r="F76" s="63">
        <f>'E-Inv AF y Am'!$B$16*0.065</f>
        <v>15665</v>
      </c>
      <c r="G76" s="367"/>
      <c r="H76" s="367"/>
      <c r="I76" s="367"/>
      <c r="J76" s="367"/>
      <c r="K76" s="367"/>
    </row>
    <row r="77" spans="1:12" x14ac:dyDescent="0.2">
      <c r="A77" s="10" t="s">
        <v>114</v>
      </c>
      <c r="B77" s="62">
        <f>C77*0.95</f>
        <v>9120</v>
      </c>
      <c r="C77" s="62">
        <f>+C57</f>
        <v>9600</v>
      </c>
      <c r="D77" s="62">
        <f t="shared" ref="D77:F77" si="27">+D57</f>
        <v>9600</v>
      </c>
      <c r="E77" s="62">
        <f t="shared" si="27"/>
        <v>9600</v>
      </c>
      <c r="F77" s="62">
        <f t="shared" si="27"/>
        <v>9600</v>
      </c>
      <c r="G77" s="367"/>
      <c r="H77" s="367"/>
      <c r="I77" s="367"/>
      <c r="J77" s="367"/>
      <c r="K77" s="367"/>
    </row>
    <row r="78" spans="1:12" x14ac:dyDescent="0.2">
      <c r="A78" s="10" t="s">
        <v>106</v>
      </c>
      <c r="B78" s="62">
        <f>C78*0.95</f>
        <v>130530</v>
      </c>
      <c r="C78" s="62">
        <f>12000*11.45</f>
        <v>137400</v>
      </c>
      <c r="D78" s="62">
        <f t="shared" ref="D78:F78" si="28">12000*11.45</f>
        <v>137400</v>
      </c>
      <c r="E78" s="62">
        <f t="shared" si="28"/>
        <v>137400</v>
      </c>
      <c r="F78" s="62">
        <f t="shared" si="28"/>
        <v>137400</v>
      </c>
      <c r="G78" s="367"/>
      <c r="H78" s="367"/>
      <c r="I78" s="367"/>
      <c r="J78" s="367"/>
      <c r="K78" s="367"/>
    </row>
    <row r="79" spans="1:12" x14ac:dyDescent="0.2">
      <c r="A79" s="144" t="s">
        <v>246</v>
      </c>
      <c r="B79" s="62">
        <f>+'E-Inv AF y Am'!C25*0.05</f>
        <v>0</v>
      </c>
      <c r="C79" s="62">
        <f>+B79</f>
        <v>0</v>
      </c>
      <c r="D79" s="62">
        <f t="shared" ref="D79:F79" si="29">+C79</f>
        <v>0</v>
      </c>
      <c r="E79" s="62">
        <f t="shared" si="29"/>
        <v>0</v>
      </c>
      <c r="F79" s="62">
        <f t="shared" si="29"/>
        <v>0</v>
      </c>
      <c r="G79" s="367"/>
      <c r="H79" s="367"/>
      <c r="I79" s="367"/>
      <c r="J79" s="367"/>
      <c r="K79" s="367"/>
    </row>
    <row r="80" spans="1:12" x14ac:dyDescent="0.2">
      <c r="A80" s="10" t="s">
        <v>107</v>
      </c>
      <c r="B80" s="62">
        <f>+C80*0.95</f>
        <v>144851.25</v>
      </c>
      <c r="C80" s="62">
        <f>+C74*0.25</f>
        <v>152475</v>
      </c>
      <c r="D80" s="62">
        <f t="shared" ref="D80:F80" si="30">+D74*0.25</f>
        <v>152475</v>
      </c>
      <c r="E80" s="62">
        <f t="shared" si="30"/>
        <v>152475</v>
      </c>
      <c r="F80" s="63">
        <f t="shared" si="30"/>
        <v>152475</v>
      </c>
      <c r="G80" s="367"/>
      <c r="H80" s="367"/>
      <c r="I80" s="367"/>
      <c r="J80" s="367"/>
      <c r="K80" s="367"/>
    </row>
    <row r="81" spans="1:11" x14ac:dyDescent="0.2">
      <c r="A81" s="10" t="s">
        <v>108</v>
      </c>
      <c r="B81" s="62">
        <f>+B61+'E-Inv AF y Am'!$B$19*0.03</f>
        <v>309331.92819999997</v>
      </c>
      <c r="C81" s="62">
        <f>+C61+'E-Inv AF y Am'!$B$19*0.03</f>
        <v>309331.92819999997</v>
      </c>
      <c r="D81" s="62">
        <f>+D61+'E-Inv AF y Am'!$B$19*0.03</f>
        <v>309331.92819999997</v>
      </c>
      <c r="E81" s="62">
        <f>+E61+'E-Inv AF y Am'!$B$19*0.03</f>
        <v>309331.92819999997</v>
      </c>
      <c r="F81" s="62">
        <f>+F61+'E-Inv AF y Am'!$B$19*0.03</f>
        <v>309331.92819999997</v>
      </c>
      <c r="G81" s="367"/>
      <c r="H81" s="367"/>
      <c r="I81" s="367"/>
      <c r="J81" s="367"/>
      <c r="K81" s="367"/>
    </row>
    <row r="82" spans="1:11" x14ac:dyDescent="0.2">
      <c r="A82" s="10" t="s">
        <v>109</v>
      </c>
      <c r="B82" s="62">
        <f>+B62+40000*0.02</f>
        <v>13180.804901633703</v>
      </c>
      <c r="C82" s="62">
        <f t="shared" ref="C82:F82" si="31">+C62+40000*0.02</f>
        <v>13763.45778134494</v>
      </c>
      <c r="D82" s="62">
        <f t="shared" si="31"/>
        <v>13763.45778134494</v>
      </c>
      <c r="E82" s="62">
        <f t="shared" si="31"/>
        <v>13776.494389492873</v>
      </c>
      <c r="F82" s="62">
        <f t="shared" si="31"/>
        <v>13776.494389492873</v>
      </c>
      <c r="G82" s="367"/>
      <c r="H82" s="367"/>
      <c r="I82" s="367"/>
      <c r="J82" s="367"/>
      <c r="K82" s="367"/>
    </row>
    <row r="83" spans="1:11" x14ac:dyDescent="0.2">
      <c r="A83" s="10" t="s">
        <v>101</v>
      </c>
      <c r="B83" s="84">
        <f>SUM(B74:B82)</f>
        <v>1191267.9092404661</v>
      </c>
      <c r="C83" s="84">
        <f t="shared" ref="C83:F83" si="32">SUM(C74:C82)</f>
        <v>1269380.8121201773</v>
      </c>
      <c r="D83" s="84">
        <f t="shared" si="32"/>
        <v>1269380.8121201773</v>
      </c>
      <c r="E83" s="84">
        <f t="shared" si="32"/>
        <v>1269393.8487283252</v>
      </c>
      <c r="F83" s="85">
        <f t="shared" si="32"/>
        <v>1269393.8487283252</v>
      </c>
      <c r="G83" s="370"/>
      <c r="H83" s="370"/>
      <c r="I83" s="370"/>
      <c r="J83" s="370"/>
      <c r="K83" s="370"/>
    </row>
    <row r="84" spans="1:11" x14ac:dyDescent="0.2">
      <c r="A84" s="10" t="s">
        <v>448</v>
      </c>
      <c r="B84" s="62">
        <f>+B83*0.045</f>
        <v>53607.055915820973</v>
      </c>
      <c r="C84" s="62">
        <f t="shared" ref="C84:F84" si="33">+C83*0.045</f>
        <v>57122.136545407979</v>
      </c>
      <c r="D84" s="62">
        <f t="shared" si="33"/>
        <v>57122.136545407979</v>
      </c>
      <c r="E84" s="62">
        <f t="shared" si="33"/>
        <v>57122.723192774632</v>
      </c>
      <c r="F84" s="62">
        <f t="shared" si="33"/>
        <v>57122.723192774632</v>
      </c>
      <c r="G84" s="367"/>
      <c r="H84" s="367"/>
      <c r="I84" s="367"/>
      <c r="J84" s="367"/>
      <c r="K84" s="367"/>
    </row>
    <row r="85" spans="1:11" x14ac:dyDescent="0.2">
      <c r="A85" s="10"/>
      <c r="B85" s="48"/>
      <c r="C85" s="48"/>
      <c r="D85" s="48"/>
      <c r="E85" s="48"/>
      <c r="F85" s="392"/>
      <c r="G85" s="371"/>
      <c r="H85" s="371"/>
      <c r="I85" s="371"/>
      <c r="J85" s="371"/>
      <c r="K85" s="371"/>
    </row>
    <row r="86" spans="1:11" x14ac:dyDescent="0.2">
      <c r="A86" s="75" t="s">
        <v>113</v>
      </c>
      <c r="B86" s="84">
        <f>+B84+B83</f>
        <v>1244874.965156287</v>
      </c>
      <c r="C86" s="84">
        <f t="shared" ref="C86:F86" si="34">+C84+C83</f>
        <v>1326502.9486655854</v>
      </c>
      <c r="D86" s="84">
        <f t="shared" si="34"/>
        <v>1326502.9486655854</v>
      </c>
      <c r="E86" s="84">
        <f t="shared" si="34"/>
        <v>1326516.5719210999</v>
      </c>
      <c r="F86" s="85">
        <f t="shared" si="34"/>
        <v>1326516.5719210999</v>
      </c>
      <c r="G86" s="370"/>
      <c r="H86" s="370"/>
      <c r="I86" s="370"/>
      <c r="J86" s="370"/>
      <c r="K86" s="370"/>
    </row>
    <row r="87" spans="1:11" x14ac:dyDescent="0.2">
      <c r="A87" s="75"/>
      <c r="B87" s="8"/>
      <c r="C87" s="8"/>
      <c r="D87" s="8"/>
      <c r="E87" s="8"/>
      <c r="F87" s="9"/>
      <c r="G87" s="391"/>
      <c r="H87" s="391"/>
      <c r="I87" s="391"/>
      <c r="J87" s="391"/>
      <c r="K87" s="391"/>
    </row>
    <row r="88" spans="1:11" x14ac:dyDescent="0.2">
      <c r="A88" s="75" t="s">
        <v>115</v>
      </c>
      <c r="B88" s="171">
        <f>+(B76*0.6+B80*0.6+B81*0.6+B84*0.5)/B86</f>
        <v>0.24723168470117909</v>
      </c>
      <c r="C88" s="171">
        <f t="shared" ref="C88:F88" si="35">+(C76*0.6+C80*0.6+C81*0.6+C84*0.5)/C86</f>
        <v>0.23749983029410315</v>
      </c>
      <c r="D88" s="171">
        <f t="shared" si="35"/>
        <v>0.23749983029410315</v>
      </c>
      <c r="E88" s="171">
        <f t="shared" si="35"/>
        <v>0.23749761230659236</v>
      </c>
      <c r="F88" s="172">
        <f t="shared" si="35"/>
        <v>0.23749761230659236</v>
      </c>
      <c r="G88" s="372"/>
      <c r="H88" s="372"/>
      <c r="I88" s="372"/>
      <c r="J88" s="372"/>
      <c r="K88" s="372"/>
    </row>
    <row r="89" spans="1:11" ht="13.5" thickBot="1" x14ac:dyDescent="0.25">
      <c r="A89" s="66" t="s">
        <v>116</v>
      </c>
      <c r="B89" s="163">
        <f>+(B74+B75+B76*0.4+B77+B78+B79+B80*0.4+B81*0.4+B82+B84*0.5)/B86</f>
        <v>0.75276831529882104</v>
      </c>
      <c r="C89" s="163">
        <f t="shared" ref="C89:F89" si="36">+(C74+C75+C76*0.4+C77+C78+C79+C80*0.4+C81*0.4+C82+C84*0.5)/C86</f>
        <v>0.76250016970589685</v>
      </c>
      <c r="D89" s="163">
        <f t="shared" si="36"/>
        <v>0.76250016970589685</v>
      </c>
      <c r="E89" s="163">
        <f t="shared" si="36"/>
        <v>0.76250238769340772</v>
      </c>
      <c r="F89" s="164">
        <f t="shared" si="36"/>
        <v>0.76250238769340772</v>
      </c>
      <c r="G89" s="372"/>
      <c r="H89" s="372"/>
      <c r="I89" s="372"/>
      <c r="J89" s="372"/>
      <c r="K89" s="372"/>
    </row>
    <row r="90" spans="1:11" ht="13.5" thickTop="1" x14ac:dyDescent="0.2"/>
    <row r="91" spans="1:11" ht="13.5" thickBot="1" x14ac:dyDescent="0.25"/>
    <row r="92" spans="1:11" ht="16.5" thickTop="1" x14ac:dyDescent="0.25">
      <c r="A92" s="437" t="s">
        <v>128</v>
      </c>
      <c r="B92" s="438"/>
      <c r="C92" s="438"/>
      <c r="D92" s="438"/>
      <c r="E92" s="438"/>
      <c r="F92" s="439"/>
      <c r="G92" s="364"/>
      <c r="H92" s="364"/>
      <c r="I92" s="364"/>
      <c r="J92" s="364"/>
      <c r="K92" s="364"/>
    </row>
    <row r="93" spans="1:11" x14ac:dyDescent="0.2">
      <c r="A93" s="10"/>
      <c r="B93" s="69" t="s">
        <v>24</v>
      </c>
      <c r="C93" s="69" t="s">
        <v>25</v>
      </c>
      <c r="D93" s="69" t="s">
        <v>26</v>
      </c>
      <c r="E93" s="69" t="s">
        <v>27</v>
      </c>
      <c r="F93" s="342" t="s">
        <v>28</v>
      </c>
      <c r="G93" s="366"/>
      <c r="H93" s="366"/>
      <c r="I93" s="366"/>
      <c r="J93" s="366"/>
      <c r="K93" s="366"/>
    </row>
    <row r="94" spans="1:11" x14ac:dyDescent="0.2">
      <c r="A94" s="144" t="s">
        <v>401</v>
      </c>
      <c r="B94" s="80">
        <f>+[4]Hoja1!B9</f>
        <v>80000</v>
      </c>
      <c r="C94" s="80">
        <f>+[4]Hoja1!C9</f>
        <v>120000</v>
      </c>
      <c r="D94" s="80">
        <f>+[4]Hoja1!D9</f>
        <v>120000</v>
      </c>
      <c r="E94" s="80">
        <f>+[4]Hoja1!E9</f>
        <v>120000</v>
      </c>
      <c r="F94" s="81">
        <f>+[4]Hoja1!F9</f>
        <v>120000</v>
      </c>
      <c r="G94" s="393"/>
      <c r="H94" s="393"/>
      <c r="I94" s="393"/>
      <c r="J94" s="393"/>
      <c r="K94" s="393"/>
    </row>
    <row r="95" spans="1:11" x14ac:dyDescent="0.2">
      <c r="A95" s="144" t="s">
        <v>402</v>
      </c>
      <c r="B95" s="82">
        <f>+[4]Hoja1!$B$10</f>
        <v>140</v>
      </c>
      <c r="C95" s="82">
        <f>+[4]Hoja1!$B$10</f>
        <v>140</v>
      </c>
      <c r="D95" s="82">
        <f>+[4]Hoja1!$B$10</f>
        <v>140</v>
      </c>
      <c r="E95" s="82">
        <f>+[4]Hoja1!$B$10</f>
        <v>140</v>
      </c>
      <c r="F95" s="83">
        <f>+[4]Hoja1!$B$10</f>
        <v>140</v>
      </c>
      <c r="G95" s="394"/>
      <c r="H95" s="394"/>
      <c r="I95" s="394"/>
      <c r="J95" s="394"/>
      <c r="K95" s="394"/>
    </row>
    <row r="96" spans="1:11" x14ac:dyDescent="0.2">
      <c r="A96" s="10"/>
      <c r="B96" s="8"/>
      <c r="C96" s="8"/>
      <c r="D96" s="8"/>
      <c r="E96" s="8"/>
      <c r="F96" s="9"/>
      <c r="G96" s="391"/>
      <c r="H96" s="391"/>
      <c r="I96" s="391"/>
      <c r="J96" s="391"/>
      <c r="K96" s="391"/>
    </row>
    <row r="97" spans="1:11" x14ac:dyDescent="0.2">
      <c r="A97" s="11" t="s">
        <v>119</v>
      </c>
      <c r="B97" s="84">
        <f>+B94*B95</f>
        <v>11200000</v>
      </c>
      <c r="C97" s="84">
        <f t="shared" ref="C97:F97" si="37">+C94*C95</f>
        <v>16800000</v>
      </c>
      <c r="D97" s="84">
        <f t="shared" si="37"/>
        <v>16800000</v>
      </c>
      <c r="E97" s="84">
        <f t="shared" si="37"/>
        <v>16800000</v>
      </c>
      <c r="F97" s="85">
        <f t="shared" si="37"/>
        <v>16800000</v>
      </c>
      <c r="G97" s="370"/>
      <c r="H97" s="370"/>
      <c r="I97" s="370"/>
      <c r="J97" s="370"/>
      <c r="K97" s="370"/>
    </row>
    <row r="98" spans="1:11" x14ac:dyDescent="0.2">
      <c r="A98" s="10"/>
      <c r="B98" s="8"/>
      <c r="C98" s="8"/>
      <c r="D98" s="8"/>
      <c r="E98" s="8"/>
      <c r="F98" s="9"/>
      <c r="G98" s="391"/>
      <c r="H98" s="391"/>
      <c r="I98" s="391"/>
      <c r="J98" s="391"/>
      <c r="K98" s="391"/>
    </row>
    <row r="99" spans="1:11" x14ac:dyDescent="0.2">
      <c r="A99" s="10" t="s">
        <v>129</v>
      </c>
      <c r="B99" s="62">
        <f t="shared" ref="B99:F100" si="38">+B4</f>
        <v>1649800.6171908625</v>
      </c>
      <c r="C99" s="62">
        <f t="shared" si="38"/>
        <v>2220961.7760000005</v>
      </c>
      <c r="D99" s="62">
        <f t="shared" si="38"/>
        <v>2220961.7760000005</v>
      </c>
      <c r="E99" s="62">
        <f t="shared" si="38"/>
        <v>2220961.7760000005</v>
      </c>
      <c r="F99" s="63">
        <f t="shared" si="38"/>
        <v>2220961.7760000005</v>
      </c>
      <c r="G99" s="367"/>
      <c r="H99" s="367"/>
      <c r="I99" s="367"/>
      <c r="J99" s="367"/>
      <c r="K99" s="367"/>
    </row>
    <row r="100" spans="1:11" x14ac:dyDescent="0.2">
      <c r="A100" s="10" t="s">
        <v>90</v>
      </c>
      <c r="B100" s="62">
        <f t="shared" si="38"/>
        <v>899965.98720000009</v>
      </c>
      <c r="C100" s="62">
        <f t="shared" si="38"/>
        <v>999962.2080000001</v>
      </c>
      <c r="D100" s="62">
        <f t="shared" si="38"/>
        <v>999962.2080000001</v>
      </c>
      <c r="E100" s="62">
        <f t="shared" si="38"/>
        <v>999962.2080000001</v>
      </c>
      <c r="F100" s="63">
        <f t="shared" si="38"/>
        <v>999962.2080000001</v>
      </c>
      <c r="G100" s="367"/>
      <c r="H100" s="367"/>
      <c r="I100" s="367"/>
      <c r="J100" s="367"/>
      <c r="K100" s="367"/>
    </row>
    <row r="101" spans="1:11" x14ac:dyDescent="0.2">
      <c r="A101" s="10" t="s">
        <v>130</v>
      </c>
      <c r="B101" s="62">
        <f>+SUM(B7:B15)</f>
        <v>2230424.9077574364</v>
      </c>
      <c r="C101" s="62">
        <f>+SUM(C7:C15)</f>
        <v>2425550.4677973972</v>
      </c>
      <c r="D101" s="62">
        <f>+SUM(D7:D15)</f>
        <v>2425550.4677973972</v>
      </c>
      <c r="E101" s="62">
        <f>+SUM(E7:E15)</f>
        <v>2451171.709755314</v>
      </c>
      <c r="F101" s="63">
        <f>+SUM(F7:F15)</f>
        <v>2451171.709755314</v>
      </c>
      <c r="G101" s="367"/>
      <c r="H101" s="367"/>
      <c r="I101" s="367"/>
      <c r="J101" s="367"/>
      <c r="K101" s="367"/>
    </row>
    <row r="102" spans="1:11" x14ac:dyDescent="0.2">
      <c r="A102" s="10"/>
      <c r="B102" s="8"/>
      <c r="C102" s="8"/>
      <c r="D102" s="8"/>
      <c r="E102" s="8"/>
      <c r="F102" s="9"/>
      <c r="G102" s="391"/>
      <c r="H102" s="391"/>
      <c r="I102" s="391"/>
      <c r="J102" s="391"/>
      <c r="K102" s="391"/>
    </row>
    <row r="103" spans="1:11" x14ac:dyDescent="0.2">
      <c r="A103" s="10" t="s">
        <v>131</v>
      </c>
      <c r="B103" s="84">
        <f>+B99+B100+B101</f>
        <v>4780191.5121482983</v>
      </c>
      <c r="C103" s="84">
        <f t="shared" ref="C103:F103" si="39">+C99+C100+C101</f>
        <v>5646474.4517973978</v>
      </c>
      <c r="D103" s="84">
        <f t="shared" si="39"/>
        <v>5646474.4517973978</v>
      </c>
      <c r="E103" s="84">
        <f t="shared" si="39"/>
        <v>5672095.6937553147</v>
      </c>
      <c r="F103" s="85">
        <f t="shared" si="39"/>
        <v>5672095.6937553147</v>
      </c>
      <c r="G103" s="370"/>
      <c r="H103" s="370"/>
      <c r="I103" s="370"/>
      <c r="J103" s="370"/>
      <c r="K103" s="370"/>
    </row>
    <row r="104" spans="1:11" x14ac:dyDescent="0.2">
      <c r="A104" s="10"/>
      <c r="B104" s="8"/>
      <c r="C104" s="8"/>
      <c r="D104" s="8"/>
      <c r="E104" s="8"/>
      <c r="F104" s="9"/>
      <c r="G104" s="391"/>
      <c r="H104" s="391"/>
      <c r="I104" s="391"/>
      <c r="J104" s="391"/>
      <c r="K104" s="391"/>
    </row>
    <row r="105" spans="1:11" x14ac:dyDescent="0.2">
      <c r="A105" s="147" t="s">
        <v>250</v>
      </c>
      <c r="B105" s="62">
        <f>+G36</f>
        <v>163608.39246482577</v>
      </c>
      <c r="C105" s="62"/>
      <c r="D105" s="62"/>
      <c r="E105" s="62"/>
      <c r="F105" s="63"/>
      <c r="G105" s="367"/>
      <c r="H105" s="367"/>
      <c r="I105" s="367"/>
      <c r="J105" s="367"/>
      <c r="K105" s="367"/>
    </row>
    <row r="106" spans="1:11" x14ac:dyDescent="0.2">
      <c r="A106" s="144" t="s">
        <v>248</v>
      </c>
      <c r="B106" s="62">
        <f>+$B$36</f>
        <v>100970.4780274459</v>
      </c>
      <c r="C106" s="62">
        <f>+$C$36</f>
        <v>88682.211129470292</v>
      </c>
      <c r="D106" s="62">
        <f>+$D$36</f>
        <v>88682.211129470292</v>
      </c>
      <c r="E106" s="62">
        <f>+$E$36</f>
        <v>88584.454283096376</v>
      </c>
      <c r="F106" s="63">
        <f>+$F$36</f>
        <v>88584.454283096376</v>
      </c>
      <c r="G106" s="367"/>
      <c r="H106" s="367"/>
      <c r="I106" s="367"/>
      <c r="J106" s="367"/>
      <c r="K106" s="367"/>
    </row>
    <row r="107" spans="1:11" x14ac:dyDescent="0.2">
      <c r="A107" s="144" t="s">
        <v>249</v>
      </c>
      <c r="B107" s="62">
        <v>0</v>
      </c>
      <c r="C107" s="62">
        <f>+$B$42</f>
        <v>100970.4780274459</v>
      </c>
      <c r="D107" s="62">
        <f>+$C$42</f>
        <v>88682.211129470292</v>
      </c>
      <c r="E107" s="62">
        <f>+$D$42</f>
        <v>88682.211129470292</v>
      </c>
      <c r="F107" s="63">
        <f>+$E$42</f>
        <v>88584.454283096376</v>
      </c>
      <c r="G107" s="367"/>
      <c r="H107" s="367"/>
      <c r="I107" s="367"/>
      <c r="J107" s="367"/>
      <c r="K107" s="367"/>
    </row>
    <row r="108" spans="1:11" x14ac:dyDescent="0.2">
      <c r="A108" s="10"/>
      <c r="B108" s="8"/>
      <c r="C108" s="8"/>
      <c r="D108" s="8"/>
      <c r="E108" s="8"/>
      <c r="F108" s="9"/>
      <c r="G108" s="391"/>
      <c r="H108" s="391"/>
      <c r="I108" s="391"/>
      <c r="J108" s="391"/>
      <c r="K108" s="391"/>
    </row>
    <row r="109" spans="1:11" x14ac:dyDescent="0.2">
      <c r="A109" s="11" t="s">
        <v>137</v>
      </c>
      <c r="B109" s="84">
        <f t="shared" ref="B109:F109" si="40">+B103-B105-B106+B107</f>
        <v>4515612.6416560262</v>
      </c>
      <c r="C109" s="84">
        <f t="shared" si="40"/>
        <v>5658762.7186953733</v>
      </c>
      <c r="D109" s="84">
        <f t="shared" si="40"/>
        <v>5646474.4517973978</v>
      </c>
      <c r="E109" s="84">
        <f t="shared" si="40"/>
        <v>5672193.4506016886</v>
      </c>
      <c r="F109" s="85">
        <f t="shared" si="40"/>
        <v>5672095.6937553147</v>
      </c>
      <c r="G109" s="370"/>
      <c r="H109" s="370"/>
      <c r="I109" s="370"/>
      <c r="J109" s="370"/>
      <c r="K109" s="370"/>
    </row>
    <row r="110" spans="1:11" x14ac:dyDescent="0.2">
      <c r="A110" s="34" t="s">
        <v>138</v>
      </c>
      <c r="B110" s="411">
        <f>+B94</f>
        <v>80000</v>
      </c>
      <c r="C110" s="411">
        <f t="shared" ref="C110:F110" si="41">+C94</f>
        <v>120000</v>
      </c>
      <c r="D110" s="411">
        <f t="shared" si="41"/>
        <v>120000</v>
      </c>
      <c r="E110" s="411">
        <f t="shared" si="41"/>
        <v>120000</v>
      </c>
      <c r="F110" s="411">
        <f t="shared" si="41"/>
        <v>120000</v>
      </c>
      <c r="G110" s="395"/>
      <c r="H110" s="395"/>
      <c r="I110" s="395"/>
      <c r="J110" s="395"/>
      <c r="K110" s="395"/>
    </row>
    <row r="111" spans="1:11" x14ac:dyDescent="0.2">
      <c r="A111" s="10" t="s">
        <v>139</v>
      </c>
      <c r="B111" s="62">
        <f>+B109/B110</f>
        <v>56.445158020700326</v>
      </c>
      <c r="C111" s="62">
        <f t="shared" ref="C111:F111" si="42">+C109/C110</f>
        <v>47.156355989128109</v>
      </c>
      <c r="D111" s="62">
        <f t="shared" si="42"/>
        <v>47.053953764978317</v>
      </c>
      <c r="E111" s="62">
        <f t="shared" si="42"/>
        <v>47.268278755014073</v>
      </c>
      <c r="F111" s="63">
        <f t="shared" si="42"/>
        <v>47.267464114627622</v>
      </c>
      <c r="G111" s="367"/>
      <c r="H111" s="367"/>
      <c r="I111" s="367"/>
      <c r="J111" s="367"/>
      <c r="K111" s="367"/>
    </row>
    <row r="112" spans="1:11" x14ac:dyDescent="0.2">
      <c r="A112" s="10"/>
      <c r="B112" s="86"/>
      <c r="C112" s="86"/>
      <c r="D112" s="86"/>
      <c r="E112" s="86"/>
      <c r="F112" s="87"/>
      <c r="G112" s="396"/>
      <c r="H112" s="396"/>
      <c r="I112" s="396"/>
      <c r="J112" s="396"/>
      <c r="K112" s="396"/>
    </row>
    <row r="113" spans="1:11" x14ac:dyDescent="0.2">
      <c r="A113" s="144" t="s">
        <v>252</v>
      </c>
      <c r="B113" s="62">
        <f>+B110/118*B111</f>
        <v>38267.903742847673</v>
      </c>
      <c r="C113" s="62">
        <f t="shared" ref="C113:F113" si="43">+C110/118*C111</f>
        <v>47955.616260130279</v>
      </c>
      <c r="D113" s="62">
        <f t="shared" si="43"/>
        <v>47851.478405062691</v>
      </c>
      <c r="E113" s="62">
        <f t="shared" si="43"/>
        <v>48069.436022048212</v>
      </c>
      <c r="F113" s="62">
        <f t="shared" si="43"/>
        <v>48068.60757419758</v>
      </c>
      <c r="G113" s="367"/>
      <c r="H113" s="367"/>
      <c r="I113" s="367"/>
      <c r="J113" s="367"/>
      <c r="K113" s="367"/>
    </row>
    <row r="114" spans="1:11" x14ac:dyDescent="0.2">
      <c r="A114" s="144" t="s">
        <v>251</v>
      </c>
      <c r="B114" s="62">
        <v>0</v>
      </c>
      <c r="C114" s="62">
        <f>+B113</f>
        <v>38267.903742847673</v>
      </c>
      <c r="D114" s="62">
        <f>+D113</f>
        <v>47851.478405062691</v>
      </c>
      <c r="E114" s="62">
        <f t="shared" ref="E114:F114" si="44">+E113</f>
        <v>48069.436022048212</v>
      </c>
      <c r="F114" s="63">
        <f t="shared" si="44"/>
        <v>48068.60757419758</v>
      </c>
      <c r="G114" s="367"/>
      <c r="H114" s="367"/>
      <c r="I114" s="367"/>
      <c r="J114" s="367"/>
      <c r="K114" s="367"/>
    </row>
    <row r="115" spans="1:11" x14ac:dyDescent="0.2">
      <c r="A115" s="144" t="s">
        <v>267</v>
      </c>
      <c r="B115" s="86">
        <f>+B113-B114</f>
        <v>38267.903742847673</v>
      </c>
      <c r="C115" s="86">
        <f t="shared" ref="C115:F115" si="45">+C113-C114</f>
        <v>9687.7125172826054</v>
      </c>
      <c r="D115" s="86">
        <f t="shared" si="45"/>
        <v>0</v>
      </c>
      <c r="E115" s="86">
        <f t="shared" si="45"/>
        <v>0</v>
      </c>
      <c r="F115" s="87">
        <f t="shared" si="45"/>
        <v>0</v>
      </c>
      <c r="G115" s="396"/>
      <c r="H115" s="396"/>
      <c r="I115" s="396"/>
      <c r="J115" s="396"/>
      <c r="K115" s="396"/>
    </row>
    <row r="116" spans="1:11" x14ac:dyDescent="0.2">
      <c r="A116" s="144"/>
      <c r="B116" s="86"/>
      <c r="C116" s="86"/>
      <c r="D116" s="86"/>
      <c r="E116" s="86"/>
      <c r="F116" s="87"/>
      <c r="G116" s="396"/>
      <c r="H116" s="396"/>
      <c r="I116" s="396"/>
      <c r="J116" s="396"/>
      <c r="K116" s="396"/>
    </row>
    <row r="117" spans="1:11" x14ac:dyDescent="0.2">
      <c r="A117" s="11" t="s">
        <v>120</v>
      </c>
      <c r="B117" s="84">
        <f>+B109-B113+B114</f>
        <v>4477344.7379131783</v>
      </c>
      <c r="C117" s="84">
        <f t="shared" ref="C117:F117" si="46">+C109-C113+C114</f>
        <v>5649075.0061780913</v>
      </c>
      <c r="D117" s="84">
        <f t="shared" si="46"/>
        <v>5646474.4517973978</v>
      </c>
      <c r="E117" s="84">
        <f t="shared" si="46"/>
        <v>5672193.4506016886</v>
      </c>
      <c r="F117" s="85">
        <f t="shared" si="46"/>
        <v>5672095.6937553147</v>
      </c>
      <c r="G117" s="367"/>
      <c r="H117" s="367"/>
      <c r="I117" s="367"/>
      <c r="J117" s="367"/>
      <c r="K117" s="367"/>
    </row>
    <row r="118" spans="1:11" x14ac:dyDescent="0.2">
      <c r="A118" s="10"/>
      <c r="B118" s="8"/>
      <c r="C118" s="8"/>
      <c r="D118" s="8"/>
      <c r="E118" s="8"/>
      <c r="F118" s="9"/>
      <c r="G118" s="391"/>
      <c r="H118" s="391"/>
      <c r="I118" s="391"/>
      <c r="J118" s="391"/>
      <c r="K118" s="391"/>
    </row>
    <row r="119" spans="1:11" x14ac:dyDescent="0.2">
      <c r="A119" s="11" t="s">
        <v>133</v>
      </c>
      <c r="B119" s="84">
        <f>+B66</f>
        <v>922661.51741878723</v>
      </c>
      <c r="C119" s="84">
        <f>+C66</f>
        <v>998007.74467808544</v>
      </c>
      <c r="D119" s="84">
        <f>+D66</f>
        <v>998007.74467808544</v>
      </c>
      <c r="E119" s="84">
        <f>+E66</f>
        <v>998021.36793360009</v>
      </c>
      <c r="F119" s="85">
        <f>+F66</f>
        <v>998021.36793360009</v>
      </c>
      <c r="G119" s="370"/>
      <c r="H119" s="370"/>
      <c r="I119" s="370"/>
      <c r="J119" s="370"/>
      <c r="K119" s="370"/>
    </row>
    <row r="120" spans="1:11" x14ac:dyDescent="0.2">
      <c r="A120" s="11" t="s">
        <v>134</v>
      </c>
      <c r="B120" s="84">
        <f>+B86</f>
        <v>1244874.965156287</v>
      </c>
      <c r="C120" s="84">
        <f>+C86</f>
        <v>1326502.9486655854</v>
      </c>
      <c r="D120" s="84">
        <f>+D86</f>
        <v>1326502.9486655854</v>
      </c>
      <c r="E120" s="84">
        <f>+E86</f>
        <v>1326516.5719210999</v>
      </c>
      <c r="F120" s="85">
        <f>+F86</f>
        <v>1326516.5719210999</v>
      </c>
      <c r="G120" s="370"/>
      <c r="H120" s="370"/>
      <c r="I120" s="370"/>
      <c r="J120" s="370"/>
      <c r="K120" s="370"/>
    </row>
    <row r="121" spans="1:11" x14ac:dyDescent="0.2">
      <c r="A121" s="10"/>
      <c r="B121" s="86"/>
      <c r="C121" s="86"/>
      <c r="D121" s="86"/>
      <c r="E121" s="86"/>
      <c r="F121" s="87"/>
      <c r="G121" s="396"/>
      <c r="H121" s="396"/>
      <c r="I121" s="396"/>
      <c r="J121" s="396"/>
      <c r="K121" s="396"/>
    </row>
    <row r="122" spans="1:11" x14ac:dyDescent="0.2">
      <c r="A122" s="11" t="s">
        <v>135</v>
      </c>
      <c r="B122" s="84">
        <f>+B117+B119+B120</f>
        <v>6644881.2204882521</v>
      </c>
      <c r="C122" s="84">
        <f t="shared" ref="C122:F122" si="47">+C117+C119+C120</f>
        <v>7973585.6995217623</v>
      </c>
      <c r="D122" s="84">
        <f t="shared" si="47"/>
        <v>7970985.1451410688</v>
      </c>
      <c r="E122" s="84">
        <f t="shared" si="47"/>
        <v>7996731.3904563887</v>
      </c>
      <c r="F122" s="85">
        <f t="shared" si="47"/>
        <v>7996633.6336100148</v>
      </c>
      <c r="G122" s="370"/>
      <c r="H122" s="370"/>
      <c r="I122" s="370"/>
      <c r="J122" s="370"/>
      <c r="K122" s="370"/>
    </row>
    <row r="123" spans="1:11" x14ac:dyDescent="0.2">
      <c r="A123" s="10"/>
      <c r="B123" s="86"/>
      <c r="C123" s="86"/>
      <c r="D123" s="86"/>
      <c r="E123" s="86"/>
      <c r="F123" s="87"/>
      <c r="G123" s="396"/>
      <c r="H123" s="396"/>
      <c r="I123" s="396"/>
      <c r="J123" s="396"/>
      <c r="K123" s="396"/>
    </row>
    <row r="124" spans="1:11" x14ac:dyDescent="0.2">
      <c r="A124" s="11" t="s">
        <v>141</v>
      </c>
      <c r="B124" s="84">
        <f>+B122/B94</f>
        <v>83.061015256103147</v>
      </c>
      <c r="C124" s="84">
        <f>+C122/C94</f>
        <v>66.446547496014688</v>
      </c>
      <c r="D124" s="84">
        <f>+D122/D94</f>
        <v>66.424876209508909</v>
      </c>
      <c r="E124" s="84">
        <f>+E122/E94</f>
        <v>66.639428253803246</v>
      </c>
      <c r="F124" s="85">
        <f>+F122/F94</f>
        <v>66.638613613416794</v>
      </c>
      <c r="G124" s="370"/>
      <c r="H124" s="370"/>
      <c r="I124" s="370"/>
      <c r="J124" s="370"/>
      <c r="K124" s="370"/>
    </row>
    <row r="125" spans="1:11" x14ac:dyDescent="0.2">
      <c r="A125" s="10"/>
      <c r="B125" s="86"/>
      <c r="C125" s="86"/>
      <c r="D125" s="86"/>
      <c r="E125" s="86"/>
      <c r="F125" s="87"/>
      <c r="G125" s="396"/>
      <c r="H125" s="396"/>
      <c r="I125" s="396"/>
      <c r="J125" s="396"/>
      <c r="K125" s="396"/>
    </row>
    <row r="126" spans="1:11" x14ac:dyDescent="0.2">
      <c r="A126" s="11" t="s">
        <v>121</v>
      </c>
      <c r="B126" s="84">
        <f>+B97-B122</f>
        <v>4555118.7795117479</v>
      </c>
      <c r="C126" s="84">
        <f t="shared" ref="C126:F126" si="48">+C97-C122</f>
        <v>8826414.3004782386</v>
      </c>
      <c r="D126" s="84">
        <f t="shared" si="48"/>
        <v>8829014.8548589312</v>
      </c>
      <c r="E126" s="84">
        <f t="shared" si="48"/>
        <v>8803268.6095436104</v>
      </c>
      <c r="F126" s="85">
        <f t="shared" si="48"/>
        <v>8803366.3663899861</v>
      </c>
      <c r="G126" s="370"/>
      <c r="H126" s="370"/>
      <c r="I126" s="370"/>
      <c r="J126" s="370"/>
      <c r="K126" s="370"/>
    </row>
    <row r="127" spans="1:11" x14ac:dyDescent="0.2">
      <c r="A127" s="11" t="s">
        <v>78</v>
      </c>
      <c r="B127" s="84">
        <f>+B126*InfoInicial!$B$5</f>
        <v>318858.31456582237</v>
      </c>
      <c r="C127" s="84">
        <f>+C126*InfoInicial!$B$5</f>
        <v>617849.00103347679</v>
      </c>
      <c r="D127" s="84">
        <f>+D126*InfoInicial!$B$5</f>
        <v>618031.03984012525</v>
      </c>
      <c r="E127" s="84">
        <f>+E126*InfoInicial!$B$5</f>
        <v>616228.80266805284</v>
      </c>
      <c r="F127" s="85">
        <f>+F126*InfoInicial!$B$5</f>
        <v>616235.64564729913</v>
      </c>
      <c r="G127" s="370"/>
      <c r="H127" s="370"/>
      <c r="I127" s="370"/>
      <c r="J127" s="370"/>
      <c r="K127" s="370"/>
    </row>
    <row r="128" spans="1:11" x14ac:dyDescent="0.2">
      <c r="A128" s="88" t="s">
        <v>122</v>
      </c>
      <c r="B128" s="84">
        <f>+B126*InfoInicial!$B$4</f>
        <v>1594291.5728291117</v>
      </c>
      <c r="C128" s="84">
        <f>+C126*InfoInicial!$B$4</f>
        <v>3089245.0051673832</v>
      </c>
      <c r="D128" s="84">
        <f>+D126*InfoInicial!$B$4</f>
        <v>3090155.1992006255</v>
      </c>
      <c r="E128" s="84">
        <f>+E126*InfoInicial!$B$4</f>
        <v>3081144.0133402636</v>
      </c>
      <c r="F128" s="85">
        <f>+F126*InfoInicial!$B$4</f>
        <v>3081178.2282364951</v>
      </c>
      <c r="G128" s="370"/>
      <c r="H128" s="370"/>
      <c r="I128" s="370"/>
      <c r="J128" s="370"/>
      <c r="K128" s="370"/>
    </row>
    <row r="129" spans="1:11" x14ac:dyDescent="0.2">
      <c r="A129" s="11"/>
      <c r="B129" s="86"/>
      <c r="C129" s="86"/>
      <c r="D129" s="86"/>
      <c r="E129" s="86"/>
      <c r="F129" s="87"/>
      <c r="G129" s="396"/>
      <c r="H129" s="396"/>
      <c r="I129" s="396"/>
      <c r="J129" s="396"/>
      <c r="K129" s="396"/>
    </row>
    <row r="130" spans="1:11" x14ac:dyDescent="0.2">
      <c r="A130" s="88" t="s">
        <v>123</v>
      </c>
      <c r="B130" s="84">
        <f>+B126-B127-B128</f>
        <v>2641968.8921168139</v>
      </c>
      <c r="C130" s="84">
        <f t="shared" ref="C130:F130" si="49">+C126-C127-C128</f>
        <v>5119320.2942773793</v>
      </c>
      <c r="D130" s="84">
        <f t="shared" si="49"/>
        <v>5120828.6158181801</v>
      </c>
      <c r="E130" s="84">
        <f t="shared" si="49"/>
        <v>5105895.793535294</v>
      </c>
      <c r="F130" s="85">
        <f t="shared" si="49"/>
        <v>5105952.4925061911</v>
      </c>
      <c r="G130" s="370"/>
      <c r="H130" s="370"/>
      <c r="I130" s="370"/>
      <c r="J130" s="370"/>
      <c r="K130" s="370"/>
    </row>
    <row r="131" spans="1:11" x14ac:dyDescent="0.2">
      <c r="A131" s="11" t="s">
        <v>124</v>
      </c>
      <c r="B131" s="89">
        <f>+B130/B97</f>
        <v>0.23589007965328695</v>
      </c>
      <c r="C131" s="89">
        <f>+C130/C97</f>
        <v>0.30472144608793922</v>
      </c>
      <c r="D131" s="89">
        <f t="shared" ref="D131:F131" si="50">+D130/D97</f>
        <v>0.30481122713203451</v>
      </c>
      <c r="E131" s="89">
        <f t="shared" si="50"/>
        <v>0.30392236866281513</v>
      </c>
      <c r="F131" s="90">
        <f t="shared" si="50"/>
        <v>0.303925743601559</v>
      </c>
      <c r="G131" s="397"/>
      <c r="H131" s="397"/>
      <c r="I131" s="397"/>
      <c r="J131" s="397"/>
      <c r="K131" s="397"/>
    </row>
    <row r="132" spans="1:11" x14ac:dyDescent="0.2">
      <c r="A132" s="11"/>
      <c r="B132" s="12"/>
      <c r="C132" s="12"/>
      <c r="D132" s="12"/>
      <c r="E132" s="12"/>
      <c r="F132" s="13"/>
      <c r="G132" s="398"/>
      <c r="H132" s="398"/>
      <c r="I132" s="398"/>
      <c r="J132" s="398"/>
      <c r="K132" s="398"/>
    </row>
    <row r="133" spans="1:11" x14ac:dyDescent="0.2">
      <c r="A133" s="11" t="s">
        <v>136</v>
      </c>
      <c r="B133" s="89"/>
      <c r="C133" s="89"/>
      <c r="D133" s="89"/>
      <c r="E133" s="89"/>
      <c r="F133" s="90"/>
      <c r="G133" s="397"/>
      <c r="H133" s="397"/>
      <c r="I133" s="397"/>
      <c r="J133" s="397"/>
      <c r="K133" s="397"/>
    </row>
    <row r="134" spans="1:11" x14ac:dyDescent="0.2">
      <c r="A134" s="47" t="s">
        <v>125</v>
      </c>
      <c r="B134" s="148">
        <f>+B130</f>
        <v>2641968.8921168139</v>
      </c>
      <c r="C134" s="148">
        <f>+C130</f>
        <v>5119320.2942773793</v>
      </c>
      <c r="D134" s="148">
        <f>+D130</f>
        <v>5120828.6158181801</v>
      </c>
      <c r="E134" s="148">
        <f t="shared" ref="E134:F134" si="51">+E130</f>
        <v>5105895.793535294</v>
      </c>
      <c r="F134" s="154">
        <f t="shared" si="51"/>
        <v>5105952.4925061911</v>
      </c>
      <c r="G134" s="399"/>
      <c r="H134" s="399"/>
      <c r="I134" s="399"/>
      <c r="J134" s="399"/>
      <c r="K134" s="399"/>
    </row>
    <row r="135" spans="1:11" x14ac:dyDescent="0.2">
      <c r="A135" s="11" t="s">
        <v>126</v>
      </c>
      <c r="B135" s="148">
        <f>+'E-Inv AF y Am'!$D$55</f>
        <v>424908.52277664858</v>
      </c>
      <c r="C135" s="148">
        <f>+'E-Inv AF y Am'!$D$55</f>
        <v>424908.52277664858</v>
      </c>
      <c r="D135" s="148">
        <f>+'E-Inv AF y Am'!$D$55</f>
        <v>424908.52277664858</v>
      </c>
      <c r="E135" s="148">
        <f>+'E-Inv AF y Am'!$E$55</f>
        <v>424908.52277664858</v>
      </c>
      <c r="F135" s="154">
        <f>+'E-Inv AF y Am'!$E$55</f>
        <v>424908.52277664858</v>
      </c>
      <c r="G135" s="399"/>
      <c r="H135" s="399"/>
      <c r="I135" s="399"/>
      <c r="J135" s="399"/>
      <c r="K135" s="399"/>
    </row>
    <row r="136" spans="1:11" ht="13.5" thickBot="1" x14ac:dyDescent="0.25">
      <c r="A136" s="40" t="s">
        <v>127</v>
      </c>
      <c r="B136" s="37">
        <f>+B134+B135</f>
        <v>3066877.4148934623</v>
      </c>
      <c r="C136" s="37">
        <f t="shared" ref="C136:F136" si="52">+C134+C135</f>
        <v>5544228.8170540277</v>
      </c>
      <c r="D136" s="37">
        <f t="shared" si="52"/>
        <v>5545737.1385948285</v>
      </c>
      <c r="E136" s="37">
        <f t="shared" si="52"/>
        <v>5530804.3163119424</v>
      </c>
      <c r="F136" s="56">
        <f t="shared" si="52"/>
        <v>5530861.0152828395</v>
      </c>
      <c r="G136" s="402"/>
      <c r="H136" s="378"/>
      <c r="I136" s="378"/>
      <c r="J136" s="378"/>
      <c r="K136" s="378"/>
    </row>
    <row r="137" spans="1:11" ht="14.25" thickTop="1" thickBot="1" x14ac:dyDescent="0.25">
      <c r="A137" s="155"/>
      <c r="B137" s="156"/>
      <c r="C137" s="156"/>
      <c r="D137" s="156"/>
      <c r="E137" s="156"/>
      <c r="F137" s="157"/>
      <c r="G137" s="403"/>
      <c r="H137" s="400"/>
      <c r="I137" s="400"/>
      <c r="J137" s="400"/>
      <c r="K137" s="400"/>
    </row>
    <row r="138" spans="1:11" ht="13.5" thickTop="1" x14ac:dyDescent="0.2">
      <c r="A138" s="42" t="s">
        <v>142</v>
      </c>
      <c r="B138" s="125">
        <f>+B16*B18</f>
        <v>2890492.9598622518</v>
      </c>
      <c r="C138" s="125">
        <f>+C16*C18</f>
        <v>3602570.8169007576</v>
      </c>
      <c r="D138" s="125">
        <f>+D16*D18</f>
        <v>3602570.8169007576</v>
      </c>
      <c r="E138" s="125">
        <f>+E16*E18</f>
        <v>3629085.6731607369</v>
      </c>
      <c r="F138" s="158">
        <f>+F16*F18</f>
        <v>3629085.6731607369</v>
      </c>
      <c r="G138" s="401"/>
      <c r="H138" s="401"/>
      <c r="I138" s="401"/>
      <c r="J138" s="401"/>
      <c r="K138" s="401"/>
    </row>
    <row r="139" spans="1:11" x14ac:dyDescent="0.2">
      <c r="A139" s="47" t="s">
        <v>143</v>
      </c>
      <c r="B139" s="126">
        <f>+B16*B19</f>
        <v>1889698.552286047</v>
      </c>
      <c r="C139" s="126">
        <f>+C16*C19</f>
        <v>2043903.63489664</v>
      </c>
      <c r="D139" s="126">
        <f>+D16*D19</f>
        <v>2043903.63489664</v>
      </c>
      <c r="E139" s="126">
        <f>+E16*E19</f>
        <v>2043010.0205945775</v>
      </c>
      <c r="F139" s="159">
        <f>+F16*F19</f>
        <v>2043010.0205945775</v>
      </c>
      <c r="G139" s="401"/>
      <c r="H139" s="401"/>
      <c r="I139" s="401"/>
      <c r="J139" s="401"/>
      <c r="K139" s="401"/>
    </row>
    <row r="140" spans="1:11" x14ac:dyDescent="0.2">
      <c r="A140" s="11" t="s">
        <v>145</v>
      </c>
      <c r="B140" s="33">
        <f>+B66*B68</f>
        <v>0</v>
      </c>
      <c r="C140" s="33">
        <f>+C66*C68</f>
        <v>0</v>
      </c>
      <c r="D140" s="33">
        <f>+D66*D68</f>
        <v>0</v>
      </c>
      <c r="E140" s="33">
        <f>+E66*E68</f>
        <v>0</v>
      </c>
      <c r="F140" s="46">
        <f>+F66*F68</f>
        <v>0</v>
      </c>
      <c r="G140" s="378"/>
      <c r="H140" s="378"/>
      <c r="I140" s="378"/>
      <c r="J140" s="378"/>
      <c r="K140" s="378"/>
    </row>
    <row r="141" spans="1:11" x14ac:dyDescent="0.2">
      <c r="A141" s="47" t="s">
        <v>146</v>
      </c>
      <c r="B141" s="33">
        <f>+B66*B69</f>
        <v>922661.51741878723</v>
      </c>
      <c r="C141" s="33">
        <f>+C66*C69</f>
        <v>998007.74467808544</v>
      </c>
      <c r="D141" s="33">
        <f>+D66*D69</f>
        <v>998007.74467808544</v>
      </c>
      <c r="E141" s="33">
        <f>+E66*E69</f>
        <v>998021.36793360009</v>
      </c>
      <c r="F141" s="46">
        <f>+F66*F69</f>
        <v>998021.36793360009</v>
      </c>
      <c r="G141" s="378"/>
      <c r="H141" s="378"/>
      <c r="I141" s="378"/>
      <c r="J141" s="378"/>
      <c r="K141" s="378"/>
    </row>
    <row r="142" spans="1:11" x14ac:dyDescent="0.2">
      <c r="A142" s="11" t="s">
        <v>147</v>
      </c>
      <c r="B142" s="33">
        <f>+B86*B88</f>
        <v>307772.53487791045</v>
      </c>
      <c r="C142" s="33">
        <f>+C86*C88</f>
        <v>315044.22519270395</v>
      </c>
      <c r="D142" s="33">
        <f>+D86*D88</f>
        <v>315044.22519270395</v>
      </c>
      <c r="E142" s="33">
        <f>+E86*E88</f>
        <v>315044.51851638732</v>
      </c>
      <c r="F142" s="46">
        <f>+F86*F88</f>
        <v>315044.51851638732</v>
      </c>
      <c r="G142" s="378"/>
      <c r="H142" s="378"/>
      <c r="I142" s="378"/>
      <c r="J142" s="378"/>
      <c r="K142" s="378"/>
    </row>
    <row r="143" spans="1:11" x14ac:dyDescent="0.2">
      <c r="A143" s="47" t="s">
        <v>148</v>
      </c>
      <c r="B143" s="33">
        <f>+B86*B89</f>
        <v>937102.43027837668</v>
      </c>
      <c r="C143" s="33">
        <f>+C86*C89</f>
        <v>1011458.7234728814</v>
      </c>
      <c r="D143" s="33">
        <f>+D86*D89</f>
        <v>1011458.7234728814</v>
      </c>
      <c r="E143" s="33">
        <f>+E86*E89</f>
        <v>1011472.0534047127</v>
      </c>
      <c r="F143" s="46">
        <f>+F86*F89</f>
        <v>1011472.0534047127</v>
      </c>
      <c r="G143" s="378"/>
      <c r="H143" s="378"/>
      <c r="I143" s="378"/>
      <c r="J143" s="378"/>
      <c r="K143" s="378"/>
    </row>
    <row r="144" spans="1:11" x14ac:dyDescent="0.2">
      <c r="A144" s="11" t="s">
        <v>149</v>
      </c>
      <c r="B144" s="33">
        <f>+B97-B138-B140-B142</f>
        <v>8001734.505259838</v>
      </c>
      <c r="C144" s="33">
        <f t="shared" ref="C144:F144" si="53">+C97-C138-C140-C142</f>
        <v>12882384.957906539</v>
      </c>
      <c r="D144" s="33">
        <f t="shared" si="53"/>
        <v>12882384.957906539</v>
      </c>
      <c r="E144" s="33">
        <f t="shared" si="53"/>
        <v>12855869.808322875</v>
      </c>
      <c r="F144" s="46">
        <f t="shared" si="53"/>
        <v>12855869.808322875</v>
      </c>
      <c r="G144" s="378"/>
      <c r="H144" s="378"/>
      <c r="I144" s="378"/>
      <c r="J144" s="378"/>
      <c r="K144" s="378"/>
    </row>
    <row r="145" spans="1:13" ht="13.5" thickBot="1" x14ac:dyDescent="0.25">
      <c r="A145" s="40" t="s">
        <v>144</v>
      </c>
      <c r="B145" s="149">
        <f>+(B139+B141+B143)/B144</f>
        <v>0.46858121792450746</v>
      </c>
      <c r="C145" s="149">
        <f t="shared" ref="C145:F145" si="54">+(C139+C141+C143)/C144</f>
        <v>0.31464438582545684</v>
      </c>
      <c r="D145" s="149">
        <f t="shared" si="54"/>
        <v>0.31464438582545684</v>
      </c>
      <c r="E145" s="149">
        <f t="shared" si="54"/>
        <v>0.31522592421629103</v>
      </c>
      <c r="F145" s="160">
        <f t="shared" si="54"/>
        <v>0.31522592421629103</v>
      </c>
      <c r="G145" s="397"/>
      <c r="H145" s="397"/>
      <c r="I145" s="397"/>
      <c r="J145" s="397"/>
      <c r="K145" s="397"/>
    </row>
    <row r="146" spans="1:13" ht="16.5" thickTop="1" x14ac:dyDescent="0.25">
      <c r="A146" s="91" t="s">
        <v>400</v>
      </c>
    </row>
    <row r="147" spans="1:13" ht="15.75" x14ac:dyDescent="0.25">
      <c r="A147" s="91"/>
      <c r="E147" s="180"/>
      <c r="F147" s="178"/>
    </row>
    <row r="148" spans="1:13" x14ac:dyDescent="0.2">
      <c r="B148" s="179" t="s">
        <v>24</v>
      </c>
      <c r="C148" s="176">
        <v>0</v>
      </c>
      <c r="D148" s="176">
        <v>0.1</v>
      </c>
      <c r="E148" s="176">
        <v>0.2</v>
      </c>
      <c r="F148" s="176">
        <v>0.3</v>
      </c>
      <c r="G148" s="176">
        <v>0.4</v>
      </c>
      <c r="H148" s="176">
        <v>0.5</v>
      </c>
      <c r="I148" s="176">
        <v>0.6</v>
      </c>
      <c r="J148" s="176">
        <v>0.7</v>
      </c>
      <c r="K148" s="176">
        <v>0.8</v>
      </c>
      <c r="L148" s="176">
        <v>0.9</v>
      </c>
      <c r="M148" s="176">
        <v>1</v>
      </c>
    </row>
    <row r="149" spans="1:13" x14ac:dyDescent="0.2">
      <c r="A149" s="109" t="s">
        <v>253</v>
      </c>
      <c r="B149" s="173">
        <f>+B138+B140+B142</f>
        <v>3198265.494740162</v>
      </c>
      <c r="C149" s="173">
        <f>+C148*$B$149</f>
        <v>0</v>
      </c>
      <c r="D149" s="173">
        <f t="shared" ref="D149:M149" si="55">+D148*$B$149</f>
        <v>319826.54947401624</v>
      </c>
      <c r="E149" s="173">
        <f t="shared" si="55"/>
        <v>639653.09894803248</v>
      </c>
      <c r="F149" s="173">
        <f t="shared" si="55"/>
        <v>959479.64842204854</v>
      </c>
      <c r="G149" s="173">
        <f t="shared" si="55"/>
        <v>1279306.197896065</v>
      </c>
      <c r="H149" s="173">
        <f t="shared" si="55"/>
        <v>1599132.747370081</v>
      </c>
      <c r="I149" s="173">
        <f t="shared" si="55"/>
        <v>1918959.2968440971</v>
      </c>
      <c r="J149" s="173">
        <f t="shared" si="55"/>
        <v>2238785.8463181132</v>
      </c>
      <c r="K149" s="173">
        <f t="shared" si="55"/>
        <v>2558612.3957921299</v>
      </c>
      <c r="L149" s="173">
        <f t="shared" si="55"/>
        <v>2878438.9452661457</v>
      </c>
      <c r="M149" s="173">
        <f t="shared" si="55"/>
        <v>3198265.494740162</v>
      </c>
    </row>
    <row r="150" spans="1:13" x14ac:dyDescent="0.2">
      <c r="A150" s="109" t="s">
        <v>254</v>
      </c>
      <c r="B150" s="173">
        <f>+B139+B141+B143</f>
        <v>3749462.499983211</v>
      </c>
      <c r="C150" s="173">
        <f>+B150</f>
        <v>3749462.499983211</v>
      </c>
      <c r="D150" s="173">
        <f t="shared" ref="D150:M150" si="56">+C150</f>
        <v>3749462.499983211</v>
      </c>
      <c r="E150" s="173">
        <f t="shared" si="56"/>
        <v>3749462.499983211</v>
      </c>
      <c r="F150" s="173">
        <f t="shared" si="56"/>
        <v>3749462.499983211</v>
      </c>
      <c r="G150" s="173">
        <f t="shared" si="56"/>
        <v>3749462.499983211</v>
      </c>
      <c r="H150" s="173">
        <f t="shared" si="56"/>
        <v>3749462.499983211</v>
      </c>
      <c r="I150" s="173">
        <f t="shared" si="56"/>
        <v>3749462.499983211</v>
      </c>
      <c r="J150" s="173">
        <f t="shared" si="56"/>
        <v>3749462.499983211</v>
      </c>
      <c r="K150" s="173">
        <f t="shared" si="56"/>
        <v>3749462.499983211</v>
      </c>
      <c r="L150" s="173">
        <f t="shared" si="56"/>
        <v>3749462.499983211</v>
      </c>
      <c r="M150" s="173">
        <f t="shared" si="56"/>
        <v>3749462.499983211</v>
      </c>
    </row>
    <row r="151" spans="1:13" x14ac:dyDescent="0.2">
      <c r="A151" s="174" t="s">
        <v>256</v>
      </c>
      <c r="B151" s="173">
        <f>+B149+B150</f>
        <v>6947727.9947233731</v>
      </c>
      <c r="C151" s="173">
        <f>+C150+C149</f>
        <v>3749462.499983211</v>
      </c>
      <c r="D151" s="173">
        <f>+D150+D149</f>
        <v>4069289.0494572273</v>
      </c>
      <c r="E151" s="173">
        <f t="shared" ref="E151:M151" si="57">+E150+E149</f>
        <v>4389115.5989312436</v>
      </c>
      <c r="F151" s="173">
        <f t="shared" si="57"/>
        <v>4708942.1484052595</v>
      </c>
      <c r="G151" s="173">
        <f t="shared" si="57"/>
        <v>5028768.6978792762</v>
      </c>
      <c r="H151" s="173">
        <f t="shared" si="57"/>
        <v>5348595.2473532921</v>
      </c>
      <c r="I151" s="173">
        <f t="shared" si="57"/>
        <v>5668421.7968273079</v>
      </c>
      <c r="J151" s="173">
        <f t="shared" si="57"/>
        <v>5988248.3463013247</v>
      </c>
      <c r="K151" s="173">
        <f t="shared" si="57"/>
        <v>6308074.8957753405</v>
      </c>
      <c r="L151" s="173">
        <f t="shared" si="57"/>
        <v>6627901.4452493563</v>
      </c>
      <c r="M151" s="173">
        <f t="shared" si="57"/>
        <v>6947727.9947233731</v>
      </c>
    </row>
    <row r="152" spans="1:13" x14ac:dyDescent="0.2">
      <c r="A152" s="174" t="s">
        <v>255</v>
      </c>
      <c r="B152" s="175">
        <f>+B97</f>
        <v>11200000</v>
      </c>
      <c r="C152" s="173">
        <f>+C148*$B$152</f>
        <v>0</v>
      </c>
      <c r="D152" s="173">
        <f t="shared" ref="D152:M152" si="58">+D148*$B$152</f>
        <v>1120000</v>
      </c>
      <c r="E152" s="173">
        <f t="shared" si="58"/>
        <v>2240000</v>
      </c>
      <c r="F152" s="173">
        <f t="shared" si="58"/>
        <v>3360000</v>
      </c>
      <c r="G152" s="173">
        <f t="shared" si="58"/>
        <v>4480000</v>
      </c>
      <c r="H152" s="173">
        <f t="shared" si="58"/>
        <v>5600000</v>
      </c>
      <c r="I152" s="173">
        <f t="shared" si="58"/>
        <v>6720000</v>
      </c>
      <c r="J152" s="173">
        <f t="shared" si="58"/>
        <v>7839999.9999999991</v>
      </c>
      <c r="K152" s="173">
        <f t="shared" si="58"/>
        <v>8960000</v>
      </c>
      <c r="L152" s="173">
        <f t="shared" si="58"/>
        <v>10080000</v>
      </c>
      <c r="M152" s="173">
        <f t="shared" si="58"/>
        <v>11200000</v>
      </c>
    </row>
    <row r="153" spans="1:13" x14ac:dyDescent="0.2">
      <c r="A153" s="177"/>
      <c r="B153" s="180"/>
      <c r="C153" s="180"/>
      <c r="D153" s="173"/>
      <c r="E153" s="173"/>
      <c r="F153" s="173"/>
      <c r="G153" s="173"/>
      <c r="H153" s="173"/>
      <c r="I153" s="173"/>
      <c r="J153" s="173"/>
      <c r="K153" s="173"/>
      <c r="L153" s="173"/>
      <c r="M153" s="173"/>
    </row>
    <row r="154" spans="1:13" x14ac:dyDescent="0.2">
      <c r="B154" s="109"/>
      <c r="C154" s="109"/>
      <c r="F154" s="178"/>
    </row>
    <row r="155" spans="1:13" x14ac:dyDescent="0.2">
      <c r="B155" s="179" t="s">
        <v>28</v>
      </c>
      <c r="C155" s="176">
        <v>0</v>
      </c>
      <c r="D155" s="176">
        <v>0.1</v>
      </c>
      <c r="E155" s="176">
        <v>0.2</v>
      </c>
      <c r="F155" s="176">
        <v>0.3</v>
      </c>
      <c r="G155" s="176">
        <v>0.4</v>
      </c>
      <c r="H155" s="176">
        <v>0.5</v>
      </c>
      <c r="I155" s="176">
        <v>0.6</v>
      </c>
      <c r="J155" s="176">
        <v>0.7</v>
      </c>
      <c r="K155" s="176">
        <v>0.8</v>
      </c>
      <c r="L155" s="176">
        <v>0.9</v>
      </c>
      <c r="M155" s="176">
        <v>1</v>
      </c>
    </row>
    <row r="156" spans="1:13" x14ac:dyDescent="0.2">
      <c r="A156" s="109" t="s">
        <v>253</v>
      </c>
      <c r="B156" s="173">
        <f>+F138+F140+F142</f>
        <v>3944130.1916771242</v>
      </c>
      <c r="C156" s="178">
        <f>+$B$156*C155</f>
        <v>0</v>
      </c>
      <c r="D156" s="178">
        <f t="shared" ref="D156:M156" si="59">+$B$156*D155</f>
        <v>394413.01916771242</v>
      </c>
      <c r="E156" s="178">
        <f t="shared" si="59"/>
        <v>788826.03833542485</v>
      </c>
      <c r="F156" s="178">
        <f t="shared" si="59"/>
        <v>1183239.0575031373</v>
      </c>
      <c r="G156" s="178">
        <f t="shared" si="59"/>
        <v>1577652.0766708497</v>
      </c>
      <c r="H156" s="178">
        <f t="shared" si="59"/>
        <v>1972065.0958385621</v>
      </c>
      <c r="I156" s="178">
        <f t="shared" si="59"/>
        <v>2366478.1150062745</v>
      </c>
      <c r="J156" s="178">
        <f t="shared" si="59"/>
        <v>2760891.134173987</v>
      </c>
      <c r="K156" s="178">
        <f t="shared" si="59"/>
        <v>3155304.1533416994</v>
      </c>
      <c r="L156" s="178">
        <f t="shared" si="59"/>
        <v>3549717.1725094118</v>
      </c>
      <c r="M156" s="178">
        <f t="shared" si="59"/>
        <v>3944130.1916771242</v>
      </c>
    </row>
    <row r="157" spans="1:13" x14ac:dyDescent="0.2">
      <c r="A157" s="109" t="s">
        <v>254</v>
      </c>
      <c r="B157" s="173">
        <f>+F139+F141+F143</f>
        <v>4052503.4419328901</v>
      </c>
      <c r="C157" s="178">
        <f>+B157</f>
        <v>4052503.4419328901</v>
      </c>
      <c r="D157" s="178">
        <f t="shared" ref="D157:M157" si="60">+C157</f>
        <v>4052503.4419328901</v>
      </c>
      <c r="E157" s="178">
        <f t="shared" si="60"/>
        <v>4052503.4419328901</v>
      </c>
      <c r="F157" s="178">
        <f t="shared" si="60"/>
        <v>4052503.4419328901</v>
      </c>
      <c r="G157" s="178">
        <f t="shared" si="60"/>
        <v>4052503.4419328901</v>
      </c>
      <c r="H157" s="178">
        <f t="shared" si="60"/>
        <v>4052503.4419328901</v>
      </c>
      <c r="I157" s="178">
        <f t="shared" si="60"/>
        <v>4052503.4419328901</v>
      </c>
      <c r="J157" s="178">
        <f t="shared" si="60"/>
        <v>4052503.4419328901</v>
      </c>
      <c r="K157" s="178">
        <f t="shared" si="60"/>
        <v>4052503.4419328901</v>
      </c>
      <c r="L157" s="178">
        <f t="shared" si="60"/>
        <v>4052503.4419328901</v>
      </c>
      <c r="M157" s="178">
        <f t="shared" si="60"/>
        <v>4052503.4419328901</v>
      </c>
    </row>
    <row r="158" spans="1:13" x14ac:dyDescent="0.2">
      <c r="A158" s="174" t="s">
        <v>256</v>
      </c>
      <c r="B158" s="173">
        <f>+B156+B157</f>
        <v>7996633.6336100139</v>
      </c>
      <c r="C158" s="178">
        <f t="shared" ref="C158:M158" si="61">+C156+C157</f>
        <v>4052503.4419328901</v>
      </c>
      <c r="D158" s="178">
        <f>+D156+D157</f>
        <v>4446916.4611006025</v>
      </c>
      <c r="E158" s="178">
        <f t="shared" si="61"/>
        <v>4841329.4802683145</v>
      </c>
      <c r="F158" s="178">
        <f t="shared" si="61"/>
        <v>5235742.4994360274</v>
      </c>
      <c r="G158" s="178">
        <f t="shared" si="61"/>
        <v>5630155.5186037403</v>
      </c>
      <c r="H158" s="178">
        <f t="shared" si="61"/>
        <v>6024568.5377714522</v>
      </c>
      <c r="I158" s="178">
        <f t="shared" si="61"/>
        <v>6418981.5569391642</v>
      </c>
      <c r="J158" s="178">
        <f t="shared" si="61"/>
        <v>6813394.5761068771</v>
      </c>
      <c r="K158" s="178">
        <f t="shared" si="61"/>
        <v>7207807.59527459</v>
      </c>
      <c r="L158" s="178">
        <f t="shared" si="61"/>
        <v>7602220.6144423019</v>
      </c>
      <c r="M158" s="178">
        <f t="shared" si="61"/>
        <v>7996633.6336100139</v>
      </c>
    </row>
    <row r="159" spans="1:13" x14ac:dyDescent="0.2">
      <c r="A159" s="174" t="s">
        <v>255</v>
      </c>
      <c r="B159" s="175">
        <f>+F97</f>
        <v>16800000</v>
      </c>
      <c r="C159" s="178">
        <f>+$B$159*C155</f>
        <v>0</v>
      </c>
      <c r="D159" s="178">
        <f t="shared" ref="D159:M159" si="62">+$B$159*D155</f>
        <v>1680000</v>
      </c>
      <c r="E159" s="178">
        <f t="shared" si="62"/>
        <v>3360000</v>
      </c>
      <c r="F159" s="178">
        <f t="shared" si="62"/>
        <v>5040000</v>
      </c>
      <c r="G159" s="178">
        <f t="shared" si="62"/>
        <v>6720000</v>
      </c>
      <c r="H159" s="178">
        <f t="shared" si="62"/>
        <v>8400000</v>
      </c>
      <c r="I159" s="178">
        <f t="shared" si="62"/>
        <v>10080000</v>
      </c>
      <c r="J159" s="178">
        <f t="shared" si="62"/>
        <v>11760000</v>
      </c>
      <c r="K159" s="178">
        <f t="shared" si="62"/>
        <v>13440000</v>
      </c>
      <c r="L159" s="178">
        <f t="shared" si="62"/>
        <v>15120000</v>
      </c>
      <c r="M159" s="178">
        <f t="shared" si="62"/>
        <v>16800000</v>
      </c>
    </row>
    <row r="160" spans="1:13" x14ac:dyDescent="0.2">
      <c r="D160" s="173"/>
      <c r="E160" s="173"/>
      <c r="F160" s="173"/>
    </row>
    <row r="161" spans="7:8" x14ac:dyDescent="0.2">
      <c r="G161" s="455" t="s">
        <v>266</v>
      </c>
      <c r="H161" s="456"/>
    </row>
    <row r="162" spans="7:8" ht="13.5" thickBot="1" x14ac:dyDescent="0.25">
      <c r="G162" s="181" t="s">
        <v>259</v>
      </c>
      <c r="H162" s="182" t="s">
        <v>260</v>
      </c>
    </row>
    <row r="163" spans="7:8" ht="13.5" thickTop="1" x14ac:dyDescent="0.2">
      <c r="G163" s="183" t="s">
        <v>257</v>
      </c>
      <c r="H163" s="184">
        <f>+SLOPE(C152:M152,C148:M148)</f>
        <v>11200000</v>
      </c>
    </row>
    <row r="164" spans="7:8" x14ac:dyDescent="0.2">
      <c r="G164" s="185" t="s">
        <v>258</v>
      </c>
      <c r="H164" s="186">
        <f>+INTERCEPT(C152:M152,C148:M148)</f>
        <v>0</v>
      </c>
    </row>
    <row r="165" spans="7:8" x14ac:dyDescent="0.2">
      <c r="G165" s="187"/>
      <c r="H165" s="186"/>
    </row>
    <row r="166" spans="7:8" ht="13.5" thickBot="1" x14ac:dyDescent="0.25">
      <c r="G166" s="188" t="s">
        <v>259</v>
      </c>
      <c r="H166" s="189" t="s">
        <v>261</v>
      </c>
    </row>
    <row r="167" spans="7:8" ht="13.5" thickTop="1" x14ac:dyDescent="0.2">
      <c r="G167" s="183" t="s">
        <v>257</v>
      </c>
      <c r="H167" s="184">
        <f>+SLOPE(C151:M151,C148:M148)</f>
        <v>3198265.4947401616</v>
      </c>
    </row>
    <row r="168" spans="7:8" x14ac:dyDescent="0.2">
      <c r="G168" s="185" t="s">
        <v>258</v>
      </c>
      <c r="H168" s="184">
        <f>+INTERCEPT(C151:M151,C148:M148)</f>
        <v>3749462.499983211</v>
      </c>
    </row>
    <row r="169" spans="7:8" x14ac:dyDescent="0.2">
      <c r="G169" s="187"/>
      <c r="H169" s="186"/>
    </row>
    <row r="170" spans="7:8" ht="13.5" thickBot="1" x14ac:dyDescent="0.25">
      <c r="G170" s="188" t="s">
        <v>262</v>
      </c>
      <c r="H170" s="189" t="s">
        <v>263</v>
      </c>
    </row>
    <row r="171" spans="7:8" ht="13.5" thickTop="1" x14ac:dyDescent="0.2">
      <c r="G171" s="190" t="s">
        <v>264</v>
      </c>
      <c r="H171" s="191">
        <f>+H168/(H163-H167)</f>
        <v>0.46858121792450746</v>
      </c>
    </row>
    <row r="172" spans="7:8" x14ac:dyDescent="0.2">
      <c r="G172" s="192" t="s">
        <v>265</v>
      </c>
      <c r="H172" s="193">
        <f>+H171*H163</f>
        <v>5248109.6407544836</v>
      </c>
    </row>
    <row r="175" spans="7:8" x14ac:dyDescent="0.2">
      <c r="G175" s="216"/>
    </row>
    <row r="176" spans="7:8" x14ac:dyDescent="0.2">
      <c r="G176" s="216"/>
    </row>
    <row r="177" spans="7:8" x14ac:dyDescent="0.2">
      <c r="G177" s="216"/>
    </row>
    <row r="187" spans="7:8" x14ac:dyDescent="0.2">
      <c r="G187" s="455" t="s">
        <v>403</v>
      </c>
      <c r="H187" s="456"/>
    </row>
    <row r="188" spans="7:8" ht="13.5" thickBot="1" x14ac:dyDescent="0.25">
      <c r="G188" s="188" t="s">
        <v>259</v>
      </c>
      <c r="H188" s="189" t="s">
        <v>260</v>
      </c>
    </row>
    <row r="189" spans="7:8" ht="13.5" thickTop="1" x14ac:dyDescent="0.2">
      <c r="G189" s="183" t="s">
        <v>257</v>
      </c>
      <c r="H189" s="184">
        <f>+SLOPE(C159:M159,C155:M155)</f>
        <v>16800000</v>
      </c>
    </row>
    <row r="190" spans="7:8" x14ac:dyDescent="0.2">
      <c r="G190" s="185" t="s">
        <v>258</v>
      </c>
      <c r="H190" s="186">
        <f>+INTERCEPT(C159:M159,C155:M155)</f>
        <v>0</v>
      </c>
    </row>
    <row r="191" spans="7:8" x14ac:dyDescent="0.2">
      <c r="G191" s="187"/>
      <c r="H191" s="186"/>
    </row>
    <row r="192" spans="7:8" ht="13.5" thickBot="1" x14ac:dyDescent="0.25">
      <c r="G192" s="188" t="s">
        <v>259</v>
      </c>
      <c r="H192" s="189" t="s">
        <v>261</v>
      </c>
    </row>
    <row r="193" spans="7:8" ht="13.5" thickTop="1" x14ac:dyDescent="0.2">
      <c r="G193" s="183" t="s">
        <v>257</v>
      </c>
      <c r="H193" s="184">
        <f>+SLOPE(C158:M158,C155:M155)</f>
        <v>3944130.1916771242</v>
      </c>
    </row>
    <row r="194" spans="7:8" x14ac:dyDescent="0.2">
      <c r="G194" s="185" t="s">
        <v>258</v>
      </c>
      <c r="H194" s="184">
        <f>+INTERCEPT(C158:M158,C155:M155)</f>
        <v>4052503.4419328901</v>
      </c>
    </row>
    <row r="195" spans="7:8" x14ac:dyDescent="0.2">
      <c r="G195" s="187"/>
      <c r="H195" s="186"/>
    </row>
    <row r="196" spans="7:8" ht="13.5" thickBot="1" x14ac:dyDescent="0.25">
      <c r="G196" s="188" t="s">
        <v>262</v>
      </c>
      <c r="H196" s="189" t="s">
        <v>263</v>
      </c>
    </row>
    <row r="197" spans="7:8" ht="13.5" thickTop="1" x14ac:dyDescent="0.2">
      <c r="G197" s="190" t="s">
        <v>264</v>
      </c>
      <c r="H197" s="310">
        <f>+H194/(H189-H193)</f>
        <v>0.31522592421629098</v>
      </c>
    </row>
    <row r="198" spans="7:8" x14ac:dyDescent="0.2">
      <c r="G198" s="192" t="s">
        <v>265</v>
      </c>
      <c r="H198" s="193">
        <f>+H197*H189</f>
        <v>5295795.5268336888</v>
      </c>
    </row>
  </sheetData>
  <mergeCells count="10">
    <mergeCell ref="B38:F38"/>
    <mergeCell ref="B72:F72"/>
    <mergeCell ref="A92:F92"/>
    <mergeCell ref="G161:H161"/>
    <mergeCell ref="G187:H187"/>
    <mergeCell ref="B2:F2"/>
    <mergeCell ref="A1:F1"/>
    <mergeCell ref="B6:F6"/>
    <mergeCell ref="B21:F21"/>
    <mergeCell ref="B22:F22"/>
  </mergeCells>
  <pageMargins left="0.32" right="0.75" top="0.6" bottom="0.24" header="0" footer="0"/>
  <pageSetup paperSize="9" scale="68" fitToHeight="4" orientation="landscape" horizontalDpi="300" verticalDpi="300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35"/>
  <sheetViews>
    <sheetView zoomScale="90" zoomScaleNormal="90" workbookViewId="0">
      <selection activeCell="E37" sqref="E37"/>
    </sheetView>
  </sheetViews>
  <sheetFormatPr baseColWidth="10" defaultRowHeight="12.75" x14ac:dyDescent="0.2"/>
  <cols>
    <col min="1" max="1" width="45.5703125" style="24" bestFit="1" customWidth="1"/>
    <col min="2" max="2" width="14.85546875" style="24" customWidth="1"/>
    <col min="3" max="3" width="15.7109375" style="24" customWidth="1"/>
    <col min="4" max="12" width="16" style="24" bestFit="1" customWidth="1"/>
    <col min="13" max="13" width="17.42578125" style="24" bestFit="1" customWidth="1"/>
    <col min="14" max="16384" width="11.42578125" style="24"/>
  </cols>
  <sheetData>
    <row r="1" spans="1:13" ht="16.5" thickTop="1" x14ac:dyDescent="0.25">
      <c r="A1" s="58" t="s">
        <v>175</v>
      </c>
      <c r="B1" s="59"/>
      <c r="C1" s="59"/>
      <c r="D1" s="59"/>
      <c r="E1" s="59"/>
      <c r="F1" s="59"/>
      <c r="G1" s="343"/>
      <c r="H1" s="404"/>
      <c r="I1" s="404"/>
      <c r="J1" s="404"/>
      <c r="K1" s="404"/>
      <c r="L1" s="404"/>
    </row>
    <row r="2" spans="1:13" ht="13.5" thickBot="1" x14ac:dyDescent="0.25">
      <c r="A2" s="97" t="s">
        <v>80</v>
      </c>
      <c r="B2" s="135" t="s">
        <v>23</v>
      </c>
      <c r="C2" s="135" t="s">
        <v>24</v>
      </c>
      <c r="D2" s="135" t="s">
        <v>25</v>
      </c>
      <c r="E2" s="135" t="s">
        <v>26</v>
      </c>
      <c r="F2" s="135" t="s">
        <v>27</v>
      </c>
      <c r="G2" s="136" t="s">
        <v>28</v>
      </c>
      <c r="H2" s="366"/>
      <c r="I2" s="366"/>
      <c r="J2" s="366"/>
      <c r="K2" s="366"/>
      <c r="L2" s="366"/>
    </row>
    <row r="3" spans="1:13" ht="13.5" thickTop="1" x14ac:dyDescent="0.2">
      <c r="A3" s="194" t="s">
        <v>150</v>
      </c>
      <c r="B3" s="195"/>
      <c r="C3" s="195"/>
      <c r="D3" s="195"/>
      <c r="E3" s="195"/>
      <c r="F3" s="195"/>
      <c r="G3" s="196"/>
      <c r="H3" s="405"/>
      <c r="I3" s="405"/>
      <c r="J3" s="405"/>
      <c r="K3" s="405"/>
      <c r="L3" s="405"/>
    </row>
    <row r="4" spans="1:13" x14ac:dyDescent="0.2">
      <c r="A4" s="197" t="s">
        <v>151</v>
      </c>
      <c r="B4" s="21">
        <f>+C4*0.8</f>
        <v>179200</v>
      </c>
      <c r="C4" s="21">
        <f>+'E-Costos'!B97*0.02</f>
        <v>224000</v>
      </c>
      <c r="D4" s="21">
        <f>+'E-Costos'!C97*0.02</f>
        <v>336000</v>
      </c>
      <c r="E4" s="21">
        <f>+'E-Costos'!D97*0.02</f>
        <v>336000</v>
      </c>
      <c r="F4" s="21">
        <f>+'E-Costos'!E97*0.02</f>
        <v>336000</v>
      </c>
      <c r="G4" s="22">
        <f>+'E-Costos'!F97*0.02</f>
        <v>336000</v>
      </c>
      <c r="H4" s="406"/>
      <c r="I4" s="406"/>
      <c r="J4" s="406"/>
      <c r="K4" s="406"/>
      <c r="L4" s="406"/>
    </row>
    <row r="5" spans="1:13" x14ac:dyDescent="0.2">
      <c r="A5" s="197" t="s">
        <v>176</v>
      </c>
      <c r="B5" s="21">
        <v>0</v>
      </c>
      <c r="C5" s="21">
        <f>+'E-Costos'!B97*(30/365)</f>
        <v>920547.94520547939</v>
      </c>
      <c r="D5" s="21">
        <f>+'E-Costos'!C97*(30/365)</f>
        <v>1380821.9178082191</v>
      </c>
      <c r="E5" s="21">
        <f>+'E-Costos'!D97*(30/365)</f>
        <v>1380821.9178082191</v>
      </c>
      <c r="F5" s="21">
        <f>+'E-Costos'!E97*(30/365)</f>
        <v>1380821.9178082191</v>
      </c>
      <c r="G5" s="22">
        <f>+'E-Costos'!F97*(30/365)</f>
        <v>1380821.9178082191</v>
      </c>
      <c r="H5" s="406"/>
      <c r="I5" s="406"/>
      <c r="J5" s="406"/>
      <c r="K5" s="406"/>
      <c r="L5" s="406"/>
    </row>
    <row r="6" spans="1:13" x14ac:dyDescent="0.2">
      <c r="A6" s="198"/>
      <c r="B6" s="14"/>
      <c r="C6" s="14"/>
      <c r="D6" s="14"/>
      <c r="E6" s="14"/>
      <c r="F6" s="14"/>
      <c r="G6" s="15"/>
      <c r="H6" s="405"/>
      <c r="I6" s="405"/>
      <c r="J6" s="405"/>
      <c r="K6" s="405"/>
      <c r="L6" s="405"/>
    </row>
    <row r="7" spans="1:13" x14ac:dyDescent="0.2">
      <c r="A7" s="197" t="s">
        <v>152</v>
      </c>
      <c r="B7" s="14"/>
      <c r="C7" s="14"/>
      <c r="D7" s="14"/>
      <c r="E7" s="14"/>
      <c r="F7" s="14"/>
      <c r="G7" s="15"/>
      <c r="H7" s="405"/>
      <c r="I7" s="405"/>
      <c r="J7" s="405"/>
      <c r="K7" s="405"/>
      <c r="L7" s="405"/>
    </row>
    <row r="8" spans="1:13" x14ac:dyDescent="0.2">
      <c r="A8" s="198" t="s">
        <v>153</v>
      </c>
      <c r="B8" s="21">
        <f>+C8*0.2</f>
        <v>45487.037681159476</v>
      </c>
      <c r="C8" s="21">
        <f>+'[2]EJ 10'!$E$31*40+'[2]EJ 10'!$G$31*34+80000/12*6.46</f>
        <v>227435.18840579735</v>
      </c>
      <c r="D8" s="21">
        <f>+'[2]EJ 10'!$E$31*40+'[2]EJ 10'!$G$31*34+80000/12*6.46</f>
        <v>227435.18840579735</v>
      </c>
      <c r="E8" s="21">
        <f>+'[2]EJ 10'!$E$31*40+'[2]EJ 10'!$G$31*34+80000/12*6.46</f>
        <v>227435.18840579735</v>
      </c>
      <c r="F8" s="21">
        <f>+'[2]EJ 10'!$E$31*40+'[2]EJ 10'!$G$31*34+80000/12*6.46</f>
        <v>227435.18840579735</v>
      </c>
      <c r="G8" s="21">
        <f>+'[2]EJ 10'!$E$31*40+'[2]EJ 10'!$G$31*34+80000/12*6.46</f>
        <v>227435.18840579735</v>
      </c>
      <c r="H8" s="406"/>
      <c r="I8" s="406"/>
      <c r="J8" s="406"/>
      <c r="K8" s="406"/>
      <c r="L8" s="405"/>
      <c r="M8" s="215"/>
    </row>
    <row r="9" spans="1:13" x14ac:dyDescent="0.2">
      <c r="A9" s="198" t="s">
        <v>154</v>
      </c>
      <c r="B9" s="21">
        <f>C9*0.5</f>
        <v>16000</v>
      </c>
      <c r="C9" s="21">
        <v>32000</v>
      </c>
      <c r="D9" s="21">
        <v>32000</v>
      </c>
      <c r="E9" s="21">
        <v>32000</v>
      </c>
      <c r="F9" s="21">
        <v>32000</v>
      </c>
      <c r="G9" s="21">
        <v>32000</v>
      </c>
      <c r="H9" s="406"/>
      <c r="I9" s="406"/>
      <c r="J9" s="406"/>
      <c r="K9" s="406"/>
      <c r="L9" s="405"/>
      <c r="M9" s="215"/>
    </row>
    <row r="10" spans="1:13" x14ac:dyDescent="0.2">
      <c r="A10" s="198" t="s">
        <v>158</v>
      </c>
      <c r="B10" s="21">
        <v>0</v>
      </c>
      <c r="C10" s="21">
        <f>+'E-Costos'!B36</f>
        <v>100970.4780274459</v>
      </c>
      <c r="D10" s="21">
        <f>+'E-Costos'!C36</f>
        <v>88682.211129470292</v>
      </c>
      <c r="E10" s="21">
        <f>+'E-Costos'!D36</f>
        <v>88682.211129470292</v>
      </c>
      <c r="F10" s="21">
        <f>+'E-Costos'!E36</f>
        <v>88584.454283096376</v>
      </c>
      <c r="G10" s="22">
        <f>+'E-Costos'!F36</f>
        <v>88584.454283096376</v>
      </c>
      <c r="H10" s="406"/>
      <c r="I10" s="406"/>
      <c r="J10" s="406"/>
      <c r="K10" s="406"/>
      <c r="L10" s="405"/>
      <c r="M10" s="215"/>
    </row>
    <row r="11" spans="1:13" x14ac:dyDescent="0.2">
      <c r="A11" s="198" t="s">
        <v>159</v>
      </c>
      <c r="B11" s="21">
        <v>0</v>
      </c>
      <c r="C11" s="21">
        <f>+B11+'E-Costos'!B115</f>
        <v>38267.903742847673</v>
      </c>
      <c r="D11" s="21">
        <f>+C11+'E-Costos'!C115</f>
        <v>47955.616260130279</v>
      </c>
      <c r="E11" s="21">
        <f>+D11+'E-Costos'!D115</f>
        <v>47955.616260130279</v>
      </c>
      <c r="F11" s="21">
        <f>+E11+'E-Costos'!E115</f>
        <v>47955.616260130279</v>
      </c>
      <c r="G11" s="22">
        <f>+F11+'E-Costos'!F115</f>
        <v>47955.616260130279</v>
      </c>
      <c r="H11" s="406"/>
      <c r="I11" s="406"/>
      <c r="J11" s="406"/>
      <c r="K11" s="406"/>
      <c r="L11" s="406"/>
      <c r="M11" s="215"/>
    </row>
    <row r="12" spans="1:13" x14ac:dyDescent="0.2">
      <c r="A12" s="198"/>
      <c r="B12" s="14"/>
      <c r="C12" s="14"/>
      <c r="D12" s="14"/>
      <c r="E12" s="14"/>
      <c r="F12" s="14"/>
      <c r="G12" s="15"/>
      <c r="H12" s="405"/>
      <c r="I12" s="405"/>
      <c r="J12" s="405"/>
      <c r="K12" s="405"/>
      <c r="L12" s="405"/>
    </row>
    <row r="13" spans="1:13" x14ac:dyDescent="0.2">
      <c r="A13" s="197" t="s">
        <v>155</v>
      </c>
      <c r="B13" s="84">
        <f>+SUM(B4:B11)</f>
        <v>240687.03768115948</v>
      </c>
      <c r="C13" s="84">
        <f t="shared" ref="C13:G13" si="0">+SUM(C4:C11)</f>
        <v>1543221.5153815704</v>
      </c>
      <c r="D13" s="84">
        <f t="shared" si="0"/>
        <v>2112894.9336036169</v>
      </c>
      <c r="E13" s="84">
        <f t="shared" si="0"/>
        <v>2112894.9336036169</v>
      </c>
      <c r="F13" s="84">
        <f t="shared" si="0"/>
        <v>2112797.176757243</v>
      </c>
      <c r="G13" s="85">
        <f t="shared" si="0"/>
        <v>2112797.176757243</v>
      </c>
      <c r="H13" s="370"/>
      <c r="I13" s="370"/>
      <c r="J13" s="370"/>
      <c r="K13" s="370"/>
      <c r="L13" s="370"/>
    </row>
    <row r="14" spans="1:13" x14ac:dyDescent="0.2">
      <c r="A14" s="197" t="s">
        <v>156</v>
      </c>
      <c r="B14" s="14"/>
      <c r="C14" s="14"/>
      <c r="D14" s="14"/>
      <c r="E14" s="14"/>
      <c r="F14" s="14"/>
      <c r="G14" s="15"/>
      <c r="H14" s="405"/>
      <c r="I14" s="405"/>
      <c r="J14" s="405"/>
      <c r="K14" s="405"/>
      <c r="L14" s="405"/>
    </row>
    <row r="15" spans="1:13" x14ac:dyDescent="0.2">
      <c r="A15" s="198" t="s">
        <v>160</v>
      </c>
      <c r="B15" s="21">
        <v>0</v>
      </c>
      <c r="C15" s="21">
        <f>+'E-Costos'!B27</f>
        <v>58391.454168822711</v>
      </c>
      <c r="D15" s="21">
        <f>+'E-Costos'!C27</f>
        <v>47366.786171332613</v>
      </c>
      <c r="E15" s="21">
        <f>+'E-Costos'!D27</f>
        <v>47366.786171332613</v>
      </c>
      <c r="F15" s="21">
        <f>+'E-Costos'!E27</f>
        <v>47156.417106850531</v>
      </c>
      <c r="G15" s="22">
        <f>+'E-Costos'!F27</f>
        <v>47156.417106850531</v>
      </c>
      <c r="H15" s="406"/>
      <c r="I15" s="406"/>
      <c r="J15" s="406"/>
      <c r="K15" s="406"/>
      <c r="L15" s="406"/>
    </row>
    <row r="16" spans="1:13" x14ac:dyDescent="0.2">
      <c r="A16" s="198" t="s">
        <v>161</v>
      </c>
      <c r="B16" s="21">
        <v>0</v>
      </c>
      <c r="C16" s="21">
        <f>+('E-Costos'!B7-'E-Costos'!B27)/'E-Costos'!B117*'E-InvAT'!C11</f>
        <v>2784.0360370099224</v>
      </c>
      <c r="D16" s="21">
        <f>+('E-Costos'!C7-'E-Costos'!C27)/'E-Costos'!C117*'E-InvAT'!D11</f>
        <v>2858.7660634904296</v>
      </c>
      <c r="E16" s="21">
        <f>+('E-Costos'!D7-'E-Costos'!D27)/'E-Costos'!D117*'E-InvAT'!E11</f>
        <v>2860.0827039309834</v>
      </c>
      <c r="F16" s="21">
        <f>+('E-Costos'!E7-'E-Costos'!E27)/'E-Costos'!E117*'E-InvAT'!F11</f>
        <v>2834.4696200123376</v>
      </c>
      <c r="G16" s="22">
        <f>+('E-Costos'!F7-'E-Costos'!F27)/'E-Costos'!F117*'E-InvAT'!G11</f>
        <v>2834.5184712352643</v>
      </c>
      <c r="H16" s="406"/>
      <c r="I16" s="406"/>
      <c r="J16" s="406"/>
      <c r="K16" s="406"/>
      <c r="L16" s="406"/>
    </row>
    <row r="17" spans="1:12" x14ac:dyDescent="0.2">
      <c r="A17" s="198" t="s">
        <v>162</v>
      </c>
      <c r="B17" s="21">
        <v>0</v>
      </c>
      <c r="C17" s="21">
        <f>+'E-Costos'!B131*'E-InvAT'!C5</f>
        <v>217148.12811919017</v>
      </c>
      <c r="D17" s="21">
        <f>+'E-Costos'!C131*'E-InvAT'!D5</f>
        <v>420766.05158444209</v>
      </c>
      <c r="E17" s="21">
        <f>+'E-Costos'!D131*'E-InvAT'!E5</f>
        <v>420890.02321793255</v>
      </c>
      <c r="F17" s="21">
        <f>+'E-Costos'!E131*'E-InvAT'!F5</f>
        <v>419662.66796180495</v>
      </c>
      <c r="G17" s="22">
        <f>+'E-Costos'!F131*'E-InvAT'!G5</f>
        <v>419667.32815119374</v>
      </c>
      <c r="H17" s="406"/>
      <c r="I17" s="406"/>
      <c r="J17" s="406"/>
      <c r="K17" s="406"/>
      <c r="L17" s="406"/>
    </row>
    <row r="18" spans="1:12" x14ac:dyDescent="0.2">
      <c r="A18" s="198" t="s">
        <v>163</v>
      </c>
      <c r="B18" s="21">
        <v>0</v>
      </c>
      <c r="C18" s="21">
        <f>+('E-Inv AF y Am'!$D$55-'E-InvAT'!C15-'E-InvAT'!C16+'E-InvAT'!B15+'E-InvAT'!B16)/'E-Costos'!B97*'E-InvAT'!C5</f>
        <v>29895.865690751991</v>
      </c>
      <c r="D18" s="21">
        <f>+('E-Inv AF y Am'!$D$55-'E-InvAT'!D15-'E-InvAT'!D16+'E-InvAT'!C15+'E-InvAT'!C16)/'E-Costos'!C97*'E-InvAT'!D5</f>
        <v>35823.983075149983</v>
      </c>
      <c r="E18" s="21">
        <f>+('E-Inv AF y Am'!$D$55-'E-InvAT'!E15-'E-InvAT'!E16+'E-InvAT'!D15+'E-InvAT'!D16)/'E-Costos'!D97*'E-InvAT'!E5</f>
        <v>34923.879956400655</v>
      </c>
      <c r="F18" s="21">
        <f>+('E-Inv AF y Am'!$E$55-'E-InvAT'!F15-'E-InvAT'!F16+'E-InvAT'!E15+'E-InvAT'!E16)/'E-Costos'!E97*'E-InvAT'!F5</f>
        <v>34943.383966442409</v>
      </c>
      <c r="G18" s="22">
        <f>+('E-Inv AF y Am'!$E$55-'E-InvAT'!G15-'E-InvAT'!G16+'E-InvAT'!F15+'E-InvAT'!F16)/'E-Costos'!F97*'E-InvAT'!G5</f>
        <v>34923.984158254156</v>
      </c>
      <c r="H18" s="406"/>
      <c r="I18" s="406"/>
      <c r="J18" s="406"/>
      <c r="K18" s="406"/>
      <c r="L18" s="406"/>
    </row>
    <row r="19" spans="1:12" x14ac:dyDescent="0.2">
      <c r="A19" s="198"/>
      <c r="B19" s="14"/>
      <c r="C19" s="14"/>
      <c r="D19" s="14"/>
      <c r="E19" s="14"/>
      <c r="F19" s="14"/>
      <c r="G19" s="15"/>
      <c r="H19" s="405"/>
      <c r="I19" s="405"/>
      <c r="J19" s="405"/>
      <c r="K19" s="405"/>
      <c r="L19" s="405"/>
    </row>
    <row r="20" spans="1:12" x14ac:dyDescent="0.2">
      <c r="A20" s="197" t="s">
        <v>164</v>
      </c>
      <c r="B20" s="84">
        <f>+B13-SUM(B15:B18)</f>
        <v>240687.03768115948</v>
      </c>
      <c r="C20" s="84">
        <f t="shared" ref="C20:G20" si="1">+C13-SUM(C15:C18)</f>
        <v>1235002.0313657955</v>
      </c>
      <c r="D20" s="84">
        <f t="shared" si="1"/>
        <v>1606079.3467092018</v>
      </c>
      <c r="E20" s="84">
        <f t="shared" si="1"/>
        <v>1606854.1615540201</v>
      </c>
      <c r="F20" s="84">
        <f t="shared" si="1"/>
        <v>1608200.2381021327</v>
      </c>
      <c r="G20" s="85">
        <f t="shared" si="1"/>
        <v>1608214.9288697094</v>
      </c>
      <c r="H20" s="370"/>
      <c r="I20" s="370"/>
      <c r="J20" s="370"/>
      <c r="K20" s="370"/>
      <c r="L20" s="370"/>
    </row>
    <row r="21" spans="1:12" x14ac:dyDescent="0.2">
      <c r="A21" s="198"/>
      <c r="B21" s="14"/>
      <c r="C21" s="14"/>
      <c r="D21" s="14"/>
      <c r="E21" s="14"/>
      <c r="F21" s="14"/>
      <c r="G21" s="15"/>
      <c r="H21" s="405"/>
      <c r="I21" s="405"/>
      <c r="J21" s="405"/>
      <c r="K21" s="405"/>
      <c r="L21" s="405"/>
    </row>
    <row r="22" spans="1:12" x14ac:dyDescent="0.2">
      <c r="A22" s="197" t="s">
        <v>165</v>
      </c>
      <c r="B22" s="21">
        <f>+B13</f>
        <v>240687.03768115948</v>
      </c>
      <c r="C22" s="21">
        <f>+C13-B13</f>
        <v>1302534.4777004109</v>
      </c>
      <c r="D22" s="21">
        <f>+D13-C13</f>
        <v>569673.41822204646</v>
      </c>
      <c r="E22" s="21">
        <f t="shared" ref="E22:G22" si="2">+E13-D13</f>
        <v>0</v>
      </c>
      <c r="F22" s="21">
        <f t="shared" si="2"/>
        <v>-97.756846373900771</v>
      </c>
      <c r="G22" s="22">
        <f t="shared" si="2"/>
        <v>0</v>
      </c>
      <c r="H22" s="406"/>
      <c r="I22" s="406"/>
      <c r="J22" s="406"/>
      <c r="K22" s="406"/>
      <c r="L22" s="406"/>
    </row>
    <row r="23" spans="1:12" x14ac:dyDescent="0.2">
      <c r="A23" s="197" t="s">
        <v>166</v>
      </c>
      <c r="B23" s="84">
        <f>+B20</f>
        <v>240687.03768115948</v>
      </c>
      <c r="C23" s="84">
        <f>+C20-B20</f>
        <v>994314.99368463608</v>
      </c>
      <c r="D23" s="84">
        <f t="shared" ref="D23:G23" si="3">+D20-C20</f>
        <v>371077.31534340628</v>
      </c>
      <c r="E23" s="84">
        <f t="shared" si="3"/>
        <v>774.81484481832013</v>
      </c>
      <c r="F23" s="84">
        <f t="shared" si="3"/>
        <v>1346.0765481125563</v>
      </c>
      <c r="G23" s="85">
        <f t="shared" si="3"/>
        <v>14.690767576685175</v>
      </c>
      <c r="H23" s="370"/>
      <c r="I23" s="370"/>
      <c r="J23" s="370"/>
      <c r="K23" s="370"/>
      <c r="L23" s="370"/>
    </row>
    <row r="24" spans="1:12" x14ac:dyDescent="0.2">
      <c r="A24" s="198"/>
      <c r="B24" s="14"/>
      <c r="C24" s="14"/>
      <c r="D24" s="14"/>
      <c r="E24" s="14"/>
      <c r="F24" s="14"/>
      <c r="G24" s="15"/>
      <c r="H24" s="405"/>
      <c r="I24" s="405"/>
      <c r="J24" s="405"/>
      <c r="K24" s="405"/>
      <c r="L24" s="405"/>
    </row>
    <row r="25" spans="1:12" x14ac:dyDescent="0.2">
      <c r="A25" s="197" t="s">
        <v>167</v>
      </c>
      <c r="B25" s="14"/>
      <c r="C25" s="14"/>
      <c r="D25" s="14"/>
      <c r="E25" s="14"/>
      <c r="F25" s="14"/>
      <c r="G25" s="15"/>
      <c r="H25" s="405"/>
      <c r="I25" s="405"/>
      <c r="J25" s="405"/>
      <c r="K25" s="405"/>
      <c r="L25" s="405"/>
    </row>
    <row r="26" spans="1:12" x14ac:dyDescent="0.2">
      <c r="A26" s="198" t="s">
        <v>168</v>
      </c>
      <c r="B26" s="21"/>
      <c r="C26" s="21"/>
      <c r="D26" s="21"/>
      <c r="E26" s="21"/>
      <c r="F26" s="21"/>
      <c r="G26" s="22"/>
      <c r="H26" s="406"/>
      <c r="I26" s="406"/>
      <c r="J26" s="406"/>
      <c r="K26" s="406"/>
      <c r="L26" s="406"/>
    </row>
    <row r="27" spans="1:12" x14ac:dyDescent="0.2">
      <c r="A27" s="198" t="s">
        <v>157</v>
      </c>
      <c r="B27" s="21"/>
      <c r="C27" s="21"/>
      <c r="D27" s="21"/>
      <c r="E27" s="21"/>
      <c r="F27" s="21"/>
      <c r="G27" s="22"/>
      <c r="H27" s="406"/>
      <c r="I27" s="406"/>
      <c r="J27" s="406"/>
      <c r="K27" s="406"/>
      <c r="L27" s="406"/>
    </row>
    <row r="28" spans="1:12" x14ac:dyDescent="0.2">
      <c r="A28" s="198" t="s">
        <v>169</v>
      </c>
      <c r="B28" s="21">
        <f>+B8*InfoInicial!$B$3</f>
        <v>9552.2779130434901</v>
      </c>
      <c r="C28" s="21">
        <f>+(C8-B8)*InfoInicial!$B$3</f>
        <v>38209.111652173953</v>
      </c>
      <c r="D28" s="21">
        <f>+(D8-C8)*InfoInicial!$B$3</f>
        <v>0</v>
      </c>
      <c r="E28" s="21">
        <f>+(E8-D8)*InfoInicial!$B$3</f>
        <v>0</v>
      </c>
      <c r="F28" s="21">
        <f>+(F8-E8)*InfoInicial!$B$3</f>
        <v>0</v>
      </c>
      <c r="G28" s="22">
        <f>+(G8-F8)*InfoInicial!$B$3</f>
        <v>0</v>
      </c>
      <c r="H28" s="406"/>
      <c r="I28" s="406"/>
      <c r="J28" s="406"/>
      <c r="K28" s="406"/>
      <c r="L28" s="406"/>
    </row>
    <row r="29" spans="1:12" x14ac:dyDescent="0.2">
      <c r="A29" s="198" t="s">
        <v>170</v>
      </c>
      <c r="B29" s="21">
        <f>+B9*InfoInicial!$B$3</f>
        <v>3360</v>
      </c>
      <c r="C29" s="21">
        <f>+(C9-B9)*InfoInicial!$B$3</f>
        <v>3360</v>
      </c>
      <c r="D29" s="21">
        <f>+(D9-C9)*InfoInicial!$B$3</f>
        <v>0</v>
      </c>
      <c r="E29" s="21">
        <f>+(E9-D9)*InfoInicial!$B$3</f>
        <v>0</v>
      </c>
      <c r="F29" s="21">
        <f>+(F9-E9)*InfoInicial!$B$3</f>
        <v>0</v>
      </c>
      <c r="G29" s="22">
        <f>+(G9-F9)*InfoInicial!$B$3</f>
        <v>0</v>
      </c>
      <c r="H29" s="406"/>
      <c r="I29" s="406"/>
      <c r="J29" s="406"/>
      <c r="K29" s="406"/>
      <c r="L29" s="406"/>
    </row>
    <row r="30" spans="1:12" x14ac:dyDescent="0.2">
      <c r="A30" s="198" t="s">
        <v>171</v>
      </c>
      <c r="B30" s="21">
        <f>+B10*InfoInicial!$B$3</f>
        <v>0</v>
      </c>
      <c r="C30" s="21">
        <f>+(C10-B10)*InfoInicial!$B$3</f>
        <v>21203.800385763639</v>
      </c>
      <c r="D30" s="21">
        <f>+(D10-C10)*InfoInicial!$B$3</f>
        <v>-2580.5360485748784</v>
      </c>
      <c r="E30" s="21">
        <f>+(E10-D10)*InfoInicial!$B$3</f>
        <v>0</v>
      </c>
      <c r="F30" s="21">
        <f>+(F10-E10)*InfoInicial!$B$3</f>
        <v>-20.528937738522217</v>
      </c>
      <c r="G30" s="22">
        <f>+(G10-F10)*InfoInicial!$B$3</f>
        <v>0</v>
      </c>
      <c r="H30" s="406"/>
      <c r="I30" s="406"/>
      <c r="J30" s="406"/>
      <c r="K30" s="406"/>
      <c r="L30" s="406"/>
    </row>
    <row r="31" spans="1:12" x14ac:dyDescent="0.2">
      <c r="A31" s="198" t="s">
        <v>172</v>
      </c>
      <c r="B31" s="21">
        <v>0</v>
      </c>
      <c r="C31" s="62">
        <f>+(('E-Costos'!B4+'E-Costos'!B9+'E-Costos'!B10+'E-Costos'!B13+'E-Costos'!B14-'E-Costos'!B24-'E-Costos'!B29-'E-Costos'!B30-'E-Costos'!B31-'E-Costos'!B33-'E-Costos'!B34-'E-Costos'!$G$24-'E-Costos'!$G$29-'E-Costos'!$G$30-'E-Costos'!$G$31-'E-Costos'!$G$33-'E-Costos'!$G$34)/'E-Costos'!B122)*('E-InvAT'!C11-'E-InvAT'!C16)*InfoInicial!$B$3</f>
        <v>2303.3378146957934</v>
      </c>
      <c r="D31" s="62">
        <f>+(('E-Costos'!C4+'E-Costos'!C9+'E-Costos'!C10+'E-Costos'!C13+'E-Costos'!C14-'E-Costos'!C24-'E-Costos'!C29-'E-Costos'!C30-'E-Costos'!C31-'E-Costos'!C33-'E-Costos'!C34-'E-Costos'!$G$24-'E-Costos'!$G$29-'E-Costos'!$G$30-'E-Costos'!$G$31-'E-Costos'!$G$33-'E-Costos'!$G$34)/'E-Costos'!C122)*('E-InvAT'!D11-'E-InvAT'!D16)*InfoInicial!$B$3</f>
        <v>3159.5423247992139</v>
      </c>
      <c r="E31" s="62">
        <f>+(('E-Costos'!D4+'E-Costos'!D9+'E-Costos'!D10+'E-Costos'!D13+'E-Costos'!D14-'E-Costos'!D24-'E-Costos'!D29-'E-Costos'!D30-'E-Costos'!D31-'E-Costos'!D33-'E-Costos'!D34-'E-Costos'!$G$24-'E-Costos'!$G$29-'E-Costos'!$G$30-'E-Costos'!$G$31-'E-Costos'!$G$33-'E-Costos'!$G$34)/'E-Costos'!D122)*('E-InvAT'!E11-'E-InvAT'!E16)*InfoInicial!$B$3</f>
        <v>3160.4808580106396</v>
      </c>
      <c r="F31" s="62">
        <f>+(('E-Costos'!E4+'E-Costos'!E9+'E-Costos'!E10+'E-Costos'!E13+'E-Costos'!E14-'E-Costos'!E24-'E-Costos'!E29-'E-Costos'!E30-'E-Costos'!E31-'E-Costos'!E33-'E-Costos'!E34-'E-Costos'!$G$24-'E-Costos'!$G$29-'E-Costos'!$G$30-'E-Costos'!$G$31-'E-Costos'!$G$33-'E-Costos'!$G$34)/'E-Costos'!E122)*('E-InvAT'!F11-'E-InvAT'!F16)*InfoInicial!$B$3</f>
        <v>3183.0343549243025</v>
      </c>
      <c r="G31" s="63">
        <f>+(('E-Costos'!F4+'E-Costos'!F9+'E-Costos'!F10+'E-Costos'!F13+'E-Costos'!F14-'E-Costos'!F24-'E-Costos'!F29-'E-Costos'!F30-'E-Costos'!F31-'E-Costos'!F33-'E-Costos'!F34-'E-Costos'!$G$24-'E-Costos'!$G$29-'E-Costos'!$G$30-'E-Costos'!$G$31-'E-Costos'!$G$33-'E-Costos'!$G$34)/'E-Costos'!F122)*('E-InvAT'!G11-'E-InvAT'!G16)*InfoInicial!$B$3</f>
        <v>3183.0698205116173</v>
      </c>
      <c r="H31" s="367"/>
      <c r="I31" s="367"/>
      <c r="J31" s="367"/>
      <c r="K31" s="367"/>
      <c r="L31" s="367"/>
    </row>
    <row r="32" spans="1:12" x14ac:dyDescent="0.2">
      <c r="A32" s="197" t="s">
        <v>173</v>
      </c>
      <c r="B32" s="84">
        <f>+SUM(B28:B31)</f>
        <v>12912.27791304349</v>
      </c>
      <c r="C32" s="84">
        <f t="shared" ref="C32:G32" si="4">+SUM(C28:C31)</f>
        <v>65076.249852633387</v>
      </c>
      <c r="D32" s="84">
        <f t="shared" si="4"/>
        <v>579.00627622433558</v>
      </c>
      <c r="E32" s="84">
        <f t="shared" si="4"/>
        <v>3160.4808580106396</v>
      </c>
      <c r="F32" s="84">
        <f t="shared" si="4"/>
        <v>3162.5054171857805</v>
      </c>
      <c r="G32" s="85">
        <f t="shared" si="4"/>
        <v>3183.0698205116173</v>
      </c>
      <c r="H32" s="370"/>
      <c r="I32" s="370"/>
      <c r="J32" s="370"/>
      <c r="K32" s="370"/>
      <c r="L32" s="370"/>
    </row>
    <row r="33" spans="1:12" x14ac:dyDescent="0.2">
      <c r="A33" s="198"/>
      <c r="B33" s="17"/>
      <c r="C33" s="17"/>
      <c r="D33" s="17"/>
      <c r="E33" s="17"/>
      <c r="F33" s="17"/>
      <c r="G33" s="374"/>
      <c r="H33" s="371"/>
      <c r="I33" s="371"/>
      <c r="J33" s="371"/>
      <c r="K33" s="371"/>
      <c r="L33" s="371"/>
    </row>
    <row r="34" spans="1:12" ht="13.5" thickBot="1" x14ac:dyDescent="0.25">
      <c r="A34" s="199" t="s">
        <v>174</v>
      </c>
      <c r="B34" s="124">
        <f>+B23+B32</f>
        <v>253599.31559420296</v>
      </c>
      <c r="C34" s="124">
        <f t="shared" ref="C34:G34" si="5">+C23+C32</f>
        <v>1059391.2435372695</v>
      </c>
      <c r="D34" s="124">
        <f t="shared" si="5"/>
        <v>371656.32161963062</v>
      </c>
      <c r="E34" s="124">
        <f t="shared" si="5"/>
        <v>3935.2957028289597</v>
      </c>
      <c r="F34" s="124">
        <f t="shared" si="5"/>
        <v>4508.5819652983373</v>
      </c>
      <c r="G34" s="127">
        <f t="shared" si="5"/>
        <v>3197.7605880883025</v>
      </c>
      <c r="H34" s="370"/>
      <c r="I34" s="370"/>
      <c r="J34" s="370"/>
      <c r="K34" s="370"/>
      <c r="L34" s="370"/>
    </row>
    <row r="35" spans="1:12" ht="13.5" thickTop="1" x14ac:dyDescent="0.2"/>
  </sheetData>
  <pageMargins left="0.26" right="0.46" top="0.6" bottom="1" header="0" footer="0"/>
  <pageSetup paperSize="9" scale="68" fitToHeight="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I24"/>
  <sheetViews>
    <sheetView zoomScale="90" zoomScaleNormal="90" workbookViewId="0">
      <selection activeCell="D30" sqref="D30"/>
    </sheetView>
  </sheetViews>
  <sheetFormatPr baseColWidth="10" defaultRowHeight="12.75" x14ac:dyDescent="0.2"/>
  <cols>
    <col min="1" max="1" width="28.140625" style="24" customWidth="1"/>
    <col min="2" max="2" width="12.5703125" style="24" bestFit="1" customWidth="1"/>
    <col min="3" max="3" width="17" style="24" bestFit="1" customWidth="1"/>
    <col min="4" max="4" width="16" style="24" customWidth="1"/>
    <col min="5" max="8" width="14.85546875" style="24" bestFit="1" customWidth="1"/>
    <col min="9" max="9" width="16.7109375" style="24" bestFit="1" customWidth="1"/>
    <col min="10" max="10" width="17.42578125" style="24" bestFit="1" customWidth="1"/>
    <col min="11" max="16384" width="11.42578125" style="24"/>
  </cols>
  <sheetData>
    <row r="1" spans="1:9" ht="16.5" thickTop="1" x14ac:dyDescent="0.25">
      <c r="A1" s="437" t="s">
        <v>198</v>
      </c>
      <c r="B1" s="438"/>
      <c r="C1" s="438"/>
      <c r="D1" s="438"/>
      <c r="E1" s="438"/>
      <c r="F1" s="438"/>
      <c r="G1" s="438"/>
      <c r="H1" s="438"/>
      <c r="I1" s="439"/>
    </row>
    <row r="2" spans="1:9" ht="26.25" thickBot="1" x14ac:dyDescent="0.25">
      <c r="A2" s="97" t="s">
        <v>80</v>
      </c>
      <c r="B2" s="201" t="s">
        <v>189</v>
      </c>
      <c r="C2" s="201" t="s">
        <v>190</v>
      </c>
      <c r="D2" s="135" t="s">
        <v>24</v>
      </c>
      <c r="E2" s="135" t="s">
        <v>25</v>
      </c>
      <c r="F2" s="135" t="s">
        <v>26</v>
      </c>
      <c r="G2" s="135" t="s">
        <v>27</v>
      </c>
      <c r="H2" s="136" t="s">
        <v>28</v>
      </c>
      <c r="I2" s="407" t="s">
        <v>191</v>
      </c>
    </row>
    <row r="3" spans="1:9" ht="13.5" thickTop="1" x14ac:dyDescent="0.2">
      <c r="A3" s="202" t="s">
        <v>192</v>
      </c>
      <c r="B3" s="195"/>
      <c r="C3" s="195"/>
      <c r="D3" s="195"/>
      <c r="E3" s="195"/>
      <c r="F3" s="195"/>
      <c r="G3" s="195"/>
      <c r="H3" s="196"/>
      <c r="I3" s="408"/>
    </row>
    <row r="4" spans="1:9" x14ac:dyDescent="0.2">
      <c r="A4" s="95" t="s">
        <v>177</v>
      </c>
      <c r="B4" s="21">
        <v>0</v>
      </c>
      <c r="C4" s="21">
        <f>+'E-Inv AF y Am'!B19+'E-Inv AF y Am'!D19</f>
        <v>6444149.25</v>
      </c>
      <c r="D4" s="21">
        <f>+'E-Inv AF y Am'!C19+'E-Inv AF y Am'!E19</f>
        <v>0</v>
      </c>
      <c r="E4" s="21">
        <v>0</v>
      </c>
      <c r="F4" s="21">
        <v>0</v>
      </c>
      <c r="G4" s="21">
        <v>0</v>
      </c>
      <c r="H4" s="22">
        <v>0</v>
      </c>
      <c r="I4" s="409">
        <f>SUM(B4:H4)</f>
        <v>6444149.25</v>
      </c>
    </row>
    <row r="5" spans="1:9" x14ac:dyDescent="0.2">
      <c r="A5" s="95" t="s">
        <v>178</v>
      </c>
      <c r="B5" s="21">
        <f>+'E-Inv AF y Am'!B22+('E-Inv AF y Am'!D22*InfoInicial!$B$32)</f>
        <v>6228.25</v>
      </c>
      <c r="C5" s="21">
        <f>+('E-Inv AF y Am'!B23+'E-Inv AF y Am'!B25+'E-Inv AF y Am'!B26+'E-Inv AF y Am'!B27+'E-Inv AF y Am'!B28+'E-Inv AF y Am'!B29)+(('E-Inv AF y Am'!D23+'E-Inv AF y Am'!D25+'E-Inv AF y Am'!D26+'E-Inv AF y Am'!D27+'E-Inv AF y Am'!D28+'E-Inv AF y Am'!D29)*InfoInicial!$B$32)</f>
        <v>155793.64016841716</v>
      </c>
      <c r="D5" s="21">
        <f>+'E-Inv AF y Am'!C30+'E-Inv AF y Am'!E30</f>
        <v>163608.39246482577</v>
      </c>
      <c r="E5" s="21">
        <v>0</v>
      </c>
      <c r="F5" s="21">
        <v>0</v>
      </c>
      <c r="G5" s="21">
        <v>0</v>
      </c>
      <c r="H5" s="22">
        <v>0</v>
      </c>
      <c r="I5" s="409">
        <f t="shared" ref="I5:I6" si="0">SUM(B5:H5)</f>
        <v>325630.2826332429</v>
      </c>
    </row>
    <row r="6" spans="1:9" x14ac:dyDescent="0.2">
      <c r="A6" s="92" t="s">
        <v>179</v>
      </c>
      <c r="B6" s="84">
        <f>+SUM(B4:B5)</f>
        <v>6228.25</v>
      </c>
      <c r="C6" s="84">
        <f t="shared" ref="C6:H6" si="1">+SUM(C4:C5)</f>
        <v>6599942.8901684172</v>
      </c>
      <c r="D6" s="84">
        <f t="shared" si="1"/>
        <v>163608.39246482577</v>
      </c>
      <c r="E6" s="84">
        <f t="shared" si="1"/>
        <v>0</v>
      </c>
      <c r="F6" s="84">
        <f t="shared" si="1"/>
        <v>0</v>
      </c>
      <c r="G6" s="84">
        <f t="shared" si="1"/>
        <v>0</v>
      </c>
      <c r="H6" s="85">
        <f t="shared" si="1"/>
        <v>0</v>
      </c>
      <c r="I6" s="207">
        <f t="shared" si="0"/>
        <v>6769779.5326332431</v>
      </c>
    </row>
    <row r="7" spans="1:9" x14ac:dyDescent="0.2">
      <c r="A7" s="95"/>
      <c r="B7" s="14"/>
      <c r="C7" s="14"/>
      <c r="D7" s="14"/>
      <c r="E7" s="14"/>
      <c r="F7" s="14"/>
      <c r="G7" s="14"/>
      <c r="H7" s="15"/>
      <c r="I7" s="410"/>
    </row>
    <row r="8" spans="1:9" x14ac:dyDescent="0.2">
      <c r="A8" s="92" t="s">
        <v>193</v>
      </c>
      <c r="B8" s="21"/>
      <c r="C8" s="21"/>
      <c r="D8" s="21"/>
      <c r="E8" s="21"/>
      <c r="F8" s="21"/>
      <c r="G8" s="21"/>
      <c r="H8" s="22"/>
      <c r="I8" s="409"/>
    </row>
    <row r="9" spans="1:9" x14ac:dyDescent="0.2">
      <c r="A9" s="95" t="s">
        <v>180</v>
      </c>
      <c r="B9" s="21">
        <v>0</v>
      </c>
      <c r="C9" s="21">
        <f>+'E-InvAT'!B4</f>
        <v>179200</v>
      </c>
      <c r="D9" s="21">
        <f>+'E-InvAT'!C4-'E-InvAT'!B4</f>
        <v>44800</v>
      </c>
      <c r="E9" s="21">
        <f>+'E-InvAT'!D4-'E-InvAT'!C4</f>
        <v>112000</v>
      </c>
      <c r="F9" s="21">
        <f>+'E-InvAT'!E4-'E-InvAT'!D4</f>
        <v>0</v>
      </c>
      <c r="G9" s="21">
        <f>+'E-InvAT'!F4-'E-InvAT'!E4</f>
        <v>0</v>
      </c>
      <c r="H9" s="22">
        <f>+'E-InvAT'!G4-'E-InvAT'!F4</f>
        <v>0</v>
      </c>
      <c r="I9" s="409">
        <f t="shared" ref="I9:I10" si="2">SUM(B9:H9)</f>
        <v>336000</v>
      </c>
    </row>
    <row r="10" spans="1:9" x14ac:dyDescent="0.2">
      <c r="A10" s="95" t="s">
        <v>181</v>
      </c>
      <c r="B10" s="21">
        <v>0</v>
      </c>
      <c r="C10" s="21">
        <v>0</v>
      </c>
      <c r="D10" s="21">
        <f>+'E-InvAT'!C5-'E-InvAT'!C17-'E-InvAT'!C18</f>
        <v>673503.95139553724</v>
      </c>
      <c r="E10" s="21">
        <f>+'E-InvAT'!D5-'E-InvAT'!D17-'E-InvAT'!D18-D10</f>
        <v>250727.93175308977</v>
      </c>
      <c r="F10" s="21">
        <f>+'E-InvAT'!E5-'E-InvAT'!E17-'E-InvAT'!E18-E10-D10</f>
        <v>776.13148525892757</v>
      </c>
      <c r="G10" s="21">
        <f>+'E-InvAT'!F5-'E-InvAT'!F17-'E-InvAT'!F18-F10-E10-D10</f>
        <v>1207.8512460858328</v>
      </c>
      <c r="H10" s="22">
        <f>+'E-InvAT'!G5-'E-InvAT'!G17-'E-InvAT'!G18-G10-F10-E10-D10</f>
        <v>14.739618799532764</v>
      </c>
      <c r="I10" s="409">
        <f t="shared" si="2"/>
        <v>926230.6054987713</v>
      </c>
    </row>
    <row r="11" spans="1:9" x14ac:dyDescent="0.2">
      <c r="A11" s="95" t="s">
        <v>182</v>
      </c>
      <c r="B11" s="21">
        <v>0</v>
      </c>
      <c r="C11" s="21"/>
      <c r="D11" s="21"/>
      <c r="E11" s="21"/>
      <c r="F11" s="21"/>
      <c r="G11" s="21"/>
      <c r="H11" s="22"/>
      <c r="I11" s="409"/>
    </row>
    <row r="12" spans="1:9" x14ac:dyDescent="0.2">
      <c r="A12" s="95" t="s">
        <v>183</v>
      </c>
      <c r="B12" s="21">
        <v>0</v>
      </c>
      <c r="C12" s="21">
        <f>+'E-InvAT'!B8</f>
        <v>45487.037681159476</v>
      </c>
      <c r="D12" s="21">
        <f>+'E-InvAT'!C8-'E-InvAT'!B8</f>
        <v>181948.15072463788</v>
      </c>
      <c r="E12" s="21">
        <f>+'E-InvAT'!D8-'E-InvAT'!C8</f>
        <v>0</v>
      </c>
      <c r="F12" s="21">
        <f>+'E-InvAT'!E8-'E-InvAT'!D8</f>
        <v>0</v>
      </c>
      <c r="G12" s="21">
        <f>+'E-InvAT'!F8-'E-InvAT'!E8</f>
        <v>0</v>
      </c>
      <c r="H12" s="22">
        <f>+'E-InvAT'!G8-'E-InvAT'!F8</f>
        <v>0</v>
      </c>
      <c r="I12" s="409">
        <f t="shared" ref="I12:I13" si="3">SUM(B12:H12)</f>
        <v>227435.18840579735</v>
      </c>
    </row>
    <row r="13" spans="1:9" x14ac:dyDescent="0.2">
      <c r="A13" s="95" t="s">
        <v>184</v>
      </c>
      <c r="B13" s="21">
        <v>0</v>
      </c>
      <c r="C13" s="21">
        <f>+'E-InvAT'!B9</f>
        <v>16000</v>
      </c>
      <c r="D13" s="21">
        <f>+'E-InvAT'!C9-'E-InvAT'!B9</f>
        <v>16000</v>
      </c>
      <c r="E13" s="21">
        <f>+'E-InvAT'!D9-'E-InvAT'!C9</f>
        <v>0</v>
      </c>
      <c r="F13" s="21">
        <f>+'E-InvAT'!E9-'E-InvAT'!D9</f>
        <v>0</v>
      </c>
      <c r="G13" s="21">
        <f>+'E-InvAT'!F9-'E-InvAT'!E9</f>
        <v>0</v>
      </c>
      <c r="H13" s="22">
        <f>+'E-InvAT'!G9-'E-InvAT'!F9</f>
        <v>0</v>
      </c>
      <c r="I13" s="409">
        <f t="shared" si="3"/>
        <v>32000</v>
      </c>
    </row>
    <row r="14" spans="1:9" x14ac:dyDescent="0.2">
      <c r="A14" s="95" t="s">
        <v>185</v>
      </c>
      <c r="B14" s="21">
        <v>0</v>
      </c>
      <c r="C14" s="21">
        <f>+'E-InvAT'!B10</f>
        <v>0</v>
      </c>
      <c r="D14" s="21"/>
      <c r="E14" s="21"/>
      <c r="F14" s="21"/>
      <c r="G14" s="21"/>
      <c r="H14" s="22"/>
      <c r="I14" s="409"/>
    </row>
    <row r="15" spans="1:9" x14ac:dyDescent="0.2">
      <c r="A15" s="95" t="s">
        <v>186</v>
      </c>
      <c r="B15" s="21">
        <v>0</v>
      </c>
      <c r="C15" s="21">
        <f>+'E-InvAT'!B11</f>
        <v>0</v>
      </c>
      <c r="D15" s="21"/>
      <c r="E15" s="21"/>
      <c r="F15" s="21"/>
      <c r="G15" s="21"/>
      <c r="H15" s="22"/>
      <c r="I15" s="409"/>
    </row>
    <row r="16" spans="1:9" x14ac:dyDescent="0.2">
      <c r="A16" s="92" t="s">
        <v>194</v>
      </c>
      <c r="B16" s="84">
        <f>SUM(B9:B15)</f>
        <v>0</v>
      </c>
      <c r="C16" s="84">
        <f t="shared" ref="C16:H16" si="4">SUM(C9:C15)</f>
        <v>240687.03768115948</v>
      </c>
      <c r="D16" s="84">
        <f t="shared" si="4"/>
        <v>916252.10212017514</v>
      </c>
      <c r="E16" s="84">
        <f t="shared" si="4"/>
        <v>362727.93175308977</v>
      </c>
      <c r="F16" s="84">
        <f t="shared" si="4"/>
        <v>776.13148525892757</v>
      </c>
      <c r="G16" s="84">
        <f t="shared" si="4"/>
        <v>1207.8512460858328</v>
      </c>
      <c r="H16" s="85">
        <f t="shared" si="4"/>
        <v>14.739618799532764</v>
      </c>
      <c r="I16" s="207">
        <f>SUM(B16:H16)</f>
        <v>1521665.7939045685</v>
      </c>
    </row>
    <row r="17" spans="1:9" x14ac:dyDescent="0.2">
      <c r="A17" s="95"/>
      <c r="B17" s="14"/>
      <c r="C17" s="14"/>
      <c r="D17" s="14"/>
      <c r="E17" s="14"/>
      <c r="F17" s="14"/>
      <c r="G17" s="14"/>
      <c r="H17" s="15"/>
      <c r="I17" s="410"/>
    </row>
    <row r="18" spans="1:9" x14ac:dyDescent="0.2">
      <c r="A18" s="92" t="s">
        <v>187</v>
      </c>
      <c r="B18" s="14"/>
      <c r="C18" s="14"/>
      <c r="D18" s="14"/>
      <c r="E18" s="14"/>
      <c r="F18" s="14"/>
      <c r="G18" s="14"/>
      <c r="H18" s="15"/>
      <c r="I18" s="410"/>
    </row>
    <row r="19" spans="1:9" x14ac:dyDescent="0.2">
      <c r="A19" s="95" t="s">
        <v>195</v>
      </c>
      <c r="B19" s="21">
        <f>+SUM('E-Inv AF y Am'!B22:B23)*InfoInicial!B3</f>
        <v>28373.359349999995</v>
      </c>
      <c r="C19" s="21">
        <f>+'E-Inv AF y Am'!B34+'E-Inv AF y Am'!D34</f>
        <v>1387295.9394353675</v>
      </c>
      <c r="D19" s="21">
        <f>+'E-Inv AF y Am'!C34+'E-Inv AF y Am'!E34</f>
        <v>34357.762417613412</v>
      </c>
      <c r="E19" s="21">
        <f>+E6*InfoInicial!$B$3</f>
        <v>0</v>
      </c>
      <c r="F19" s="21">
        <f>+F6*InfoInicial!$B$3</f>
        <v>0</v>
      </c>
      <c r="G19" s="21">
        <f>+G6*InfoInicial!$B$3</f>
        <v>0</v>
      </c>
      <c r="H19" s="22">
        <f>+H6*InfoInicial!$B$3</f>
        <v>0</v>
      </c>
      <c r="I19" s="409">
        <f>SUM(B19:H19)</f>
        <v>1450027.061202981</v>
      </c>
    </row>
    <row r="20" spans="1:9" x14ac:dyDescent="0.2">
      <c r="A20" s="95" t="s">
        <v>196</v>
      </c>
      <c r="B20" s="21">
        <v>0</v>
      </c>
      <c r="C20" s="21">
        <f>+'E-InvAT'!B32</f>
        <v>12912.27791304349</v>
      </c>
      <c r="D20" s="21">
        <f>+'E-InvAT'!C32</f>
        <v>65076.249852633387</v>
      </c>
      <c r="E20" s="21">
        <f>+'E-InvAT'!D32</f>
        <v>579.00627622433558</v>
      </c>
      <c r="F20" s="21">
        <f>+'E-InvAT'!E32</f>
        <v>3160.4808580106396</v>
      </c>
      <c r="G20" s="21">
        <f>+'E-InvAT'!F32</f>
        <v>3162.5054171857805</v>
      </c>
      <c r="H20" s="22">
        <f>+'E-InvAT'!G32</f>
        <v>3183.0698205116173</v>
      </c>
      <c r="I20" s="409">
        <f>SUM(B20:H20)</f>
        <v>88073.590137609237</v>
      </c>
    </row>
    <row r="21" spans="1:9" x14ac:dyDescent="0.2">
      <c r="A21" s="92" t="s">
        <v>188</v>
      </c>
      <c r="B21" s="84">
        <f>SUM(B19:B20)</f>
        <v>28373.359349999995</v>
      </c>
      <c r="C21" s="84">
        <f>+SUM(C19:C20)</f>
        <v>1400208.217348411</v>
      </c>
      <c r="D21" s="84">
        <f t="shared" ref="D21:H21" si="5">+SUM(D19:D20)</f>
        <v>99434.012270246807</v>
      </c>
      <c r="E21" s="84">
        <f t="shared" si="5"/>
        <v>579.00627622433558</v>
      </c>
      <c r="F21" s="84">
        <f t="shared" si="5"/>
        <v>3160.4808580106396</v>
      </c>
      <c r="G21" s="84">
        <f t="shared" si="5"/>
        <v>3162.5054171857805</v>
      </c>
      <c r="H21" s="85">
        <f t="shared" si="5"/>
        <v>3183.0698205116173</v>
      </c>
      <c r="I21" s="207">
        <f>SUM(B21:H21)</f>
        <v>1538100.6513405903</v>
      </c>
    </row>
    <row r="22" spans="1:9" x14ac:dyDescent="0.2">
      <c r="A22" s="92"/>
      <c r="B22" s="14"/>
      <c r="C22" s="14"/>
      <c r="D22" s="14"/>
      <c r="E22" s="14"/>
      <c r="F22" s="14"/>
      <c r="G22" s="14"/>
      <c r="H22" s="15"/>
      <c r="I22" s="410">
        <f>SUM(B22:H22)</f>
        <v>0</v>
      </c>
    </row>
    <row r="23" spans="1:9" ht="13.5" thickBot="1" x14ac:dyDescent="0.25">
      <c r="A23" s="93" t="s">
        <v>197</v>
      </c>
      <c r="B23" s="200">
        <f>+B21+B16+B6</f>
        <v>34601.609349999999</v>
      </c>
      <c r="C23" s="200">
        <f t="shared" ref="C23:H23" si="6">+C21+C16+C6</f>
        <v>8240838.1451979876</v>
      </c>
      <c r="D23" s="200">
        <f t="shared" si="6"/>
        <v>1179294.5068552475</v>
      </c>
      <c r="E23" s="200">
        <f t="shared" si="6"/>
        <v>363306.9380293141</v>
      </c>
      <c r="F23" s="200">
        <f t="shared" si="6"/>
        <v>3936.6123432695672</v>
      </c>
      <c r="G23" s="200">
        <f t="shared" si="6"/>
        <v>4370.3566632716138</v>
      </c>
      <c r="H23" s="294">
        <f t="shared" si="6"/>
        <v>3197.8094393111501</v>
      </c>
      <c r="I23" s="382">
        <f>SUM(B23:H23)</f>
        <v>9829545.9778784011</v>
      </c>
    </row>
    <row r="24" spans="1:9" ht="13.5" thickTop="1" x14ac:dyDescent="0.2"/>
  </sheetData>
  <mergeCells count="1">
    <mergeCell ref="A1:I1"/>
  </mergeCells>
  <pageMargins left="0.26" right="0.46" top="1.27" bottom="1" header="0" footer="0"/>
  <pageSetup paperSize="9" scale="67" fitToHeight="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57"/>
  <sheetViews>
    <sheetView zoomScale="90" zoomScaleNormal="90" workbookViewId="0">
      <selection activeCell="C25" sqref="C25"/>
    </sheetView>
  </sheetViews>
  <sheetFormatPr baseColWidth="10" defaultRowHeight="12.75" x14ac:dyDescent="0.2"/>
  <cols>
    <col min="1" max="1" width="31.85546875" style="24" customWidth="1"/>
    <col min="2" max="2" width="14.85546875" style="24" bestFit="1" customWidth="1"/>
    <col min="3" max="12" width="15.5703125" style="24" bestFit="1" customWidth="1"/>
    <col min="13" max="13" width="17.42578125" style="24" bestFit="1" customWidth="1"/>
    <col min="14" max="16384" width="11.42578125" style="24"/>
  </cols>
  <sheetData>
    <row r="1" spans="1:12" ht="16.5" thickTop="1" x14ac:dyDescent="0.25">
      <c r="A1" s="437" t="s">
        <v>199</v>
      </c>
      <c r="B1" s="438"/>
      <c r="C1" s="438"/>
      <c r="D1" s="438"/>
      <c r="E1" s="438"/>
      <c r="F1" s="438"/>
      <c r="G1" s="439"/>
      <c r="H1" s="404"/>
      <c r="I1" s="404"/>
      <c r="J1" s="404"/>
      <c r="K1" s="404"/>
      <c r="L1" s="404"/>
    </row>
    <row r="2" spans="1:12" ht="15.75" x14ac:dyDescent="0.25">
      <c r="A2" s="457" t="s">
        <v>213</v>
      </c>
      <c r="B2" s="458"/>
      <c r="C2" s="458"/>
      <c r="D2" s="458"/>
      <c r="E2" s="458"/>
      <c r="F2" s="458"/>
      <c r="G2" s="459"/>
      <c r="H2" s="364"/>
      <c r="I2" s="364"/>
      <c r="J2" s="364"/>
      <c r="K2" s="364"/>
      <c r="L2" s="364"/>
    </row>
    <row r="3" spans="1:12" ht="13.5" thickBot="1" x14ac:dyDescent="0.25">
      <c r="A3" s="97" t="s">
        <v>80</v>
      </c>
      <c r="B3" s="94" t="s">
        <v>23</v>
      </c>
      <c r="C3" s="28" t="s">
        <v>24</v>
      </c>
      <c r="D3" s="28" t="s">
        <v>25</v>
      </c>
      <c r="E3" s="28" t="s">
        <v>26</v>
      </c>
      <c r="F3" s="28" t="s">
        <v>27</v>
      </c>
      <c r="G3" s="29" t="s">
        <v>28</v>
      </c>
      <c r="H3" s="366"/>
      <c r="I3" s="366"/>
      <c r="J3" s="366"/>
      <c r="K3" s="366"/>
      <c r="L3" s="366"/>
    </row>
    <row r="4" spans="1:12" ht="13.5" thickTop="1" x14ac:dyDescent="0.2">
      <c r="A4" s="98" t="s">
        <v>200</v>
      </c>
      <c r="B4" s="204"/>
      <c r="C4" s="195"/>
      <c r="D4" s="195"/>
      <c r="E4" s="195"/>
      <c r="F4" s="195"/>
      <c r="G4" s="196"/>
      <c r="H4" s="405"/>
      <c r="I4" s="405"/>
      <c r="J4" s="405"/>
      <c r="K4" s="405"/>
      <c r="L4" s="405"/>
    </row>
    <row r="5" spans="1:12" x14ac:dyDescent="0.2">
      <c r="A5" s="99" t="s">
        <v>201</v>
      </c>
      <c r="B5" s="205">
        <v>0</v>
      </c>
      <c r="C5" s="21">
        <f>+'E-Costos'!B4*InfoInicial!$B$3</f>
        <v>346458.12961008115</v>
      </c>
      <c r="D5" s="21">
        <f>+'E-Costos'!C4*InfoInicial!$B$3</f>
        <v>466401.9729600001</v>
      </c>
      <c r="E5" s="21">
        <f>+'E-Costos'!D4*InfoInicial!$B$3</f>
        <v>466401.9729600001</v>
      </c>
      <c r="F5" s="21">
        <f>+'E-Costos'!E4*InfoInicial!$B$3</f>
        <v>466401.9729600001</v>
      </c>
      <c r="G5" s="22">
        <f>+'E-Costos'!F4*InfoInicial!$B$3</f>
        <v>466401.9729600001</v>
      </c>
      <c r="H5" s="406"/>
      <c r="I5" s="406"/>
      <c r="J5" s="406"/>
      <c r="K5" s="406"/>
      <c r="L5" s="406"/>
    </row>
    <row r="6" spans="1:12" x14ac:dyDescent="0.2">
      <c r="A6" s="99" t="s">
        <v>104</v>
      </c>
      <c r="B6" s="205">
        <v>0</v>
      </c>
      <c r="C6" s="21">
        <f>+('E-Costos'!B9+'E-Costos'!B56+'E-Costos'!B76)*InfoInicial!$B$3</f>
        <v>40942.507560570004</v>
      </c>
      <c r="D6" s="21">
        <f>+('E-Costos'!C9+'E-Costos'!C56+'E-Costos'!C76)*InfoInicial!$B$3</f>
        <v>45491.675067299999</v>
      </c>
      <c r="E6" s="21">
        <f>+('E-Costos'!D9+'E-Costos'!D56+'E-Costos'!D76)*InfoInicial!$B$3</f>
        <v>45491.675067299999</v>
      </c>
      <c r="F6" s="21">
        <f>+('E-Costos'!E9+'E-Costos'!E56+'E-Costos'!E76)*InfoInicial!$B$3</f>
        <v>50943.947639550002</v>
      </c>
      <c r="G6" s="22">
        <f>+('E-Costos'!F9+'E-Costos'!F56+'E-Costos'!F76)*InfoInicial!$B$3</f>
        <v>50943.947639550002</v>
      </c>
      <c r="H6" s="406"/>
      <c r="I6" s="406"/>
      <c r="J6" s="406"/>
      <c r="K6" s="406"/>
      <c r="L6" s="406"/>
    </row>
    <row r="7" spans="1:12" x14ac:dyDescent="0.2">
      <c r="A7" s="99" t="s">
        <v>202</v>
      </c>
      <c r="B7" s="205">
        <v>0</v>
      </c>
      <c r="C7" s="21">
        <f>+('E-Costos'!B10+'E-Costos'!B57+'E-Costos'!B77)*InfoInicial!$B$3</f>
        <v>22982.399999999998</v>
      </c>
      <c r="D7" s="21">
        <f>+('E-Costos'!C10+'E-Costos'!C57+'E-Costos'!C77)*InfoInicial!$B$3</f>
        <v>24192</v>
      </c>
      <c r="E7" s="21">
        <f>+('E-Costos'!D10+'E-Costos'!D57+'E-Costos'!D77)*InfoInicial!$B$3</f>
        <v>24192</v>
      </c>
      <c r="F7" s="21">
        <f>+('E-Costos'!E10+'E-Costos'!E57+'E-Costos'!E77)*InfoInicial!$B$3</f>
        <v>24192</v>
      </c>
      <c r="G7" s="22">
        <f>+('E-Costos'!F10+'E-Costos'!F57+'E-Costos'!F77)*InfoInicial!$B$3</f>
        <v>24192</v>
      </c>
      <c r="H7" s="406"/>
      <c r="I7" s="406"/>
      <c r="J7" s="406"/>
      <c r="K7" s="406"/>
      <c r="L7" s="406"/>
    </row>
    <row r="8" spans="1:12" x14ac:dyDescent="0.2">
      <c r="A8" s="99" t="s">
        <v>203</v>
      </c>
      <c r="B8" s="205">
        <v>0</v>
      </c>
      <c r="C8" s="21">
        <f>+('E-Costos'!B11+'E-Costos'!B58+'E-Costos'!B78)*InfoInicial!$B$3</f>
        <v>34264.125</v>
      </c>
      <c r="D8" s="21">
        <f>+('E-Costos'!C11+'E-Costos'!C58+'E-Costos'!C78)*InfoInicial!$B$3</f>
        <v>36067.5</v>
      </c>
      <c r="E8" s="21">
        <f>+('E-Costos'!D11+'E-Costos'!D58+'E-Costos'!D78)*InfoInicial!$B$3</f>
        <v>36067.5</v>
      </c>
      <c r="F8" s="21">
        <f>+('E-Costos'!E11+'E-Costos'!E58+'E-Costos'!E78)*InfoInicial!$B$3</f>
        <v>36067.5</v>
      </c>
      <c r="G8" s="22">
        <f>+('E-Costos'!F11+'E-Costos'!F58+'E-Costos'!F78)*InfoInicial!$B$3</f>
        <v>36067.5</v>
      </c>
      <c r="H8" s="406"/>
      <c r="I8" s="406"/>
      <c r="J8" s="406"/>
      <c r="K8" s="406"/>
      <c r="L8" s="406"/>
    </row>
    <row r="9" spans="1:12" x14ac:dyDescent="0.2">
      <c r="A9" s="99" t="s">
        <v>109</v>
      </c>
      <c r="B9" s="205">
        <v>0</v>
      </c>
      <c r="C9" s="21">
        <f>+('E-Costos'!B13+'E-Costos'!B62+'E-Costos'!B82)*InfoInicial!$B$3</f>
        <v>57367.318645547704</v>
      </c>
      <c r="D9" s="21">
        <f>+('E-Costos'!C13+'E-Costos'!C62+'E-Costos'!C82)*InfoInicial!$B$3</f>
        <v>60059.174949813612</v>
      </c>
      <c r="E9" s="21">
        <f>+('E-Costos'!D13+'E-Costos'!D62+'E-Costos'!D82)*InfoInicial!$B$3</f>
        <v>60059.174949813612</v>
      </c>
      <c r="F9" s="21">
        <f>+('E-Costos'!E13+'E-Costos'!E62+'E-Costos'!E82)*InfoInicial!$B$3</f>
        <v>60119.404079457061</v>
      </c>
      <c r="G9" s="22">
        <f>+('E-Costos'!F13+'E-Costos'!F62+'E-Costos'!F82)*InfoInicial!$B$3</f>
        <v>60119.404079457061</v>
      </c>
      <c r="H9" s="406"/>
      <c r="I9" s="406"/>
      <c r="J9" s="406"/>
      <c r="K9" s="406"/>
      <c r="L9" s="406"/>
    </row>
    <row r="10" spans="1:12" x14ac:dyDescent="0.2">
      <c r="A10" s="103" t="s">
        <v>246</v>
      </c>
      <c r="B10" s="205">
        <v>0</v>
      </c>
      <c r="C10" s="21">
        <f>+('E-Costos'!B14+'E-Costos'!B59+'E-Costos'!B79)*InfoInicial!$B$3</f>
        <v>0</v>
      </c>
      <c r="D10" s="21">
        <f>+('E-Costos'!C14+'E-Costos'!C59+'E-Costos'!C79)*InfoInicial!$B$3</f>
        <v>0</v>
      </c>
      <c r="E10" s="21">
        <f>+('E-Costos'!D14+'E-Costos'!D59+'E-Costos'!D79)*InfoInicial!$B$3</f>
        <v>0</v>
      </c>
      <c r="F10" s="21">
        <f>+('E-Costos'!E14+'E-Costos'!E59+'E-Costos'!E79)*InfoInicial!$B$3</f>
        <v>0</v>
      </c>
      <c r="G10" s="22">
        <f>+('E-Costos'!F14+'E-Costos'!F59+'E-Costos'!F79)*InfoInicial!$B$3</f>
        <v>0</v>
      </c>
      <c r="H10" s="406"/>
      <c r="I10" s="406"/>
      <c r="J10" s="406"/>
      <c r="K10" s="406"/>
      <c r="L10" s="406"/>
    </row>
    <row r="11" spans="1:12" x14ac:dyDescent="0.2">
      <c r="A11" s="101" t="s">
        <v>60</v>
      </c>
      <c r="B11" s="206">
        <f>SUM(B5:B10)</f>
        <v>0</v>
      </c>
      <c r="C11" s="203">
        <f t="shared" ref="C11:G11" si="0">SUM(C5:C10)</f>
        <v>502014.48081619892</v>
      </c>
      <c r="D11" s="203">
        <f t="shared" si="0"/>
        <v>632212.32297711377</v>
      </c>
      <c r="E11" s="203">
        <f t="shared" si="0"/>
        <v>632212.32297711377</v>
      </c>
      <c r="F11" s="203">
        <f t="shared" si="0"/>
        <v>637724.82467900717</v>
      </c>
      <c r="G11" s="207">
        <f t="shared" si="0"/>
        <v>637724.82467900717</v>
      </c>
      <c r="H11" s="370"/>
      <c r="I11" s="370"/>
      <c r="J11" s="370"/>
      <c r="K11" s="370"/>
      <c r="L11" s="370"/>
    </row>
    <row r="12" spans="1:12" x14ac:dyDescent="0.2">
      <c r="A12" s="99" t="s">
        <v>214</v>
      </c>
      <c r="B12" s="205"/>
      <c r="C12" s="21"/>
      <c r="D12" s="21"/>
      <c r="E12" s="21"/>
      <c r="F12" s="21"/>
      <c r="G12" s="22"/>
      <c r="H12" s="406"/>
      <c r="I12" s="406"/>
      <c r="J12" s="406"/>
      <c r="K12" s="406"/>
      <c r="L12" s="406"/>
    </row>
    <row r="13" spans="1:12" x14ac:dyDescent="0.2">
      <c r="A13" s="99" t="s">
        <v>204</v>
      </c>
      <c r="B13" s="208">
        <v>0</v>
      </c>
      <c r="C13" s="14">
        <f>+('E-Costos'!G36-'E-Costos'!G25-'E-Costos'!G28)*InfoInicial!$B$3</f>
        <v>16900.43696801793</v>
      </c>
      <c r="D13" s="14">
        <v>0</v>
      </c>
      <c r="E13" s="14">
        <v>0</v>
      </c>
      <c r="F13" s="14">
        <v>0</v>
      </c>
      <c r="G13" s="15">
        <v>0</v>
      </c>
      <c r="H13" s="405"/>
      <c r="I13" s="405"/>
      <c r="J13" s="405"/>
      <c r="K13" s="405"/>
      <c r="L13" s="405"/>
    </row>
    <row r="14" spans="1:12" x14ac:dyDescent="0.2">
      <c r="A14" s="99" t="s">
        <v>215</v>
      </c>
      <c r="B14" s="205">
        <v>0</v>
      </c>
      <c r="C14" s="21">
        <f>+'E-InvAT'!C30</f>
        <v>21203.800385763639</v>
      </c>
      <c r="D14" s="21">
        <f>+'E-InvAT'!D30</f>
        <v>-2580.5360485748784</v>
      </c>
      <c r="E14" s="21">
        <f>+'E-InvAT'!E30</f>
        <v>0</v>
      </c>
      <c r="F14" s="21">
        <f>+'E-InvAT'!F30</f>
        <v>-20.528937738522217</v>
      </c>
      <c r="G14" s="22">
        <f>+'E-InvAT'!G30</f>
        <v>0</v>
      </c>
      <c r="H14" s="406"/>
      <c r="I14" s="406"/>
      <c r="J14" s="406"/>
      <c r="K14" s="406"/>
      <c r="L14" s="406"/>
    </row>
    <row r="15" spans="1:12" x14ac:dyDescent="0.2">
      <c r="A15" s="102" t="s">
        <v>216</v>
      </c>
      <c r="B15" s="205">
        <v>0</v>
      </c>
      <c r="C15" s="21">
        <f>+'E-InvAT'!C31</f>
        <v>2303.3378146957934</v>
      </c>
      <c r="D15" s="21">
        <f>+'E-InvAT'!D31</f>
        <v>3159.5423247992139</v>
      </c>
      <c r="E15" s="21">
        <f>+'E-InvAT'!E31</f>
        <v>3160.4808580106396</v>
      </c>
      <c r="F15" s="21">
        <f>+'E-InvAT'!F31</f>
        <v>3183.0343549243025</v>
      </c>
      <c r="G15" s="22">
        <f>+'E-InvAT'!G31</f>
        <v>3183.0698205116173</v>
      </c>
      <c r="H15" s="406"/>
      <c r="I15" s="406"/>
      <c r="J15" s="406"/>
      <c r="K15" s="406"/>
      <c r="L15" s="406"/>
    </row>
    <row r="16" spans="1:12" x14ac:dyDescent="0.2">
      <c r="A16" s="101" t="s">
        <v>205</v>
      </c>
      <c r="B16" s="205">
        <v>0</v>
      </c>
      <c r="C16" s="21">
        <f>+('E-Costos'!B4+'E-Costos'!B9+'E-Costos'!B10+'E-Costos'!B11+'E-Costos'!B13+'E-Costos'!B14)*InfoInicial!$B$3</f>
        <v>456057.06025751267</v>
      </c>
      <c r="D16" s="21">
        <f>+('E-Costos'!C4+'E-Costos'!C9+'E-Costos'!C10+'E-Costos'!C11+'E-Costos'!C13+'E-Costos'!C14)*InfoInicial!$B$3</f>
        <v>583527.62070894882</v>
      </c>
      <c r="E16" s="21">
        <f>+('E-Costos'!D4+'E-Costos'!D9+'E-Costos'!D10+'E-Costos'!D11+'E-Costos'!D13+'E-Costos'!D14)*InfoInicial!$B$3</f>
        <v>583527.62070894882</v>
      </c>
      <c r="F16" s="21">
        <f>+('E-Costos'!E4+'E-Costos'!E9+'E-Costos'!E10+'E-Costos'!E11+'E-Costos'!E13+'E-Costos'!E14)*InfoInicial!$B$3</f>
        <v>589034.64703542017</v>
      </c>
      <c r="G16" s="22">
        <f>+('E-Costos'!F4+'E-Costos'!F9+'E-Costos'!F10+'E-Costos'!F11+'E-Costos'!F13+'E-Costos'!F14)*InfoInicial!$B$3</f>
        <v>589034.64703542017</v>
      </c>
      <c r="H16" s="406"/>
      <c r="I16" s="406"/>
      <c r="J16" s="406"/>
      <c r="K16" s="406"/>
      <c r="L16" s="406"/>
    </row>
    <row r="17" spans="1:13" x14ac:dyDescent="0.2">
      <c r="A17" s="101" t="s">
        <v>206</v>
      </c>
      <c r="B17" s="205">
        <f>+B11</f>
        <v>0</v>
      </c>
      <c r="C17" s="21">
        <f>+('E-Costos'!B56+'E-Costos'!B57+'E-Costos'!B58+'E-Costos'!B62+'E-Costos'!B59)*InfoInicial!$B$3</f>
        <v>10902.266529343076</v>
      </c>
      <c r="D17" s="21">
        <f>+('E-Costos'!C56+'E-Costos'!C57+'E-Costos'!C58+'E-Costos'!C62+'E-Costos'!C59)*InfoInicial!$B$3</f>
        <v>11634.726134082437</v>
      </c>
      <c r="E17" s="21">
        <f>+('E-Costos'!D56+'E-Costos'!D57+'E-Costos'!D58+'E-Costos'!D62+'E-Costos'!D59)*InfoInicial!$B$3</f>
        <v>11634.726134082437</v>
      </c>
      <c r="F17" s="21">
        <f>+('E-Costos'!E56+'E-Costos'!E57+'E-Costos'!E58+'E-Costos'!E62+'E-Costos'!E59)*InfoInicial!$B$3</f>
        <v>11637.463821793503</v>
      </c>
      <c r="G17" s="22">
        <f>+('E-Costos'!F56+'E-Costos'!F57+'E-Costos'!F58+'E-Costos'!F62+'E-Costos'!F59)*InfoInicial!$B$3</f>
        <v>11637.463821793503</v>
      </c>
      <c r="H17" s="406"/>
      <c r="I17" s="406"/>
      <c r="J17" s="406"/>
      <c r="K17" s="406"/>
      <c r="L17" s="406"/>
    </row>
    <row r="18" spans="1:13" x14ac:dyDescent="0.2">
      <c r="A18" s="101" t="s">
        <v>207</v>
      </c>
      <c r="B18" s="205">
        <v>0</v>
      </c>
      <c r="C18" s="21">
        <f>+('E-Costos'!B76+'E-Costos'!B77+'E-Costos'!B78+'E-Costos'!B79+'E-Costos'!B82)*InfoInicial!$B$3</f>
        <v>35055.154029343073</v>
      </c>
      <c r="D18" s="21">
        <f>+('E-Costos'!C76+'E-Costos'!C77+'E-Costos'!C78+'E-Costos'!C79+'E-Costos'!C82)*InfoInicial!$B$3</f>
        <v>37049.976134082433</v>
      </c>
      <c r="E18" s="21">
        <f>+('E-Costos'!D76+'E-Costos'!D77+'E-Costos'!D78+'E-Costos'!D79+'E-Costos'!D82)*InfoInicial!$B$3</f>
        <v>37049.976134082433</v>
      </c>
      <c r="F18" s="21">
        <f>+('E-Costos'!E76+'E-Costos'!E77+'E-Costos'!E78+'E-Costos'!E79+'E-Costos'!E82)*InfoInicial!$B$3</f>
        <v>37052.713821793499</v>
      </c>
      <c r="G18" s="22">
        <f>+('E-Costos'!F76+'E-Costos'!F77+'E-Costos'!F78+'E-Costos'!F79+'E-Costos'!F82)*InfoInicial!$B$3</f>
        <v>37052.713821793499</v>
      </c>
      <c r="H18" s="406"/>
      <c r="I18" s="406"/>
      <c r="J18" s="406"/>
      <c r="K18" s="406"/>
      <c r="L18" s="406"/>
    </row>
    <row r="19" spans="1:13" x14ac:dyDescent="0.2">
      <c r="A19" s="101" t="s">
        <v>268</v>
      </c>
      <c r="B19" s="206">
        <f>+SUM(B16:B18)</f>
        <v>0</v>
      </c>
      <c r="C19" s="203">
        <f>+C11-C13-C14-C15</f>
        <v>461606.90564772155</v>
      </c>
      <c r="D19" s="203">
        <f t="shared" ref="D19:G19" si="1">+D11-D13-D14-D15</f>
        <v>631633.31670088938</v>
      </c>
      <c r="E19" s="203">
        <f t="shared" si="1"/>
        <v>629051.84211910318</v>
      </c>
      <c r="F19" s="203">
        <f t="shared" si="1"/>
        <v>634562.31926182134</v>
      </c>
      <c r="G19" s="207">
        <f t="shared" si="1"/>
        <v>634541.75485849555</v>
      </c>
      <c r="H19" s="370"/>
      <c r="I19" s="370"/>
      <c r="J19" s="370"/>
      <c r="K19" s="370"/>
      <c r="L19" s="370"/>
    </row>
    <row r="20" spans="1:13" x14ac:dyDescent="0.2">
      <c r="A20" s="101"/>
      <c r="B20" s="208"/>
      <c r="C20" s="14"/>
      <c r="D20" s="14"/>
      <c r="E20" s="14"/>
      <c r="F20" s="14"/>
      <c r="G20" s="15"/>
      <c r="H20" s="405"/>
      <c r="I20" s="405"/>
      <c r="J20" s="405"/>
      <c r="K20" s="405"/>
      <c r="L20" s="405"/>
    </row>
    <row r="21" spans="1:13" x14ac:dyDescent="0.2">
      <c r="A21" s="103" t="s">
        <v>208</v>
      </c>
      <c r="B21" s="205">
        <f>+B19</f>
        <v>0</v>
      </c>
      <c r="C21" s="21">
        <f>+C19</f>
        <v>461606.90564772155</v>
      </c>
      <c r="D21" s="21">
        <f t="shared" ref="D21:G21" si="2">+D19</f>
        <v>631633.31670088938</v>
      </c>
      <c r="E21" s="21">
        <f t="shared" si="2"/>
        <v>629051.84211910318</v>
      </c>
      <c r="F21" s="21">
        <f t="shared" si="2"/>
        <v>634562.31926182134</v>
      </c>
      <c r="G21" s="22">
        <f t="shared" si="2"/>
        <v>634541.75485849555</v>
      </c>
      <c r="H21" s="406"/>
      <c r="I21" s="406"/>
      <c r="J21" s="406"/>
      <c r="K21" s="406"/>
      <c r="L21" s="406"/>
    </row>
    <row r="22" spans="1:13" x14ac:dyDescent="0.2">
      <c r="A22" s="103" t="s">
        <v>209</v>
      </c>
      <c r="B22" s="205">
        <v>0</v>
      </c>
      <c r="C22" s="21">
        <f>+'E-Costos'!B97*InfoInicial!$B$3</f>
        <v>2352000</v>
      </c>
      <c r="D22" s="21">
        <f>+'E-Costos'!C97*InfoInicial!$B$3</f>
        <v>3528000</v>
      </c>
      <c r="E22" s="21">
        <f>+'E-Costos'!D97*InfoInicial!$B$3</f>
        <v>3528000</v>
      </c>
      <c r="F22" s="21">
        <f>+'E-Costos'!E97*InfoInicial!$B$3</f>
        <v>3528000</v>
      </c>
      <c r="G22" s="22">
        <f>+'E-Costos'!F97*InfoInicial!$B$3</f>
        <v>3528000</v>
      </c>
      <c r="H22" s="406"/>
      <c r="I22" s="406"/>
      <c r="J22" s="406"/>
      <c r="K22" s="406"/>
      <c r="L22" s="406"/>
    </row>
    <row r="23" spans="1:13" x14ac:dyDescent="0.2">
      <c r="A23" s="101" t="s">
        <v>210</v>
      </c>
      <c r="B23" s="206">
        <f>+B22-B21</f>
        <v>0</v>
      </c>
      <c r="C23" s="203">
        <f t="shared" ref="C23:G23" si="3">+C22-C21</f>
        <v>1890393.0943522784</v>
      </c>
      <c r="D23" s="203">
        <f t="shared" si="3"/>
        <v>2896366.6832991107</v>
      </c>
      <c r="E23" s="203">
        <f t="shared" si="3"/>
        <v>2898948.1578808967</v>
      </c>
      <c r="F23" s="203">
        <f t="shared" si="3"/>
        <v>2893437.6807381785</v>
      </c>
      <c r="G23" s="207">
        <f t="shared" si="3"/>
        <v>2893458.2451415043</v>
      </c>
      <c r="H23" s="370"/>
      <c r="I23" s="370"/>
      <c r="J23" s="370"/>
      <c r="K23" s="370"/>
      <c r="L23" s="370"/>
    </row>
    <row r="24" spans="1:13" x14ac:dyDescent="0.2">
      <c r="A24" s="99"/>
      <c r="B24" s="208"/>
      <c r="C24" s="14"/>
      <c r="D24" s="14"/>
      <c r="E24" s="14"/>
      <c r="F24" s="14"/>
      <c r="G24" s="15"/>
      <c r="H24" s="405"/>
      <c r="I24" s="405"/>
      <c r="J24" s="405"/>
      <c r="K24" s="405"/>
      <c r="L24" s="405"/>
    </row>
    <row r="25" spans="1:13" x14ac:dyDescent="0.2">
      <c r="A25" s="104" t="s">
        <v>453</v>
      </c>
      <c r="B25" s="205">
        <v>0</v>
      </c>
      <c r="C25" s="21">
        <f>+'E-Cal Inv.'!C21+'E-Cal Inv.'!B21</f>
        <v>1428581.576698411</v>
      </c>
      <c r="D25" s="21">
        <f>IF(C27&lt;0,0,C27)</f>
        <v>0</v>
      </c>
      <c r="E25" s="21">
        <f t="shared" ref="E25:G25" si="4">IF(D27&lt;0,0,D27)</f>
        <v>0</v>
      </c>
      <c r="F25" s="21">
        <f t="shared" si="4"/>
        <v>0</v>
      </c>
      <c r="G25" s="22">
        <f t="shared" si="4"/>
        <v>0</v>
      </c>
      <c r="H25" s="406"/>
      <c r="I25" s="406"/>
      <c r="J25" s="406"/>
      <c r="K25" s="406"/>
      <c r="L25" s="406"/>
    </row>
    <row r="26" spans="1:13" x14ac:dyDescent="0.2">
      <c r="A26" s="104" t="s">
        <v>217</v>
      </c>
      <c r="B26" s="205">
        <f>'E-Cal Inv.'!B21+'E-Cal Inv.'!C21</f>
        <v>1428581.576698411</v>
      </c>
      <c r="C26" s="21">
        <f>+'E-Cal Inv.'!D21</f>
        <v>99434.012270246807</v>
      </c>
      <c r="D26" s="21">
        <f>+'E-Cal Inv.'!E21</f>
        <v>579.00627622433558</v>
      </c>
      <c r="E26" s="21">
        <f>+'E-Cal Inv.'!F21</f>
        <v>3160.4808580106396</v>
      </c>
      <c r="F26" s="21">
        <f>+'E-Cal Inv.'!G21</f>
        <v>3162.5054171857805</v>
      </c>
      <c r="G26" s="22">
        <f>+'E-Cal Inv.'!H21</f>
        <v>3183.0698205116173</v>
      </c>
      <c r="H26" s="406"/>
      <c r="I26" s="406"/>
      <c r="J26" s="406"/>
      <c r="K26" s="406"/>
      <c r="L26" s="406"/>
      <c r="M26" s="175"/>
    </row>
    <row r="27" spans="1:13" x14ac:dyDescent="0.2">
      <c r="A27" s="101" t="s">
        <v>211</v>
      </c>
      <c r="B27" s="205">
        <f>+B26</f>
        <v>1428581.576698411</v>
      </c>
      <c r="C27" s="21">
        <f>+C26+C25-C23</f>
        <v>-362377.5053836205</v>
      </c>
      <c r="D27" s="21">
        <f t="shared" ref="D27:G27" si="5">+D26+D25-D23</f>
        <v>-2895787.6770228865</v>
      </c>
      <c r="E27" s="21">
        <f t="shared" si="5"/>
        <v>-2895787.677022886</v>
      </c>
      <c r="F27" s="21">
        <f t="shared" si="5"/>
        <v>-2890275.1753209927</v>
      </c>
      <c r="G27" s="22">
        <f t="shared" si="5"/>
        <v>-2890275.1753209927</v>
      </c>
      <c r="H27" s="406"/>
      <c r="I27" s="406"/>
      <c r="J27" s="406"/>
      <c r="K27" s="406"/>
      <c r="L27" s="406"/>
    </row>
    <row r="28" spans="1:13" x14ac:dyDescent="0.2">
      <c r="A28" s="101" t="s">
        <v>243</v>
      </c>
      <c r="B28" s="21">
        <f>+IF(B27&gt;0,B23,B26+B25)</f>
        <v>0</v>
      </c>
      <c r="C28" s="21">
        <f>IF(C27&gt;0,C23,C25+C26)</f>
        <v>1528015.5889686579</v>
      </c>
      <c r="D28" s="21">
        <f t="shared" ref="D28:G28" si="6">IF(D27&gt;0,D23,D25+D26)</f>
        <v>579.00627622433558</v>
      </c>
      <c r="E28" s="21">
        <f t="shared" si="6"/>
        <v>3160.4808580106396</v>
      </c>
      <c r="F28" s="21">
        <f t="shared" si="6"/>
        <v>3162.5054171857805</v>
      </c>
      <c r="G28" s="22">
        <f t="shared" si="6"/>
        <v>3183.0698205116173</v>
      </c>
      <c r="H28" s="406"/>
      <c r="I28" s="406"/>
      <c r="J28" s="406"/>
      <c r="K28" s="406"/>
      <c r="L28" s="406"/>
      <c r="M28" s="175"/>
    </row>
    <row r="29" spans="1:13" x14ac:dyDescent="0.2">
      <c r="A29" s="99"/>
      <c r="B29" s="208"/>
      <c r="C29" s="14"/>
      <c r="D29" s="14"/>
      <c r="E29" s="14"/>
      <c r="F29" s="14"/>
      <c r="G29" s="15"/>
      <c r="H29" s="405"/>
      <c r="I29" s="405"/>
      <c r="J29" s="405"/>
      <c r="K29" s="405"/>
      <c r="L29" s="405"/>
      <c r="M29" s="173"/>
    </row>
    <row r="30" spans="1:13" ht="13.5" thickBot="1" x14ac:dyDescent="0.25">
      <c r="A30" s="105" t="s">
        <v>212</v>
      </c>
      <c r="B30" s="124">
        <f>IF(B27&gt;0,0,-B27)</f>
        <v>0</v>
      </c>
      <c r="C30" s="124">
        <f>IF(C27&gt;0,0,-C27)</f>
        <v>362377.5053836205</v>
      </c>
      <c r="D30" s="124">
        <f t="shared" ref="D30:G30" si="7">IF(D27&gt;0,0,-D27)</f>
        <v>2895787.6770228865</v>
      </c>
      <c r="E30" s="124">
        <f t="shared" si="7"/>
        <v>2895787.677022886</v>
      </c>
      <c r="F30" s="124">
        <f t="shared" si="7"/>
        <v>2890275.1753209927</v>
      </c>
      <c r="G30" s="127">
        <f t="shared" si="7"/>
        <v>2890275.1753209927</v>
      </c>
      <c r="H30" s="370"/>
      <c r="I30" s="370"/>
      <c r="J30" s="370"/>
      <c r="K30" s="370"/>
      <c r="L30" s="370"/>
    </row>
    <row r="31" spans="1:13" ht="13.5" thickTop="1" x14ac:dyDescent="0.2"/>
    <row r="32" spans="1:13" x14ac:dyDescent="0.2">
      <c r="B32" s="180"/>
    </row>
    <row r="33" spans="1:1" x14ac:dyDescent="0.2">
      <c r="A33" s="107"/>
    </row>
    <row r="40" spans="1:1" x14ac:dyDescent="0.2">
      <c r="A40" s="107"/>
    </row>
    <row r="44" spans="1:1" x14ac:dyDescent="0.2">
      <c r="A44" s="108"/>
    </row>
    <row r="45" spans="1:1" x14ac:dyDescent="0.2">
      <c r="A45" s="107"/>
    </row>
    <row r="46" spans="1:1" x14ac:dyDescent="0.2">
      <c r="A46" s="107"/>
    </row>
    <row r="47" spans="1:1" x14ac:dyDescent="0.2">
      <c r="A47" s="107"/>
    </row>
    <row r="48" spans="1:1" x14ac:dyDescent="0.2">
      <c r="A48" s="107"/>
    </row>
    <row r="49" spans="1:1" x14ac:dyDescent="0.2">
      <c r="A49" s="109"/>
    </row>
    <row r="50" spans="1:1" x14ac:dyDescent="0.2">
      <c r="A50" s="109"/>
    </row>
    <row r="51" spans="1:1" x14ac:dyDescent="0.2">
      <c r="A51" s="107"/>
    </row>
    <row r="53" spans="1:1" x14ac:dyDescent="0.2">
      <c r="A53" s="110"/>
    </row>
    <row r="54" spans="1:1" x14ac:dyDescent="0.2">
      <c r="A54" s="110"/>
    </row>
    <row r="55" spans="1:1" x14ac:dyDescent="0.2">
      <c r="A55" s="107"/>
    </row>
    <row r="57" spans="1:1" x14ac:dyDescent="0.2">
      <c r="A57" s="107"/>
    </row>
  </sheetData>
  <mergeCells count="2">
    <mergeCell ref="A2:G2"/>
    <mergeCell ref="A1:G1"/>
  </mergeCells>
  <pageMargins left="0.26" right="0.46" top="1.27" bottom="1" header="0" footer="0"/>
  <pageSetup paperSize="9" scale="78" fitToHeight="4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48"/>
  <sheetViews>
    <sheetView tabSelected="1" zoomScale="90" zoomScaleNormal="90" workbookViewId="0">
      <selection activeCell="F16" sqref="F16"/>
    </sheetView>
  </sheetViews>
  <sheetFormatPr baseColWidth="10" defaultRowHeight="12.75" x14ac:dyDescent="0.2"/>
  <cols>
    <col min="1" max="1" width="8" style="24" customWidth="1"/>
    <col min="2" max="2" width="15.5703125" style="24" bestFit="1" customWidth="1"/>
    <col min="3" max="3" width="17.42578125" style="24" customWidth="1"/>
    <col min="4" max="7" width="16" style="24" bestFit="1" customWidth="1"/>
    <col min="8" max="8" width="17.140625" style="24" bestFit="1" customWidth="1"/>
    <col min="9" max="10" width="16" style="24" bestFit="1" customWidth="1"/>
    <col min="11" max="13" width="17.140625" style="24" bestFit="1" customWidth="1"/>
    <col min="14" max="14" width="17.42578125" style="24" bestFit="1" customWidth="1"/>
    <col min="15" max="16384" width="11.42578125" style="24"/>
  </cols>
  <sheetData>
    <row r="1" spans="1:14" ht="16.5" thickTop="1" x14ac:dyDescent="0.25">
      <c r="A1" s="96" t="s">
        <v>227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4" ht="39" thickBot="1" x14ac:dyDescent="0.25">
      <c r="A2" s="210" t="s">
        <v>218</v>
      </c>
      <c r="B2" s="209" t="s">
        <v>0</v>
      </c>
      <c r="C2" s="209" t="s">
        <v>219</v>
      </c>
      <c r="D2" s="209" t="s">
        <v>220</v>
      </c>
      <c r="E2" s="209" t="s">
        <v>78</v>
      </c>
      <c r="F2" s="209" t="s">
        <v>221</v>
      </c>
      <c r="G2" s="211" t="s">
        <v>222</v>
      </c>
      <c r="H2" s="209" t="s">
        <v>223</v>
      </c>
      <c r="I2" s="209" t="s">
        <v>224</v>
      </c>
      <c r="J2" s="209" t="s">
        <v>225</v>
      </c>
      <c r="K2" s="211" t="s">
        <v>226</v>
      </c>
      <c r="L2" s="212" t="s">
        <v>229</v>
      </c>
      <c r="M2" s="213" t="s">
        <v>230</v>
      </c>
    </row>
    <row r="3" spans="1:14" ht="13.5" thickTop="1" x14ac:dyDescent="0.2">
      <c r="A3" s="111">
        <v>0</v>
      </c>
      <c r="B3" s="112">
        <f>+'E-Cal Inv.'!B6+'E-Cal Inv.'!C6</f>
        <v>6606171.1401684172</v>
      </c>
      <c r="C3" s="113">
        <f>+'E-InvAT'!B23</f>
        <v>240687.03768115948</v>
      </c>
      <c r="D3" s="113">
        <f>'E-IVA '!B26</f>
        <v>1428581.576698411</v>
      </c>
      <c r="E3" s="113"/>
      <c r="F3" s="113"/>
      <c r="G3" s="138">
        <f>+SUM(B3:F3)</f>
        <v>8275439.7545479881</v>
      </c>
      <c r="H3" s="113"/>
      <c r="I3" s="113"/>
      <c r="J3" s="113">
        <f>+'E-IVA '!$B$28</f>
        <v>0</v>
      </c>
      <c r="K3" s="138">
        <f>+SUM(H3:J3)</f>
        <v>0</v>
      </c>
      <c r="L3" s="114">
        <f>+K3-G3</f>
        <v>-8275439.7545479881</v>
      </c>
      <c r="M3" s="115">
        <f>L3</f>
        <v>-8275439.7545479881</v>
      </c>
    </row>
    <row r="4" spans="1:14" x14ac:dyDescent="0.2">
      <c r="A4" s="116">
        <v>1</v>
      </c>
      <c r="B4" s="100">
        <f>+'E-Cal Inv.'!D$6</f>
        <v>163608.39246482577</v>
      </c>
      <c r="C4" s="113">
        <f>+'E-InvAT'!C23</f>
        <v>994314.99368463608</v>
      </c>
      <c r="D4" s="113">
        <f>'E-IVA '!C26</f>
        <v>99434.012270246807</v>
      </c>
      <c r="E4" s="21">
        <f>+'E-Costos'!$B$127</f>
        <v>318858.31456582237</v>
      </c>
      <c r="F4" s="21">
        <f>+'E-Costos'!$B$128</f>
        <v>1594291.5728291117</v>
      </c>
      <c r="G4" s="138">
        <f>+SUM(B4:F4)</f>
        <v>3170507.2858146429</v>
      </c>
      <c r="H4" s="21">
        <f>+'E-Costos'!$B$126</f>
        <v>4555118.7795117479</v>
      </c>
      <c r="I4" s="21">
        <f>'E-Costos'!B135</f>
        <v>424908.52277664858</v>
      </c>
      <c r="J4" s="113">
        <f>+'E-IVA '!$C$28</f>
        <v>1528015.5889686579</v>
      </c>
      <c r="K4" s="138">
        <f t="shared" ref="K4:K8" si="0">+SUM(H4:J4)</f>
        <v>6508042.8912570542</v>
      </c>
      <c r="L4" s="114">
        <f t="shared" ref="L4:L8" si="1">+K4-G4</f>
        <v>3337535.6054424113</v>
      </c>
      <c r="M4" s="22">
        <f>M3+L4</f>
        <v>-4937904.1491055768</v>
      </c>
    </row>
    <row r="5" spans="1:14" x14ac:dyDescent="0.2">
      <c r="A5" s="116">
        <v>2</v>
      </c>
      <c r="B5" s="100">
        <f>+'E-Cal Inv.'!E$6</f>
        <v>0</v>
      </c>
      <c r="C5" s="113">
        <f>+'E-InvAT'!D23</f>
        <v>371077.31534340628</v>
      </c>
      <c r="D5" s="113">
        <f>'E-IVA '!D26</f>
        <v>579.00627622433558</v>
      </c>
      <c r="E5" s="21">
        <f>+'E-Costos'!$B$127</f>
        <v>318858.31456582237</v>
      </c>
      <c r="F5" s="21">
        <f>+'E-Costos'!$C$128</f>
        <v>3089245.0051673832</v>
      </c>
      <c r="G5" s="138">
        <f>+SUM(B5:F5)</f>
        <v>3779759.641352836</v>
      </c>
      <c r="H5" s="21">
        <f>+'E-Costos'!$C$126</f>
        <v>8826414.3004782386</v>
      </c>
      <c r="I5" s="21">
        <f>'E-Costos'!C135</f>
        <v>424908.52277664858</v>
      </c>
      <c r="J5" s="113">
        <f>+'E-IVA '!$D$28</f>
        <v>579.00627622433558</v>
      </c>
      <c r="K5" s="138">
        <f t="shared" si="0"/>
        <v>9251901.8295311108</v>
      </c>
      <c r="L5" s="114">
        <f t="shared" si="1"/>
        <v>5472142.1881782748</v>
      </c>
      <c r="M5" s="22">
        <f>M4+L5</f>
        <v>534238.03907269798</v>
      </c>
    </row>
    <row r="6" spans="1:14" x14ac:dyDescent="0.2">
      <c r="A6" s="116">
        <v>3</v>
      </c>
      <c r="B6" s="100">
        <f>+'E-Cal Inv.'!F$6</f>
        <v>0</v>
      </c>
      <c r="C6" s="113">
        <f>+'E-InvAT'!E23</f>
        <v>774.81484481832013</v>
      </c>
      <c r="D6" s="113">
        <f>'E-IVA '!E26</f>
        <v>3160.4808580106396</v>
      </c>
      <c r="E6" s="21">
        <f>+'E-Costos'!$B$127</f>
        <v>318858.31456582237</v>
      </c>
      <c r="F6" s="21">
        <f>+'E-Costos'!$D$128</f>
        <v>3090155.1992006255</v>
      </c>
      <c r="G6" s="138">
        <f t="shared" ref="G6:G7" si="2">+SUM(B6:F6)</f>
        <v>3412948.809469277</v>
      </c>
      <c r="H6" s="21">
        <f>+'E-Costos'!$D$126</f>
        <v>8829014.8548589312</v>
      </c>
      <c r="I6" s="21">
        <f>'E-Costos'!D135</f>
        <v>424908.52277664858</v>
      </c>
      <c r="J6" s="113">
        <f>+'E-IVA '!$E$28</f>
        <v>3160.4808580106396</v>
      </c>
      <c r="K6" s="138">
        <f t="shared" si="0"/>
        <v>9257083.8584935907</v>
      </c>
      <c r="L6" s="114">
        <f t="shared" si="1"/>
        <v>5844135.0490243137</v>
      </c>
      <c r="M6" s="22">
        <f t="shared" ref="M6:M8" si="3">M5+L6</f>
        <v>6378373.0880970117</v>
      </c>
    </row>
    <row r="7" spans="1:14" ht="13.5" thickBot="1" x14ac:dyDescent="0.25">
      <c r="A7" s="116">
        <v>4</v>
      </c>
      <c r="B7" s="100">
        <f>+'E-Cal Inv.'!G$6</f>
        <v>0</v>
      </c>
      <c r="C7" s="113">
        <f>+'E-InvAT'!F23</f>
        <v>1346.0765481125563</v>
      </c>
      <c r="D7" s="113">
        <f>'E-IVA '!F26</f>
        <v>3162.5054171857805</v>
      </c>
      <c r="E7" s="21">
        <f>+'E-Costos'!$B$127</f>
        <v>318858.31456582237</v>
      </c>
      <c r="F7" s="21">
        <f>+'E-Costos'!$E$128</f>
        <v>3081144.0133402636</v>
      </c>
      <c r="G7" s="138">
        <f t="shared" si="2"/>
        <v>3404510.9098713845</v>
      </c>
      <c r="H7" s="21">
        <f>+'E-Costos'!$E$126</f>
        <v>8803268.6095436104</v>
      </c>
      <c r="I7" s="21">
        <f>'E-Costos'!E135</f>
        <v>424908.52277664858</v>
      </c>
      <c r="J7" s="113">
        <f>+'E-IVA '!$F$28</f>
        <v>3162.5054171857805</v>
      </c>
      <c r="K7" s="138">
        <f t="shared" si="0"/>
        <v>9231339.6377374437</v>
      </c>
      <c r="L7" s="114">
        <f t="shared" si="1"/>
        <v>5826828.7278660592</v>
      </c>
      <c r="M7" s="143">
        <f t="shared" si="3"/>
        <v>12205201.815963071</v>
      </c>
    </row>
    <row r="8" spans="1:14" ht="13.5" thickBot="1" x14ac:dyDescent="0.25">
      <c r="A8" s="116">
        <v>5</v>
      </c>
      <c r="B8" s="100">
        <f>+'E-Inv AF y Am'!G55*(-1)</f>
        <v>-4645236.9187500002</v>
      </c>
      <c r="C8" s="113">
        <f>-SUM(C3:C7)</f>
        <v>-1608200.2381021327</v>
      </c>
      <c r="D8" s="113">
        <f>'E-IVA '!G26</f>
        <v>3183.0698205116173</v>
      </c>
      <c r="E8" s="21">
        <f>+'E-Costos'!$B$127</f>
        <v>318858.31456582237</v>
      </c>
      <c r="F8" s="21">
        <f>+'E-Costos'!$F$128</f>
        <v>3081178.2282364951</v>
      </c>
      <c r="G8" s="138">
        <f>+SUM(B8:F8)</f>
        <v>-2850217.544229304</v>
      </c>
      <c r="H8" s="21">
        <f>+'E-Costos'!$F$126</f>
        <v>8803366.3663899861</v>
      </c>
      <c r="I8" s="21">
        <f>'E-Costos'!F135</f>
        <v>424908.52277664858</v>
      </c>
      <c r="J8" s="113">
        <f>+'E-IVA '!$G$28</f>
        <v>3183.0698205116173</v>
      </c>
      <c r="K8" s="138">
        <f t="shared" si="0"/>
        <v>9231457.9589871466</v>
      </c>
      <c r="L8" s="114">
        <f t="shared" si="1"/>
        <v>12081675.503216451</v>
      </c>
      <c r="M8" s="142">
        <f t="shared" si="3"/>
        <v>24286877.31917952</v>
      </c>
    </row>
    <row r="9" spans="1:14" ht="13.5" thickBot="1" x14ac:dyDescent="0.25">
      <c r="A9" s="116"/>
      <c r="B9" s="18"/>
      <c r="C9" s="14"/>
      <c r="D9" s="14"/>
      <c r="E9" s="14"/>
      <c r="F9" s="14"/>
      <c r="G9" s="139"/>
      <c r="H9" s="14"/>
      <c r="I9" s="14"/>
      <c r="J9" s="14"/>
      <c r="K9" s="139"/>
      <c r="L9" s="141"/>
      <c r="M9" s="16"/>
    </row>
    <row r="10" spans="1:14" ht="13.5" thickBot="1" x14ac:dyDescent="0.25">
      <c r="A10" s="117" t="s">
        <v>228</v>
      </c>
      <c r="B10" s="106">
        <f t="shared" ref="B10:K10" si="4">SUM(B3:B9)</f>
        <v>2124542.6138832429</v>
      </c>
      <c r="C10" s="106">
        <f t="shared" si="4"/>
        <v>0</v>
      </c>
      <c r="D10" s="106">
        <f t="shared" si="4"/>
        <v>1538100.6513405903</v>
      </c>
      <c r="E10" s="106">
        <f t="shared" si="4"/>
        <v>1594291.5728291119</v>
      </c>
      <c r="F10" s="106">
        <f t="shared" si="4"/>
        <v>13936014.018773878</v>
      </c>
      <c r="G10" s="106">
        <f t="shared" si="4"/>
        <v>19192948.856826823</v>
      </c>
      <c r="H10" s="106">
        <f t="shared" si="4"/>
        <v>39817182.910782516</v>
      </c>
      <c r="I10" s="106">
        <f t="shared" si="4"/>
        <v>2124542.6138832429</v>
      </c>
      <c r="J10" s="106">
        <f t="shared" si="4"/>
        <v>1538100.6513405903</v>
      </c>
      <c r="K10" s="460">
        <f t="shared" si="4"/>
        <v>43479826.176006347</v>
      </c>
      <c r="L10" s="142">
        <f>+SUM(L3:L8)</f>
        <v>24286877.31917952</v>
      </c>
      <c r="M10" s="140"/>
    </row>
    <row r="11" spans="1:14" ht="13.5" thickTop="1" x14ac:dyDescent="0.2">
      <c r="H11" s="173"/>
    </row>
    <row r="12" spans="1:14" x14ac:dyDescent="0.2">
      <c r="C12" s="118" t="s">
        <v>231</v>
      </c>
      <c r="D12" s="461">
        <f>H10-(E10+F10)</f>
        <v>24286877.319179527</v>
      </c>
      <c r="F12" s="175"/>
      <c r="G12" s="217"/>
      <c r="H12" s="218"/>
      <c r="L12" s="173"/>
    </row>
    <row r="13" spans="1:14" x14ac:dyDescent="0.2">
      <c r="A13" s="107"/>
      <c r="C13" s="118" t="s">
        <v>232</v>
      </c>
      <c r="D13" s="274">
        <f>1+ABS(M4)/L5</f>
        <v>1.9023713162595013</v>
      </c>
      <c r="E13" s="24" t="s">
        <v>234</v>
      </c>
      <c r="G13" s="173"/>
      <c r="I13" s="175"/>
      <c r="L13" s="173"/>
    </row>
    <row r="14" spans="1:14" x14ac:dyDescent="0.2">
      <c r="C14" s="118" t="s">
        <v>233</v>
      </c>
      <c r="D14" s="289">
        <f>IRR(L3:L8)</f>
        <v>0.55596774347713973</v>
      </c>
    </row>
    <row r="15" spans="1:14" ht="14.25" x14ac:dyDescent="0.25">
      <c r="B15" s="120"/>
      <c r="C15" s="118" t="s">
        <v>269</v>
      </c>
      <c r="D15" s="219">
        <f>NPV(0.18,L4:L8)+L3</f>
        <v>10326333.727209251</v>
      </c>
      <c r="E15" s="72"/>
      <c r="F15" s="120"/>
      <c r="G15" s="120"/>
      <c r="H15" s="120"/>
      <c r="I15" s="119"/>
      <c r="J15" s="120"/>
      <c r="K15" s="120"/>
      <c r="L15" s="120"/>
      <c r="M15" s="120"/>
      <c r="N15" s="119"/>
    </row>
    <row r="16" spans="1:14" ht="15.75" x14ac:dyDescent="0.25">
      <c r="A16" s="121"/>
      <c r="B16" s="120"/>
      <c r="C16" s="122"/>
      <c r="D16" s="120"/>
      <c r="E16" s="123"/>
      <c r="F16" s="120"/>
      <c r="G16" s="120"/>
      <c r="H16" s="120"/>
      <c r="I16" s="120"/>
      <c r="J16" s="120"/>
      <c r="K16" s="120"/>
      <c r="L16" s="120"/>
      <c r="M16" s="120"/>
      <c r="N16" s="120"/>
    </row>
    <row r="18" spans="1:1" x14ac:dyDescent="0.2">
      <c r="A18" s="110"/>
    </row>
    <row r="19" spans="1:1" x14ac:dyDescent="0.2">
      <c r="A19" s="110"/>
    </row>
    <row r="20" spans="1:1" x14ac:dyDescent="0.2">
      <c r="A20" s="107"/>
    </row>
    <row r="22" spans="1:1" x14ac:dyDescent="0.2">
      <c r="A22" s="107"/>
    </row>
    <row r="41" spans="2:13" ht="13.5" thickBot="1" x14ac:dyDescent="0.25"/>
    <row r="42" spans="2:13" ht="13.5" thickBot="1" x14ac:dyDescent="0.25">
      <c r="B42" s="295" t="s">
        <v>392</v>
      </c>
      <c r="C42" s="305">
        <f>0</f>
        <v>0</v>
      </c>
      <c r="D42" s="306">
        <f>+C42+$M$42/10</f>
        <v>7.4999999999999997E-2</v>
      </c>
      <c r="E42" s="306">
        <f t="shared" ref="E42:L42" si="5">+D42+$M$42/10</f>
        <v>0.15</v>
      </c>
      <c r="F42" s="306">
        <f t="shared" si="5"/>
        <v>0.22499999999999998</v>
      </c>
      <c r="G42" s="306">
        <f t="shared" si="5"/>
        <v>0.3</v>
      </c>
      <c r="H42" s="306">
        <f t="shared" si="5"/>
        <v>0.375</v>
      </c>
      <c r="I42" s="306">
        <f t="shared" si="5"/>
        <v>0.45</v>
      </c>
      <c r="J42" s="306">
        <f t="shared" si="5"/>
        <v>0.52500000000000002</v>
      </c>
      <c r="K42" s="306">
        <f t="shared" si="5"/>
        <v>0.6</v>
      </c>
      <c r="L42" s="306">
        <f t="shared" si="5"/>
        <v>0.67499999999999993</v>
      </c>
      <c r="M42" s="307">
        <v>0.75</v>
      </c>
    </row>
    <row r="43" spans="2:13" x14ac:dyDescent="0.2">
      <c r="B43" s="296" t="s">
        <v>393</v>
      </c>
      <c r="C43" s="297">
        <f t="shared" ref="C43:M43" si="6">+NPV(C42,$L$3:$L$8)</f>
        <v>24286877.31917952</v>
      </c>
      <c r="D43" s="298">
        <f t="shared" si="6"/>
        <v>15858133.678557968</v>
      </c>
      <c r="E43" s="298">
        <f t="shared" si="6"/>
        <v>10387252.749079278</v>
      </c>
      <c r="F43" s="298">
        <f t="shared" si="6"/>
        <v>6728228.7555287043</v>
      </c>
      <c r="G43" s="298">
        <f t="shared" si="6"/>
        <v>4218448.3339969078</v>
      </c>
      <c r="H43" s="298">
        <f t="shared" si="6"/>
        <v>2460075.7196692084</v>
      </c>
      <c r="I43" s="298">
        <f t="shared" si="6"/>
        <v>1206205.2426965884</v>
      </c>
      <c r="J43" s="298">
        <f t="shared" si="6"/>
        <v>299047.68693247077</v>
      </c>
      <c r="K43" s="298">
        <f t="shared" si="6"/>
        <v>-364894.88010043744</v>
      </c>
      <c r="L43" s="298">
        <f t="shared" si="6"/>
        <v>-855106.66237601149</v>
      </c>
      <c r="M43" s="299">
        <f t="shared" si="6"/>
        <v>-1219219.4531845362</v>
      </c>
    </row>
    <row r="44" spans="2:13" ht="14.25" x14ac:dyDescent="0.25">
      <c r="B44" s="300" t="s">
        <v>394</v>
      </c>
      <c r="C44" s="301">
        <f>+G3</f>
        <v>8275439.7545479881</v>
      </c>
      <c r="D44" s="302">
        <f t="shared" ref="D44:L44" si="7">+C44</f>
        <v>8275439.7545479881</v>
      </c>
      <c r="E44" s="302">
        <f t="shared" si="7"/>
        <v>8275439.7545479881</v>
      </c>
      <c r="F44" s="302">
        <f t="shared" si="7"/>
        <v>8275439.7545479881</v>
      </c>
      <c r="G44" s="302">
        <f t="shared" si="7"/>
        <v>8275439.7545479881</v>
      </c>
      <c r="H44" s="302">
        <f t="shared" si="7"/>
        <v>8275439.7545479881</v>
      </c>
      <c r="I44" s="302">
        <f t="shared" si="7"/>
        <v>8275439.7545479881</v>
      </c>
      <c r="J44" s="302">
        <f t="shared" si="7"/>
        <v>8275439.7545479881</v>
      </c>
      <c r="K44" s="302">
        <f t="shared" si="7"/>
        <v>8275439.7545479881</v>
      </c>
      <c r="L44" s="302">
        <f t="shared" si="7"/>
        <v>8275439.7545479881</v>
      </c>
      <c r="M44" s="303">
        <f>+J44</f>
        <v>8275439.7545479881</v>
      </c>
    </row>
    <row r="45" spans="2:13" ht="15" thickBot="1" x14ac:dyDescent="0.3">
      <c r="B45" s="304" t="s">
        <v>395</v>
      </c>
      <c r="C45" s="301">
        <f>+C43+C44</f>
        <v>32562317.073727507</v>
      </c>
      <c r="D45" s="302">
        <f t="shared" ref="D45:J45" si="8">+D43+D44</f>
        <v>24133573.433105957</v>
      </c>
      <c r="E45" s="302">
        <f t="shared" si="8"/>
        <v>18662692.503627267</v>
      </c>
      <c r="F45" s="302">
        <f t="shared" si="8"/>
        <v>15003668.510076692</v>
      </c>
      <c r="G45" s="302">
        <f t="shared" si="8"/>
        <v>12493888.088544896</v>
      </c>
      <c r="H45" s="302">
        <f t="shared" si="8"/>
        <v>10735515.474217197</v>
      </c>
      <c r="I45" s="302">
        <f t="shared" si="8"/>
        <v>9481644.997244576</v>
      </c>
      <c r="J45" s="302">
        <f t="shared" si="8"/>
        <v>8574487.4414804596</v>
      </c>
      <c r="K45" s="302">
        <f>+K43+K44</f>
        <v>7910544.8744475506</v>
      </c>
      <c r="L45" s="302">
        <f>+L43+L44</f>
        <v>7420333.0921719763</v>
      </c>
      <c r="M45" s="303">
        <f>+M43+M44</f>
        <v>7056220.3013634514</v>
      </c>
    </row>
    <row r="46" spans="2:13" ht="13.5" thickBot="1" x14ac:dyDescent="0.25">
      <c r="B46" s="304" t="s">
        <v>396</v>
      </c>
      <c r="C46" s="308">
        <f>$C$45</f>
        <v>32562317.073727507</v>
      </c>
      <c r="D46" s="308">
        <f t="shared" ref="D46:M46" si="9">$C$45</f>
        <v>32562317.073727507</v>
      </c>
      <c r="E46" s="308">
        <f t="shared" si="9"/>
        <v>32562317.073727507</v>
      </c>
      <c r="F46" s="308">
        <f t="shared" si="9"/>
        <v>32562317.073727507</v>
      </c>
      <c r="G46" s="308">
        <f t="shared" si="9"/>
        <v>32562317.073727507</v>
      </c>
      <c r="H46" s="308">
        <f t="shared" si="9"/>
        <v>32562317.073727507</v>
      </c>
      <c r="I46" s="308">
        <f t="shared" si="9"/>
        <v>32562317.073727507</v>
      </c>
      <c r="J46" s="308">
        <f t="shared" si="9"/>
        <v>32562317.073727507</v>
      </c>
      <c r="K46" s="308">
        <f t="shared" si="9"/>
        <v>32562317.073727507</v>
      </c>
      <c r="L46" s="308">
        <f t="shared" si="9"/>
        <v>32562317.073727507</v>
      </c>
      <c r="M46" s="309">
        <f t="shared" si="9"/>
        <v>32562317.073727507</v>
      </c>
    </row>
    <row r="48" spans="2:13" x14ac:dyDescent="0.2">
      <c r="K48" s="109"/>
    </row>
  </sheetData>
  <pageMargins left="0.26" right="0.46" top="1.27" bottom="1" header="0" footer="0"/>
  <pageSetup paperSize="9" scale="76" fitToHeight="4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VER ADRI</vt:lpstr>
      <vt:lpstr>Entrada de Datos</vt:lpstr>
      <vt:lpstr>InfoInicial</vt:lpstr>
      <vt:lpstr>E-Inv AF y Am</vt:lpstr>
      <vt:lpstr>E-Costos</vt:lpstr>
      <vt:lpstr>E-InvAT</vt:lpstr>
      <vt:lpstr>E-Cal Inv.</vt:lpstr>
      <vt:lpstr>E-IVA </vt:lpstr>
      <vt:lpstr>E-Form</vt:lpstr>
      <vt:lpstr>'E-Costos'!Área_de_impresión</vt:lpstr>
    </vt:vector>
  </TitlesOfParts>
  <Manager>Ing Diego Roberto Berenguer</Manager>
  <Company>Catedra de Evaluación de Proyectos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Cuadros del Dimensionamiento Economico Financiero</dc:title>
  <dc:creator>Yacovone - Rodriguez</dc:creator>
  <cp:keywords>Grupo Hojalata</cp:keywords>
  <cp:lastModifiedBy>German Federico</cp:lastModifiedBy>
  <cp:lastPrinted>2016-09-27T04:04:48Z</cp:lastPrinted>
  <dcterms:created xsi:type="dcterms:W3CDTF">2004-09-01T03:31:20Z</dcterms:created>
  <dcterms:modified xsi:type="dcterms:W3CDTF">2016-11-04T20:18:29Z</dcterms:modified>
</cp:coreProperties>
</file>