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315" windowHeight="6150" activeTab="2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  <sheet name="Hoja11" sheetId="11" r:id="rId1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1"/>
  <c r="F11"/>
  <c r="F36" i="10"/>
  <c r="D35"/>
  <c r="G30"/>
  <c r="G31" s="1"/>
  <c r="G32" s="1"/>
  <c r="G33" s="1"/>
  <c r="G29"/>
  <c r="G28"/>
  <c r="C33"/>
  <c r="C32"/>
  <c r="C31"/>
  <c r="C30"/>
  <c r="D31"/>
  <c r="D32"/>
  <c r="D33"/>
  <c r="D30"/>
  <c r="C28"/>
  <c r="F16"/>
  <c r="D15"/>
  <c r="D16" s="1"/>
  <c r="G10"/>
  <c r="G11" s="1"/>
  <c r="G12" s="1"/>
  <c r="G13" s="1"/>
  <c r="G9"/>
  <c r="G8"/>
  <c r="C13"/>
  <c r="C12"/>
  <c r="C11"/>
  <c r="D11"/>
  <c r="D12"/>
  <c r="D13"/>
  <c r="C10"/>
  <c r="D10"/>
  <c r="C8"/>
  <c r="D61" i="9" l="1"/>
  <c r="F42"/>
  <c r="F43"/>
  <c r="F44"/>
  <c r="D56"/>
  <c r="F49"/>
  <c r="D51"/>
  <c r="F51"/>
  <c r="D52"/>
  <c r="F52"/>
  <c r="E38" i="6"/>
  <c r="F12" i="9"/>
  <c r="F13"/>
  <c r="F14"/>
  <c r="D26"/>
  <c r="F21"/>
  <c r="D22"/>
  <c r="F22"/>
  <c r="F23"/>
  <c r="D27"/>
  <c r="D28"/>
  <c r="F16"/>
  <c r="F19"/>
  <c r="D31"/>
  <c r="E20" i="6"/>
  <c r="E21"/>
  <c r="H20"/>
  <c r="F53" i="9"/>
  <c r="D57"/>
  <c r="E37" i="6"/>
  <c r="H37"/>
  <c r="J28"/>
  <c r="J29"/>
  <c r="J30"/>
  <c r="J31"/>
  <c r="J32"/>
  <c r="D39"/>
  <c r="J11"/>
  <c r="J12"/>
  <c r="J13"/>
  <c r="J14"/>
  <c r="J15"/>
  <c r="D22"/>
  <c r="I34"/>
  <c r="F31"/>
  <c r="F30"/>
  <c r="F29"/>
  <c r="F28"/>
  <c r="E23"/>
  <c r="I17"/>
  <c r="F14"/>
  <c r="F12"/>
  <c r="F13"/>
  <c r="F11"/>
  <c r="M10" i="5"/>
  <c r="O10"/>
  <c r="P10"/>
  <c r="R10"/>
  <c r="D11"/>
  <c r="F11"/>
  <c r="G11"/>
  <c r="I11"/>
  <c r="D12"/>
  <c r="F12"/>
  <c r="G12"/>
  <c r="I12"/>
  <c r="D13"/>
  <c r="F13"/>
  <c r="G13"/>
  <c r="I13"/>
  <c r="D10"/>
  <c r="F10"/>
  <c r="G10"/>
  <c r="I10"/>
  <c r="N9" i="4"/>
  <c r="L9"/>
  <c r="O12" i="3"/>
  <c r="O9" i="4"/>
  <c r="E10"/>
  <c r="F10"/>
  <c r="E11"/>
  <c r="F11"/>
  <c r="E12"/>
  <c r="F12"/>
  <c r="E9"/>
  <c r="F9"/>
  <c r="C12"/>
  <c r="C11"/>
  <c r="C10"/>
  <c r="C9"/>
  <c r="G15" i="3"/>
  <c r="G14"/>
  <c r="G13"/>
  <c r="G12"/>
  <c r="D26" i="1"/>
  <c r="E25"/>
  <c r="E14" i="3"/>
  <c r="D25" i="1"/>
  <c r="B25"/>
  <c r="B26"/>
  <c r="C6"/>
  <c r="C5"/>
  <c r="E13" i="3"/>
  <c r="M12"/>
  <c r="E15"/>
  <c r="E12"/>
  <c r="D43" i="1"/>
  <c r="H26"/>
  <c r="H25"/>
  <c r="D27"/>
  <c r="B27"/>
  <c r="F46" i="9"/>
  <c r="D58"/>
  <c r="D36" i="10" l="1"/>
</calcChain>
</file>

<file path=xl/sharedStrings.xml><?xml version="1.0" encoding="utf-8"?>
<sst xmlns="http://schemas.openxmlformats.org/spreadsheetml/2006/main" count="435" uniqueCount="224">
  <si>
    <t>EJ. 1: BALANCE ANUAL DE MATERIAL. PRODUCCIÓN SECCIONAL</t>
  </si>
  <si>
    <t>Reacción y formulación</t>
  </si>
  <si>
    <t>Envasado</t>
  </si>
  <si>
    <t>PLAN DE PRODUCCIÓN 20 Lts.</t>
  </si>
  <si>
    <t>DESPERDICIOS (Lt./Año)</t>
  </si>
  <si>
    <t>DESPERDICIOS (un/Año)</t>
  </si>
  <si>
    <t>Año</t>
  </si>
  <si>
    <t>Producción (miles de bidones)</t>
  </si>
  <si>
    <t>Secciones</t>
  </si>
  <si>
    <t>RECUPERABLES</t>
  </si>
  <si>
    <t>NO RECUPERABLES</t>
  </si>
  <si>
    <t>-</t>
  </si>
  <si>
    <t xml:space="preserve">Referencias: </t>
  </si>
  <si>
    <t>Reacción</t>
  </si>
  <si>
    <t>Formulación</t>
  </si>
  <si>
    <t>*No existen desperdicios recuperables ya que se trabaja con productos químicos y los mismos están en constante contacto con toda la línea productiva por lo que hay gran acumulación de toxicos y posibles reacciones que no nos permiten reaprovecharlos en el proceso.</t>
  </si>
  <si>
    <t xml:space="preserve">*Los desperdicios no recuperables se estiman en aproximadamente 15,97% cada uno del desperdicio total no recuperable debido a que es una mezcla y la misma pierde, en el proceso, una cantidad proporcional de cada químico. Estas pérdidas puede ser por desborde de líquido, mala reacción o evaporación.  </t>
  </si>
  <si>
    <t>Secciones operativas</t>
  </si>
  <si>
    <t>Alimentación</t>
  </si>
  <si>
    <t>Desperdicios</t>
  </si>
  <si>
    <t>Producciones seccionales</t>
  </si>
  <si>
    <t>DR</t>
  </si>
  <si>
    <t>DNR</t>
  </si>
  <si>
    <t>totales</t>
  </si>
  <si>
    <t>a) Volumen total ingresado en la primera sección operativa:</t>
  </si>
  <si>
    <t>b) Consumo real de materia prima</t>
  </si>
  <si>
    <t>Alimentación TOT - DR TOT</t>
  </si>
  <si>
    <t>c) Porcentaje de desperdicio operativo</t>
  </si>
  <si>
    <t>{(DR+DNR)/PRODUC SEC}*100</t>
  </si>
  <si>
    <t>d) Porcentaje de desperdicio real</t>
  </si>
  <si>
    <t>(DNR/PRODUC SEC)*100</t>
  </si>
  <si>
    <t>Datos:</t>
  </si>
  <si>
    <t>reacción y formulación</t>
  </si>
  <si>
    <t>envasado</t>
  </si>
  <si>
    <t>ETAPA  Lts./ año</t>
  </si>
  <si>
    <t xml:space="preserve">ETAPA </t>
  </si>
  <si>
    <t>Insumos usados</t>
  </si>
  <si>
    <t>GLIFOSATO 95% (Lts.)</t>
  </si>
  <si>
    <t xml:space="preserve">Bidones de plástico x 20 Lts. </t>
  </si>
  <si>
    <t>AGUA AMONIACAL 25% (Lts.)</t>
  </si>
  <si>
    <t>DNR (en bidones)</t>
  </si>
  <si>
    <t>SURFAQUIM (Lts.)</t>
  </si>
  <si>
    <t>ANTIESPUMANTE WACKER 2509 (Lts.)</t>
  </si>
  <si>
    <t>AGUA (Lts.)</t>
  </si>
  <si>
    <t>DNR (Lts.)</t>
  </si>
  <si>
    <t>Ejercicio 2- Ritmo de Trabajo</t>
  </si>
  <si>
    <t>Se trabaja con 3 equipos rotativos durante 7 dias a la semana 2 turnos diarios de 9 hs cada uno. Cada operario trabajará 2 dias consecutivos y tendra una dia de descanso. De los 365 dias del año 15 se daran de vacaciones y 10 de feriado obligatorio.</t>
  </si>
  <si>
    <t>a) Horas activadas/año de las maquinas operativas: (365 -15-10)*18 = 6120</t>
  </si>
  <si>
    <t>b) Horas/año trabajdas por cada operario: Por haber 3 equipos de operarios trabajando en turnos rotativos, cada uno de ellos trabajara: 6120/3 = 2040</t>
  </si>
  <si>
    <t>turnos</t>
  </si>
  <si>
    <t>de 4 a 13 hs.</t>
  </si>
  <si>
    <t>A</t>
  </si>
  <si>
    <t>V</t>
  </si>
  <si>
    <t>R</t>
  </si>
  <si>
    <t>de 13 a 22 hs.</t>
  </si>
  <si>
    <t>Referencia:</t>
  </si>
  <si>
    <t>V: verde</t>
  </si>
  <si>
    <t>R: rojo</t>
  </si>
  <si>
    <t>A: amarillo</t>
  </si>
  <si>
    <t>Ejercicio 3- Capacidad real anual de la maquinaria tipo de cada seccion operativa</t>
  </si>
  <si>
    <t>Máquinas</t>
  </si>
  <si>
    <t>1- Reactor</t>
  </si>
  <si>
    <t>2- Bomba neumatica a doble diafragma</t>
  </si>
  <si>
    <t>3- Llenadora, envasadora, tapadora y etiqueteadora</t>
  </si>
  <si>
    <t>4- Tanque a pulmón</t>
  </si>
  <si>
    <t>secciones</t>
  </si>
  <si>
    <t>horas activas/año</t>
  </si>
  <si>
    <t>rendimiento operativo %</t>
  </si>
  <si>
    <t>capacidad real/máquina x año</t>
  </si>
  <si>
    <t>reactor</t>
  </si>
  <si>
    <t>llenadora, envasadora, tapadora y etiquetadora</t>
  </si>
  <si>
    <t>bomba</t>
  </si>
  <si>
    <t>tanque</t>
  </si>
  <si>
    <t>4- Determinacion de la cantidad de maquinas por seccion, capacidad real anual de cada seccion y su aprovechamiento en relacion al programa de produccion</t>
  </si>
  <si>
    <t xml:space="preserve">a) cantidad de maquinas operativas por seccion </t>
  </si>
  <si>
    <t>b) capacidad real anual de cada seccion</t>
  </si>
  <si>
    <t xml:space="preserve">c) grado de aprovechamiento en relacion al programa de produccion </t>
  </si>
  <si>
    <t>Reacción y envasado</t>
  </si>
  <si>
    <t>secciones operativas</t>
  </si>
  <si>
    <t>Programa anual de producción</t>
  </si>
  <si>
    <t>cantidad de máquinas necesarias</t>
  </si>
  <si>
    <t>capacidad real/sección por año</t>
  </si>
  <si>
    <t>Aprovechamiento seccional</t>
  </si>
  <si>
    <t>EJ5: INDICAR EL CUELLO DE BOTELLA Y LA CAPACIDAD REAL ANUAL DEL EQUIPO</t>
  </si>
  <si>
    <t>a)Indicar el cuello de botella</t>
  </si>
  <si>
    <t xml:space="preserve">b) Capacidad real anual del equipo </t>
  </si>
  <si>
    <t>a) El cuello de botella corresponde a la sección del reactor.</t>
  </si>
  <si>
    <t xml:space="preserve">b) </t>
  </si>
  <si>
    <t>Nuevo aprovechamiento b) %</t>
  </si>
  <si>
    <t>EJ 6: DETERMINAR LA EVOLUCIÓN DE LA PRODUCCIÓN</t>
  </si>
  <si>
    <t>Se alcanzará en un plazo de 4 meses el estado de régimen (acá ya se va a vender la totalidad de producción anual) y se mantendrá el nivel de producción contante durante la vida útil del proyecto (5 años)</t>
  </si>
  <si>
    <t>Por lo tanto el período de puesta en marcha son 4 meses en los cuales se incrementará la producción en cada uno de ellos de 5, 20, 30 y 100% de la programación normal.</t>
  </si>
  <si>
    <t>mes</t>
  </si>
  <si>
    <t>ritmo de producción inicial %</t>
  </si>
  <si>
    <t>ritmo de producción final %</t>
  </si>
  <si>
    <t>producción promedio %</t>
  </si>
  <si>
    <t>producción mensual promedio t</t>
  </si>
  <si>
    <t>Prducción propuesta T</t>
  </si>
  <si>
    <t>Total=</t>
  </si>
  <si>
    <t>Se tendrán 15 días de vacaciones y los feriados repartidos distribuidos en el años =&gt;</t>
  </si>
  <si>
    <t>lts/mes</t>
  </si>
  <si>
    <t>Volumen de producción durante el período de puesta en marcha: 182611,2707 lts.</t>
  </si>
  <si>
    <t xml:space="preserve">Volumen de producción durante el resto del año 1: </t>
  </si>
  <si>
    <t>meses</t>
  </si>
  <si>
    <t>por lo tanto</t>
  </si>
  <si>
    <t>lts.</t>
  </si>
  <si>
    <t>Volumen de producción en el año 1:</t>
  </si>
  <si>
    <t>Volumen de producción anual en los años 2 al 5:</t>
  </si>
  <si>
    <t>lts/año</t>
  </si>
  <si>
    <t>bidones/mes</t>
  </si>
  <si>
    <t>Volumen de producción durante el período de puesta en marcha: 9133 bidones</t>
  </si>
  <si>
    <t>bidones</t>
  </si>
  <si>
    <t>7- Determinar el stock promedio de producto elaborado</t>
  </si>
  <si>
    <t>Teniendo en cuenta que durante el año se mantiene un ritmo uniforme de entregas cada 1 mes y se tiene un stock de seguridad de 0 semanas.</t>
  </si>
  <si>
    <t>a) volúmen de producción mensual promedio, en estado de régimen:</t>
  </si>
  <si>
    <t>Meses/año: 12 meses - 0,5 mes = 11,5 meses</t>
  </si>
  <si>
    <t>c) Este stock se forma en el periodo de puesta en marcha, y se mantendra cte., aunque permanentemente renovado.</t>
  </si>
  <si>
    <t>d) Si la empresa estuviera en marcha se hará referencia al volumen del stock para las fechas de cierre de balance.</t>
  </si>
  <si>
    <t>8- Determinar la evolución de las ventas durante la vida útil del proyecto</t>
  </si>
  <si>
    <t>En base a la información elaborada se puede determinar:</t>
  </si>
  <si>
    <t>Se ha restado de la producción del año el stock promedio de producto elaborado</t>
  </si>
  <si>
    <t>Es la producción anual y no corresponde restar el stock de producto elaborado pues ya se descontó en el Año 1</t>
  </si>
  <si>
    <t>9- Determinar el consumo de materia prima para el programa de producción y formación de la mercaderia en curso y semielaborada</t>
  </si>
  <si>
    <t>En el período de puesta en marcha se produce soloamente desperdicios no recuperables: 60% adicional</t>
  </si>
  <si>
    <t>El ciclo de elaboracion demanda 1 hora, (1/18) días de ritmo normal</t>
  </si>
  <si>
    <r>
      <t xml:space="preserve">Ciclos de elaboración anuales para el proyecto: 340 dias activos al año / (1/18) = </t>
    </r>
    <r>
      <rPr>
        <b/>
        <sz val="11"/>
        <color theme="1"/>
        <rFont val="Calibri"/>
        <family val="2"/>
        <scheme val="minor"/>
      </rPr>
      <t>6120 ciclos de elaboración</t>
    </r>
  </si>
  <si>
    <t>60% adicional</t>
  </si>
  <si>
    <t>380113,2 lts.</t>
  </si>
  <si>
    <t>producción</t>
  </si>
  <si>
    <t>2000000 lts.</t>
  </si>
  <si>
    <t>Año1:</t>
  </si>
  <si>
    <t xml:space="preserve">. primeros 4 meses (puesta en marcha):  </t>
  </si>
  <si>
    <t>x 1,304 =</t>
  </si>
  <si>
    <t>litros</t>
  </si>
  <si>
    <t xml:space="preserve">. en los 7,5 meses restantes: </t>
  </si>
  <si>
    <t>x 1,19 =</t>
  </si>
  <si>
    <t>. total materia prima para la produccion:</t>
  </si>
  <si>
    <t>. volumen de la producción realizada en el año 1:</t>
  </si>
  <si>
    <t>. desperdicio no recuperable por la producción:</t>
  </si>
  <si>
    <t>Consumo de MP en la mercadería en proceso</t>
  </si>
  <si>
    <t>Volumen de materia prima requerido:</t>
  </si>
  <si>
    <t>/ 340 x (1/18) =</t>
  </si>
  <si>
    <t>litros por ciclo</t>
  </si>
  <si>
    <t>En regimen:</t>
  </si>
  <si>
    <t>. Producto elaborado:</t>
  </si>
  <si>
    <t>/ 1,19 =</t>
  </si>
  <si>
    <t>. Desperdicio no recuperable:</t>
  </si>
  <si>
    <t>x 0,19 =</t>
  </si>
  <si>
    <t>. Total MP en curso y semielaborada:</t>
  </si>
  <si>
    <t>Consumo total MP en año 1</t>
  </si>
  <si>
    <t>. Productos elaborados:</t>
  </si>
  <si>
    <t>. Mercaderia en curso y SE</t>
  </si>
  <si>
    <t>. Total consumo de MP año 1:</t>
  </si>
  <si>
    <t>Años 2 al 5: el consumo de MP es exclusivamente destinado a la producción</t>
  </si>
  <si>
    <t>Cada año:</t>
  </si>
  <si>
    <t>x 1,032 =</t>
  </si>
  <si>
    <t>x 1,02 =</t>
  </si>
  <si>
    <t>bidones por ciclo</t>
  </si>
  <si>
    <t>/ 1,02 =</t>
  </si>
  <si>
    <t>x 0,02 =</t>
  </si>
  <si>
    <t>10- Determinar el stock promedio de materia prima y el programa de compras</t>
  </si>
  <si>
    <t xml:space="preserve">a) stock minimo de materia prima: </t>
  </si>
  <si>
    <t>(consumo mensual)</t>
  </si>
  <si>
    <t>b) variacion del stock de materia prima durante el año y programa de compra:</t>
  </si>
  <si>
    <t>al fin del mes</t>
  </si>
  <si>
    <t>stock</t>
  </si>
  <si>
    <t>compras</t>
  </si>
  <si>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</si>
  <si>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</si>
  <si>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</si>
  <si>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</si>
  <si>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</si>
  <si>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</si>
  <si>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</si>
  <si>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</si>
  <si>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</si>
  <si>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</si>
  <si>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</si>
  <si>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</si>
  <si>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c) stock anual:</t>
  </si>
  <si>
    <t xml:space="preserve">stock promedio mensual: </t>
  </si>
  <si>
    <t>meses de consumo</t>
  </si>
  <si>
    <t>REACCION Y FORMULACION</t>
  </si>
  <si>
    <t>ENVASADO</t>
  </si>
  <si>
    <t>EJ 11: REALIZAR EL CUADRO RESUMEN DEL PROGRAMA GENERAL DE EVALUACION</t>
  </si>
  <si>
    <t>Ventas</t>
  </si>
  <si>
    <t>Stock promedio de elaborado</t>
  </si>
  <si>
    <t>Producción</t>
  </si>
  <si>
    <t>En curso y semielaborado</t>
  </si>
  <si>
    <t>Consumo de MP</t>
  </si>
  <si>
    <t>Stock de MP</t>
  </si>
  <si>
    <t>Compra de MP</t>
  </si>
  <si>
    <t>U de medida</t>
  </si>
  <si>
    <t>período de inst</t>
  </si>
  <si>
    <t>año 1</t>
  </si>
  <si>
    <t>año 2 a 10</t>
  </si>
  <si>
    <t>Lts. PT</t>
  </si>
  <si>
    <t>Lts. MP</t>
  </si>
  <si>
    <t>BIDONES PT</t>
  </si>
  <si>
    <t>BIDONES MP</t>
  </si>
  <si>
    <t>BIDONES</t>
  </si>
  <si>
    <t>Bidones</t>
  </si>
  <si>
    <t>Reaccion y formulacion</t>
  </si>
  <si>
    <t>capacidad teórica/ máquina  Lts./hora</t>
  </si>
  <si>
    <t>capacidad teórica/ máquina Lts./año</t>
  </si>
  <si>
    <t>capacidad real/máquina Lts./año</t>
  </si>
  <si>
    <t>capacidad teórica/ máquina  Lts./año</t>
  </si>
  <si>
    <t>100.000,00 bidones/año</t>
  </si>
  <si>
    <t>100.000,00 bidones/año / 11,5 meses/ año = 8.696,00 bidones/ mes</t>
  </si>
  <si>
    <t>b) Stock promedio de elaborado: Se determina el stock promedio teniendo en cuenta que se trata de una empresa nueva. El stock ha de variar entre 0 y 8696, es decir, 4348 bidones.</t>
  </si>
  <si>
    <t>2.000.000,00 litros/año / 11,5 meses/año = 173,913,04 litros/mes</t>
  </si>
  <si>
    <t>b) Stock promedio de elaborado: Se determina el stock promedio teniendo en cuenta que se trata de una empresa nueva. El stock ha de variar entre 0 y 173.913,04, es decir, 86956,52 litros.</t>
  </si>
  <si>
    <t>a) venta del año 1:  74.350,00 bidones - 4.348,00 bidones = 70.002,00 bidones</t>
  </si>
  <si>
    <t>b) venta de los años 2 al 5: 100.000,00 bidones/ año</t>
  </si>
  <si>
    <t>a) venta del año 1: 1.486.959,10- 86.956,52 = 1.400.002,58 litros</t>
  </si>
  <si>
    <t>b) venta de los años 2 al 5: 2.000.000,00 litros/ año</t>
  </si>
  <si>
    <t>. Producción anual: 2.000.000,00 litros</t>
  </si>
  <si>
    <t>. Desperdicios no recuperables: 380.000,00 litros</t>
  </si>
  <si>
    <t>2.000,00 bidones</t>
  </si>
  <si>
    <t>100.000,00 bidones</t>
  </si>
  <si>
    <t>. Producción anual: 100.000,00 bidones</t>
  </si>
  <si>
    <t>. Desperdicios no recuperables: 2.000,00 bidones</t>
  </si>
  <si>
    <t>2.380.113,12/11.5= 206.966,35</t>
  </si>
  <si>
    <t>102.000,00/11.5= 8.869,56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</si>
</sst>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6" xfId="0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 applyAlignment="1">
      <alignment wrapText="1"/>
    </xf>
    <xf numFmtId="0" fontId="0" fillId="0" borderId="4" xfId="0" applyBorder="1" applyAlignment="1">
      <alignment horizontal="center"/>
    </xf>
    <xf numFmtId="2" fontId="0" fillId="0" borderId="1" xfId="0" applyNumberFormat="1" applyBorder="1"/>
    <xf numFmtId="0" fontId="0" fillId="0" borderId="2" xfId="0" applyBorder="1"/>
    <xf numFmtId="2" fontId="0" fillId="0" borderId="4" xfId="0" applyNumberFormat="1" applyBorder="1"/>
    <xf numFmtId="9" fontId="0" fillId="0" borderId="0" xfId="0" applyNumberFormat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64" fontId="0" fillId="0" borderId="0" xfId="0" applyNumberFormat="1"/>
    <xf numFmtId="0" fontId="7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/>
    <xf numFmtId="0" fontId="0" fillId="0" borderId="0" xfId="0" applyBorder="1" applyAlignment="1">
      <alignment horizontal="center" wrapText="1"/>
    </xf>
    <xf numFmtId="0" fontId="0" fillId="0" borderId="0" xfId="0" applyFill="1" applyBorder="1"/>
    <xf numFmtId="2" fontId="0" fillId="0" borderId="16" xfId="0" applyNumberFormat="1" applyBorder="1"/>
    <xf numFmtId="0" fontId="0" fillId="0" borderId="12" xfId="0" applyBorder="1"/>
    <xf numFmtId="0" fontId="0" fillId="0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0" borderId="3" xfId="0" applyBorder="1"/>
    <xf numFmtId="0" fontId="2" fillId="0" borderId="1" xfId="0" applyFont="1" applyBorder="1"/>
    <xf numFmtId="2" fontId="0" fillId="0" borderId="2" xfId="0" applyNumberFormat="1" applyBorder="1"/>
    <xf numFmtId="0" fontId="0" fillId="0" borderId="10" xfId="0" applyBorder="1"/>
    <xf numFmtId="0" fontId="1" fillId="0" borderId="0" xfId="0" applyFont="1"/>
    <xf numFmtId="10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0" fillId="0" borderId="13" xfId="0" applyBorder="1"/>
    <xf numFmtId="0" fontId="0" fillId="0" borderId="5" xfId="0" applyBorder="1"/>
    <xf numFmtId="0" fontId="0" fillId="0" borderId="14" xfId="0" applyBorder="1" applyAlignment="1">
      <alignment horizontal="center"/>
    </xf>
    <xf numFmtId="4" fontId="0" fillId="0" borderId="1" xfId="0" applyNumberFormat="1" applyBorder="1"/>
    <xf numFmtId="4" fontId="0" fillId="2" borderId="1" xfId="0" applyNumberFormat="1" applyFill="1" applyBorder="1"/>
    <xf numFmtId="4" fontId="0" fillId="2" borderId="0" xfId="0" applyNumberFormat="1" applyFill="1"/>
    <xf numFmtId="4" fontId="0" fillId="0" borderId="4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4" xfId="0" applyNumberFormat="1" applyBorder="1"/>
    <xf numFmtId="4" fontId="0" fillId="0" borderId="17" xfId="0" applyNumberFormat="1" applyBorder="1"/>
    <xf numFmtId="4" fontId="0" fillId="0" borderId="15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8" fillId="0" borderId="0" xfId="0" applyFont="1"/>
    <xf numFmtId="4" fontId="0" fillId="0" borderId="1" xfId="0" applyNumberFormat="1" applyBorder="1" applyAlignment="1">
      <alignment vertical="center"/>
    </xf>
    <xf numFmtId="4" fontId="0" fillId="0" borderId="2" xfId="0" applyNumberFormat="1" applyBorder="1"/>
    <xf numFmtId="4" fontId="0" fillId="0" borderId="2" xfId="0" applyNumberForma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4" fontId="0" fillId="0" borderId="13" xfId="0" applyNumberFormat="1" applyBorder="1"/>
    <xf numFmtId="4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lineChart>
        <c:grouping val="standard"/>
        <c:ser>
          <c:idx val="0"/>
          <c:order val="0"/>
          <c:tx>
            <c:strRef>
              <c:f>Hoja10!$M$2</c:f>
              <c:strCache>
                <c:ptCount val="1"/>
                <c:pt idx="0">
                  <c:v>stock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Hoja10!$L$3:$L$14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Hoja10!$M$3:$M$14</c:f>
              <c:numCache>
                <c:formatCode>#,##0.00</c:formatCode>
                <c:ptCount val="12"/>
                <c:pt idx="0">
                  <c:v>310449.53000000003</c:v>
                </c:pt>
                <c:pt idx="1">
                  <c:v>206966.35</c:v>
                </c:pt>
                <c:pt idx="2">
                  <c:v>595028.28</c:v>
                </c:pt>
                <c:pt idx="3">
                  <c:v>983090.2</c:v>
                </c:pt>
                <c:pt idx="4">
                  <c:v>1578118.48</c:v>
                </c:pt>
                <c:pt idx="5">
                  <c:v>2173146.7599999998</c:v>
                </c:pt>
                <c:pt idx="6">
                  <c:v>1966180.4</c:v>
                </c:pt>
                <c:pt idx="7">
                  <c:v>1759214.05</c:v>
                </c:pt>
                <c:pt idx="8">
                  <c:v>1552247.69</c:v>
                </c:pt>
                <c:pt idx="9">
                  <c:v>1345281.33</c:v>
                </c:pt>
                <c:pt idx="10">
                  <c:v>1138314.97</c:v>
                </c:pt>
                <c:pt idx="11">
                  <c:v>931348.61</c:v>
                </c:pt>
              </c:numCache>
            </c:numRef>
          </c:val>
        </c:ser>
        <c:dLbls>
          <c:showVal val="1"/>
        </c:dLbls>
        <c:marker val="1"/>
        <c:axId val="57571584"/>
        <c:axId val="57585664"/>
      </c:lineChart>
      <c:catAx>
        <c:axId val="575715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585664"/>
        <c:crosses val="autoZero"/>
        <c:auto val="1"/>
        <c:lblAlgn val="ctr"/>
        <c:lblOffset val="100"/>
      </c:catAx>
      <c:valAx>
        <c:axId val="575856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tickLblPos val="nextTo"/>
        <c:crossAx val="5757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lineChart>
        <c:grouping val="standard"/>
        <c:ser>
          <c:idx val="0"/>
          <c:order val="0"/>
          <c:tx>
            <c:strRef>
              <c:f>Hoja10!$M$24</c:f>
              <c:strCache>
                <c:ptCount val="1"/>
                <c:pt idx="0">
                  <c:v>stock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Hoja10!$L$25:$L$36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Hoja10!$M$25:$M$36</c:f>
              <c:numCache>
                <c:formatCode>#,##0.00</c:formatCode>
                <c:ptCount val="12"/>
                <c:pt idx="0">
                  <c:v>13304.34</c:v>
                </c:pt>
                <c:pt idx="1">
                  <c:v>8869.56</c:v>
                </c:pt>
                <c:pt idx="2">
                  <c:v>25500</c:v>
                </c:pt>
                <c:pt idx="3">
                  <c:v>42130.43</c:v>
                </c:pt>
                <c:pt idx="4">
                  <c:v>67630.429999999993</c:v>
                </c:pt>
                <c:pt idx="5">
                  <c:v>93130.43</c:v>
                </c:pt>
                <c:pt idx="6">
                  <c:v>84260.87</c:v>
                </c:pt>
                <c:pt idx="7">
                  <c:v>75391.3</c:v>
                </c:pt>
                <c:pt idx="8">
                  <c:v>66521.740000000005</c:v>
                </c:pt>
                <c:pt idx="9">
                  <c:v>57652.17</c:v>
                </c:pt>
                <c:pt idx="10">
                  <c:v>48782.61</c:v>
                </c:pt>
                <c:pt idx="11">
                  <c:v>39913.040000000001</c:v>
                </c:pt>
              </c:numCache>
            </c:numRef>
          </c:val>
        </c:ser>
        <c:dLbls>
          <c:showVal val="1"/>
        </c:dLbls>
        <c:marker val="1"/>
        <c:axId val="57597312"/>
        <c:axId val="57226368"/>
      </c:lineChart>
      <c:catAx>
        <c:axId val="575973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226368"/>
        <c:crosses val="autoZero"/>
        <c:auto val="1"/>
        <c:lblAlgn val="ctr"/>
        <c:lblOffset val="100"/>
      </c:catAx>
      <c:valAx>
        <c:axId val="572263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tickLblPos val="nextTo"/>
        <c:crossAx val="5759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219074</xdr:colOff>
      <xdr:row>1</xdr:row>
      <xdr:rowOff>14287</xdr:rowOff>
    </xdr:from>
    <xdr:to>
      <xdr:col>22</xdr:col>
      <xdr:colOff>171449</xdr:colOff>
      <xdr:row>18</xdr:row>
      <xdr:rowOff>171451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238126</xdr:colOff>
      <xdr:row>23</xdr:row>
      <xdr:rowOff>33337</xdr:rowOff>
    </xdr:from>
    <xdr:to>
      <xdr:col>22</xdr:col>
      <xdr:colOff>190500</xdr:colOff>
      <xdr:row>40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opLeftCell="A20" workbookViewId="0">
      <selection activeCell="F8" sqref="F8"/>
    </sheetView>
  </sheetViews>
  <sheetFormatPr baseColWidth="10" defaultColWidth="11.42578125" defaultRowHeight="15"/>
  <cols>
    <col min="2" max="2" width="12.5703125" customWidth="1"/>
    <col min="3" max="3" width="14.42578125" customWidth="1"/>
    <col min="5" max="5" width="13.5703125" customWidth="1"/>
    <col min="6" max="6" width="12.140625" customWidth="1"/>
    <col min="7" max="7" width="15.140625" customWidth="1"/>
    <col min="8" max="8" width="13.42578125" customWidth="1"/>
    <col min="11" max="11" width="13.5703125" customWidth="1"/>
  </cols>
  <sheetData>
    <row r="1" spans="1:12">
      <c r="A1" s="81" t="s">
        <v>0</v>
      </c>
      <c r="B1" s="82"/>
      <c r="C1" s="82"/>
      <c r="D1" s="82"/>
      <c r="E1" s="82"/>
    </row>
    <row r="2" spans="1:12" ht="15" customHeight="1">
      <c r="A2" s="83" t="s">
        <v>1</v>
      </c>
      <c r="B2" s="2"/>
      <c r="C2" s="2"/>
      <c r="D2" s="2"/>
      <c r="E2" s="83" t="s">
        <v>2</v>
      </c>
      <c r="F2" s="2"/>
      <c r="G2" s="2"/>
      <c r="I2" s="7"/>
      <c r="K2" s="87" t="s">
        <v>3</v>
      </c>
      <c r="L2" s="88"/>
    </row>
    <row r="3" spans="1:12" ht="15" customHeight="1">
      <c r="A3" s="84"/>
      <c r="B3" s="85" t="s">
        <v>4</v>
      </c>
      <c r="C3" s="86"/>
      <c r="D3" s="2"/>
      <c r="E3" s="84"/>
      <c r="F3" s="95" t="s">
        <v>5</v>
      </c>
      <c r="G3" s="96"/>
      <c r="I3" s="2"/>
      <c r="K3" s="92" t="s">
        <v>6</v>
      </c>
      <c r="L3" s="89" t="s">
        <v>7</v>
      </c>
    </row>
    <row r="4" spans="1:12">
      <c r="A4" s="39" t="s">
        <v>8</v>
      </c>
      <c r="B4" s="3" t="s">
        <v>9</v>
      </c>
      <c r="C4" s="4" t="s">
        <v>10</v>
      </c>
      <c r="D4" s="2"/>
      <c r="E4" s="39" t="s">
        <v>8</v>
      </c>
      <c r="F4" s="3" t="s">
        <v>9</v>
      </c>
      <c r="G4" s="15" t="s">
        <v>10</v>
      </c>
      <c r="I4" s="2"/>
      <c r="K4" s="93"/>
      <c r="L4" s="90"/>
    </row>
    <row r="5" spans="1:12">
      <c r="A5" s="1">
        <v>1</v>
      </c>
      <c r="B5" s="1" t="s">
        <v>11</v>
      </c>
      <c r="C5" s="59">
        <f>119691.956+52701+194816.4</f>
        <v>367209.35600000003</v>
      </c>
      <c r="D5" s="2"/>
      <c r="E5" s="1">
        <v>1</v>
      </c>
      <c r="F5" s="1" t="s">
        <v>11</v>
      </c>
      <c r="G5" s="59">
        <v>2000</v>
      </c>
      <c r="I5" s="2"/>
      <c r="K5" s="94"/>
      <c r="L5" s="91"/>
    </row>
    <row r="6" spans="1:12">
      <c r="A6" s="1">
        <v>2</v>
      </c>
      <c r="B6" s="1" t="s">
        <v>11</v>
      </c>
      <c r="C6" s="59">
        <f>12776+127.76</f>
        <v>12903.76</v>
      </c>
      <c r="D6" s="2"/>
      <c r="E6" s="14"/>
      <c r="F6" s="14"/>
      <c r="G6" s="14"/>
      <c r="I6" s="2"/>
      <c r="K6" s="5">
        <v>0</v>
      </c>
      <c r="L6" s="5">
        <v>95</v>
      </c>
    </row>
    <row r="7" spans="1:12">
      <c r="A7" s="14"/>
      <c r="B7" s="14"/>
      <c r="C7" s="14"/>
      <c r="D7" s="2"/>
      <c r="E7" s="13"/>
      <c r="F7" s="13"/>
      <c r="G7" s="13"/>
      <c r="I7" s="2"/>
      <c r="K7" s="5">
        <v>1</v>
      </c>
      <c r="L7" s="5">
        <v>100</v>
      </c>
    </row>
    <row r="8" spans="1:12">
      <c r="A8" s="13"/>
      <c r="B8" s="13"/>
      <c r="C8" s="13"/>
      <c r="D8" s="2"/>
      <c r="E8" s="13"/>
      <c r="F8" s="13"/>
      <c r="G8" s="13"/>
      <c r="I8" s="2"/>
      <c r="K8" s="6">
        <v>2</v>
      </c>
      <c r="L8" s="5">
        <v>100</v>
      </c>
    </row>
    <row r="9" spans="1:12">
      <c r="A9" s="13"/>
      <c r="B9" s="13"/>
      <c r="C9" s="13"/>
      <c r="E9" s="13"/>
      <c r="F9" s="13"/>
      <c r="G9" s="13"/>
      <c r="K9" s="5">
        <v>3</v>
      </c>
      <c r="L9" s="5">
        <v>100</v>
      </c>
    </row>
    <row r="10" spans="1:12">
      <c r="K10" s="6">
        <v>4</v>
      </c>
      <c r="L10" s="5">
        <v>100</v>
      </c>
    </row>
    <row r="11" spans="1:12">
      <c r="A11" s="60" t="s">
        <v>12</v>
      </c>
      <c r="K11" s="6">
        <v>5</v>
      </c>
      <c r="L11" s="5"/>
    </row>
    <row r="12" spans="1:12">
      <c r="A12" s="34">
        <v>1</v>
      </c>
      <c r="B12" s="99" t="s">
        <v>13</v>
      </c>
      <c r="C12" s="99"/>
      <c r="E12" s="40">
        <v>1</v>
      </c>
      <c r="F12" s="98" t="s">
        <v>2</v>
      </c>
      <c r="G12" s="98"/>
    </row>
    <row r="13" spans="1:12">
      <c r="A13" s="34">
        <v>2</v>
      </c>
      <c r="B13" s="99" t="s">
        <v>14</v>
      </c>
      <c r="C13" s="99"/>
    </row>
    <row r="14" spans="1:12">
      <c r="A14" s="34"/>
      <c r="B14" s="99"/>
      <c r="C14" s="99"/>
    </row>
    <row r="15" spans="1:12">
      <c r="A15" s="34"/>
      <c r="B15" s="99"/>
      <c r="C15" s="99"/>
    </row>
    <row r="16" spans="1:12">
      <c r="A16" s="34"/>
      <c r="B16" s="99"/>
      <c r="C16" s="99"/>
    </row>
    <row r="18" spans="1:12">
      <c r="A18" s="97" t="s">
        <v>15</v>
      </c>
      <c r="B18" s="97"/>
      <c r="C18" s="97"/>
      <c r="D18" s="97"/>
      <c r="E18" s="97"/>
      <c r="F18" s="97"/>
      <c r="G18" s="97"/>
      <c r="H18" s="97"/>
      <c r="I18" s="97"/>
      <c r="J18" s="97"/>
    </row>
    <row r="19" spans="1:12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0" spans="1:12">
      <c r="A20" s="97" t="s">
        <v>16</v>
      </c>
      <c r="B20" s="97"/>
      <c r="C20" s="97"/>
      <c r="D20" s="97"/>
      <c r="E20" s="97"/>
      <c r="F20" s="97"/>
      <c r="G20" s="97"/>
      <c r="H20" s="97"/>
      <c r="I20" s="97"/>
      <c r="J20" s="97"/>
    </row>
    <row r="21" spans="1:12" ht="23.25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</row>
    <row r="23" spans="1:12">
      <c r="A23" s="100" t="s">
        <v>17</v>
      </c>
      <c r="B23" s="83" t="s">
        <v>18</v>
      </c>
      <c r="C23" s="102" t="s">
        <v>19</v>
      </c>
      <c r="D23" s="102"/>
      <c r="E23" s="74" t="s">
        <v>20</v>
      </c>
      <c r="G23" s="100" t="s">
        <v>17</v>
      </c>
      <c r="H23" s="83" t="s">
        <v>18</v>
      </c>
      <c r="I23" s="102" t="s">
        <v>19</v>
      </c>
      <c r="J23" s="102"/>
      <c r="K23" s="74" t="s">
        <v>20</v>
      </c>
    </row>
    <row r="24" spans="1:12">
      <c r="A24" s="101"/>
      <c r="B24" s="103"/>
      <c r="C24" s="8" t="s">
        <v>21</v>
      </c>
      <c r="D24" s="8" t="s">
        <v>22</v>
      </c>
      <c r="E24" s="75"/>
      <c r="G24" s="101"/>
      <c r="H24" s="103"/>
      <c r="I24" s="8" t="s">
        <v>21</v>
      </c>
      <c r="J24" s="8" t="s">
        <v>22</v>
      </c>
      <c r="K24" s="75"/>
    </row>
    <row r="25" spans="1:12">
      <c r="A25" s="33">
        <v>1</v>
      </c>
      <c r="B25" s="49">
        <f>C25+D25+E25</f>
        <v>2380113.1159999999</v>
      </c>
      <c r="C25" s="9">
        <v>0</v>
      </c>
      <c r="D25" s="52">
        <f>119691.956+52701+194816.4</f>
        <v>367209.35600000003</v>
      </c>
      <c r="E25" s="54">
        <f>D26+E26</f>
        <v>2012903.76</v>
      </c>
      <c r="G25" s="8">
        <v>1</v>
      </c>
      <c r="H25" s="54">
        <f>I25+J25+K25</f>
        <v>102000</v>
      </c>
      <c r="I25" s="54">
        <v>0</v>
      </c>
      <c r="J25" s="57">
        <v>2000</v>
      </c>
      <c r="K25" s="54">
        <v>100000</v>
      </c>
    </row>
    <row r="26" spans="1:12" ht="15.75" thickBot="1">
      <c r="A26" s="33">
        <v>2</v>
      </c>
      <c r="B26" s="49">
        <f>C26+D26+E26</f>
        <v>2012903.76</v>
      </c>
      <c r="C26" s="11">
        <v>0</v>
      </c>
      <c r="D26" s="52">
        <f>12776+127.76</f>
        <v>12903.76</v>
      </c>
      <c r="E26" s="55">
        <v>2000000</v>
      </c>
      <c r="G26" s="5" t="s">
        <v>23</v>
      </c>
      <c r="H26" s="50">
        <f>I26+J26+K26</f>
        <v>102000</v>
      </c>
      <c r="I26" s="49">
        <v>0</v>
      </c>
      <c r="J26" s="57">
        <v>2000</v>
      </c>
      <c r="K26" s="49">
        <v>100000</v>
      </c>
    </row>
    <row r="27" spans="1:12" ht="15.75" thickBot="1">
      <c r="A27" s="10" t="s">
        <v>23</v>
      </c>
      <c r="B27" s="50">
        <f>C27+D27+E27</f>
        <v>2380113.1159999999</v>
      </c>
      <c r="C27" s="22">
        <v>0</v>
      </c>
      <c r="D27" s="53">
        <f>SUM(D25:D26)</f>
        <v>380113.11600000004</v>
      </c>
      <c r="E27" s="56">
        <v>2000000</v>
      </c>
    </row>
    <row r="29" spans="1:12">
      <c r="A29" s="77" t="s">
        <v>24</v>
      </c>
      <c r="B29" s="77"/>
      <c r="C29" s="77"/>
      <c r="D29" s="77"/>
      <c r="E29" s="77"/>
      <c r="F29" s="51">
        <v>2380113.12</v>
      </c>
      <c r="G29" s="77" t="s">
        <v>24</v>
      </c>
      <c r="H29" s="77"/>
      <c r="I29" s="77"/>
      <c r="J29" s="77"/>
      <c r="K29" s="77"/>
      <c r="L29" s="51">
        <v>102000</v>
      </c>
    </row>
    <row r="30" spans="1:12">
      <c r="A30" t="s">
        <v>25</v>
      </c>
      <c r="D30" s="78" t="s">
        <v>26</v>
      </c>
      <c r="E30" s="78"/>
      <c r="F30" s="51">
        <v>2380113.12</v>
      </c>
      <c r="G30" t="s">
        <v>25</v>
      </c>
      <c r="J30" s="78" t="s">
        <v>26</v>
      </c>
      <c r="K30" s="78"/>
      <c r="L30" s="51">
        <v>102000</v>
      </c>
    </row>
    <row r="31" spans="1:12">
      <c r="A31" t="s">
        <v>27</v>
      </c>
      <c r="D31" s="78" t="s">
        <v>28</v>
      </c>
      <c r="E31" s="78"/>
      <c r="F31" s="12">
        <v>0.19</v>
      </c>
      <c r="G31" t="s">
        <v>27</v>
      </c>
      <c r="J31" s="78" t="s">
        <v>28</v>
      </c>
      <c r="K31" s="78"/>
      <c r="L31" s="16">
        <v>0.02</v>
      </c>
    </row>
    <row r="32" spans="1:12">
      <c r="A32" t="s">
        <v>29</v>
      </c>
      <c r="D32" s="78" t="s">
        <v>30</v>
      </c>
      <c r="E32" s="78"/>
      <c r="F32" s="12">
        <v>0.19</v>
      </c>
      <c r="G32" t="s">
        <v>29</v>
      </c>
      <c r="J32" s="78" t="s">
        <v>30</v>
      </c>
      <c r="K32" s="78"/>
      <c r="L32" s="16">
        <v>0.02</v>
      </c>
    </row>
    <row r="35" spans="1:11">
      <c r="A35" t="s">
        <v>31</v>
      </c>
      <c r="B35" s="79" t="s">
        <v>32</v>
      </c>
      <c r="C35" s="76"/>
      <c r="D35" s="76"/>
      <c r="E35" s="80"/>
      <c r="G35" s="10"/>
      <c r="H35" s="76" t="s">
        <v>33</v>
      </c>
      <c r="I35" s="76"/>
      <c r="J35" s="76"/>
      <c r="K35" s="27"/>
    </row>
    <row r="36" spans="1:11" ht="15.75">
      <c r="A36" s="64" t="s">
        <v>34</v>
      </c>
      <c r="B36" s="64"/>
      <c r="C36" s="64"/>
      <c r="D36" s="64"/>
      <c r="E36" s="64"/>
      <c r="G36" s="64" t="s">
        <v>35</v>
      </c>
      <c r="H36" s="64"/>
      <c r="I36" s="64"/>
      <c r="J36" s="64"/>
      <c r="K36" s="64"/>
    </row>
    <row r="37" spans="1:11" ht="15.75">
      <c r="A37" s="65" t="s">
        <v>36</v>
      </c>
      <c r="B37" s="65"/>
      <c r="C37" s="65"/>
      <c r="D37" s="65"/>
      <c r="E37" s="65"/>
      <c r="G37" s="65" t="s">
        <v>36</v>
      </c>
      <c r="H37" s="65"/>
      <c r="I37" s="65"/>
      <c r="J37" s="65"/>
      <c r="K37" s="65"/>
    </row>
    <row r="38" spans="1:11">
      <c r="A38" s="66" t="s">
        <v>37</v>
      </c>
      <c r="B38" s="66"/>
      <c r="C38" s="66"/>
      <c r="D38" s="67">
        <v>749480</v>
      </c>
      <c r="E38" s="67"/>
      <c r="G38" s="66" t="s">
        <v>38</v>
      </c>
      <c r="H38" s="66"/>
      <c r="I38" s="66"/>
      <c r="J38" s="67">
        <v>102000</v>
      </c>
      <c r="K38" s="67"/>
    </row>
    <row r="39" spans="1:11">
      <c r="A39" s="66" t="s">
        <v>39</v>
      </c>
      <c r="B39" s="66"/>
      <c r="C39" s="66"/>
      <c r="D39" s="67">
        <v>330000</v>
      </c>
      <c r="E39" s="67"/>
      <c r="G39" s="68" t="s">
        <v>40</v>
      </c>
      <c r="H39" s="69"/>
      <c r="I39" s="70"/>
      <c r="J39" s="71">
        <v>2000</v>
      </c>
      <c r="K39" s="72"/>
    </row>
    <row r="40" spans="1:11">
      <c r="A40" s="66" t="s">
        <v>41</v>
      </c>
      <c r="B40" s="66"/>
      <c r="C40" s="66"/>
      <c r="D40" s="67">
        <v>80000</v>
      </c>
      <c r="E40" s="67"/>
    </row>
    <row r="41" spans="1:11">
      <c r="A41" s="73" t="s">
        <v>42</v>
      </c>
      <c r="B41" s="73"/>
      <c r="C41" s="73"/>
      <c r="D41" s="67">
        <v>800</v>
      </c>
      <c r="E41" s="67"/>
    </row>
    <row r="42" spans="1:11">
      <c r="A42" s="66" t="s">
        <v>43</v>
      </c>
      <c r="B42" s="66"/>
      <c r="C42" s="66"/>
      <c r="D42" s="67">
        <v>1219890</v>
      </c>
      <c r="E42" s="67"/>
    </row>
    <row r="43" spans="1:11">
      <c r="A43" s="73" t="s">
        <v>44</v>
      </c>
      <c r="B43" s="73"/>
      <c r="C43" s="73"/>
      <c r="D43" s="67">
        <f>0.1597*SUM(D38:E42)</f>
        <v>380113.14900000003</v>
      </c>
      <c r="E43" s="67"/>
    </row>
  </sheetData>
  <mergeCells count="54">
    <mergeCell ref="A20:J21"/>
    <mergeCell ref="A23:A24"/>
    <mergeCell ref="C23:D23"/>
    <mergeCell ref="B23:B24"/>
    <mergeCell ref="K23:K24"/>
    <mergeCell ref="G23:G24"/>
    <mergeCell ref="H23:H24"/>
    <mergeCell ref="I23:J23"/>
    <mergeCell ref="A18:J19"/>
    <mergeCell ref="F12:G12"/>
    <mergeCell ref="B12:C12"/>
    <mergeCell ref="B13:C13"/>
    <mergeCell ref="B14:C14"/>
    <mergeCell ref="B15:C15"/>
    <mergeCell ref="B16:C16"/>
    <mergeCell ref="A1:E1"/>
    <mergeCell ref="A2:A3"/>
    <mergeCell ref="B3:C3"/>
    <mergeCell ref="K2:L2"/>
    <mergeCell ref="L3:L5"/>
    <mergeCell ref="K3:K5"/>
    <mergeCell ref="F3:G3"/>
    <mergeCell ref="E2:E3"/>
    <mergeCell ref="H35:J35"/>
    <mergeCell ref="A29:E29"/>
    <mergeCell ref="D30:E30"/>
    <mergeCell ref="D31:E31"/>
    <mergeCell ref="D32:E32"/>
    <mergeCell ref="G29:K29"/>
    <mergeCell ref="J30:K30"/>
    <mergeCell ref="J31:K31"/>
    <mergeCell ref="J32:K32"/>
    <mergeCell ref="B35:E35"/>
    <mergeCell ref="A41:C41"/>
    <mergeCell ref="A40:C40"/>
    <mergeCell ref="A42:C42"/>
    <mergeCell ref="A43:C43"/>
    <mergeCell ref="E23:E24"/>
    <mergeCell ref="D43:E43"/>
    <mergeCell ref="A36:E36"/>
    <mergeCell ref="A37:E37"/>
    <mergeCell ref="D38:E38"/>
    <mergeCell ref="D39:E39"/>
    <mergeCell ref="D40:E40"/>
    <mergeCell ref="D41:E41"/>
    <mergeCell ref="D42:E42"/>
    <mergeCell ref="A38:C38"/>
    <mergeCell ref="A39:C39"/>
    <mergeCell ref="G36:K36"/>
    <mergeCell ref="G37:K37"/>
    <mergeCell ref="G38:I38"/>
    <mergeCell ref="J38:K38"/>
    <mergeCell ref="G39:I39"/>
    <mergeCell ref="J39:K3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K37" sqref="K37"/>
    </sheetView>
  </sheetViews>
  <sheetFormatPr baseColWidth="10" defaultColWidth="9.140625" defaultRowHeight="15"/>
  <cols>
    <col min="3" max="3" width="11.7109375" customWidth="1"/>
    <col min="4" max="4" width="12.5703125" customWidth="1"/>
    <col min="5" max="5" width="11" customWidth="1"/>
    <col min="7" max="8" width="11.42578125" customWidth="1"/>
    <col min="11" max="11" width="9.28515625" customWidth="1"/>
    <col min="12" max="12" width="14" customWidth="1"/>
    <col min="13" max="13" width="12.42578125" customWidth="1"/>
  </cols>
  <sheetData>
    <row r="1" spans="1:13">
      <c r="A1" s="17" t="s">
        <v>160</v>
      </c>
    </row>
    <row r="2" spans="1:13">
      <c r="C2" s="112" t="s">
        <v>182</v>
      </c>
      <c r="D2" s="112"/>
      <c r="E2" s="112"/>
      <c r="F2" s="112"/>
      <c r="G2" s="112"/>
      <c r="L2" s="41" t="s">
        <v>103</v>
      </c>
      <c r="M2" s="41" t="s">
        <v>165</v>
      </c>
    </row>
    <row r="3" spans="1:13">
      <c r="A3" t="s">
        <v>161</v>
      </c>
      <c r="E3" s="45" t="s">
        <v>222</v>
      </c>
      <c r="H3" t="s">
        <v>162</v>
      </c>
      <c r="L3" s="5">
        <v>1</v>
      </c>
      <c r="M3" s="49">
        <v>310449.53000000003</v>
      </c>
    </row>
    <row r="4" spans="1:13">
      <c r="L4" s="5">
        <v>2</v>
      </c>
      <c r="M4" s="49">
        <v>206966.35</v>
      </c>
    </row>
    <row r="5" spans="1:13">
      <c r="A5" t="s">
        <v>163</v>
      </c>
      <c r="L5" s="5">
        <v>3</v>
      </c>
      <c r="M5" s="49">
        <v>595028.28</v>
      </c>
    </row>
    <row r="6" spans="1:13">
      <c r="L6" s="5">
        <v>4</v>
      </c>
      <c r="M6" s="49">
        <v>983090.2</v>
      </c>
    </row>
    <row r="7" spans="1:13">
      <c r="A7" s="79" t="s">
        <v>164</v>
      </c>
      <c r="B7" s="80"/>
      <c r="C7" s="41" t="s">
        <v>165</v>
      </c>
      <c r="D7" s="41" t="s">
        <v>166</v>
      </c>
      <c r="E7" s="79" t="s">
        <v>164</v>
      </c>
      <c r="F7" s="80"/>
      <c r="G7" s="41" t="s">
        <v>165</v>
      </c>
      <c r="H7" s="41" t="s">
        <v>166</v>
      </c>
      <c r="L7" s="5">
        <v>5</v>
      </c>
      <c r="M7" s="49">
        <v>1578118.48</v>
      </c>
    </row>
    <row r="8" spans="1:13">
      <c r="A8" s="79" t="s">
        <v>167</v>
      </c>
      <c r="B8" s="80"/>
      <c r="C8" s="49">
        <f>(206966.3583/2)*3</f>
        <v>310449.53745</v>
      </c>
      <c r="D8" s="5"/>
      <c r="E8" s="79" t="s">
        <v>173</v>
      </c>
      <c r="F8" s="80"/>
      <c r="G8" s="49">
        <f>C13-206966.3583</f>
        <v>1966180.4034000002</v>
      </c>
      <c r="H8" s="5"/>
      <c r="L8" s="5">
        <v>6</v>
      </c>
      <c r="M8" s="49">
        <v>2173146.7599999998</v>
      </c>
    </row>
    <row r="9" spans="1:13">
      <c r="A9" s="121" t="s">
        <v>168</v>
      </c>
      <c r="B9" s="122"/>
      <c r="C9" s="49">
        <v>206966.35829999999</v>
      </c>
      <c r="D9" s="5"/>
      <c r="E9" s="121" t="s">
        <v>174</v>
      </c>
      <c r="F9" s="122"/>
      <c r="G9" s="49">
        <f>G8-206966.3583</f>
        <v>1759214.0451000002</v>
      </c>
      <c r="H9" s="5"/>
      <c r="L9" s="5">
        <v>7</v>
      </c>
      <c r="M9" s="49">
        <v>1966180.4</v>
      </c>
    </row>
    <row r="10" spans="1:13">
      <c r="A10" s="121" t="s">
        <v>169</v>
      </c>
      <c r="B10" s="122"/>
      <c r="C10" s="49">
        <f>2380113.12/4</f>
        <v>595028.28</v>
      </c>
      <c r="D10" s="49">
        <f>2380113.12/4</f>
        <v>595028.28</v>
      </c>
      <c r="E10" s="121" t="s">
        <v>175</v>
      </c>
      <c r="F10" s="122"/>
      <c r="G10" s="49">
        <f t="shared" ref="G10:G13" si="0">G9-206966.3583</f>
        <v>1552247.6868000003</v>
      </c>
      <c r="H10" s="5"/>
      <c r="L10" s="5">
        <v>8</v>
      </c>
      <c r="M10" s="49">
        <v>1759214.05</v>
      </c>
    </row>
    <row r="11" spans="1:13">
      <c r="A11" s="121" t="s">
        <v>170</v>
      </c>
      <c r="B11" s="122"/>
      <c r="C11" s="49">
        <f>(D10+D11)-206966.3583</f>
        <v>983090.20170000009</v>
      </c>
      <c r="D11" s="49">
        <f t="shared" ref="D11:D13" si="1">2380113.12/4</f>
        <v>595028.28</v>
      </c>
      <c r="E11" s="121" t="s">
        <v>176</v>
      </c>
      <c r="F11" s="122"/>
      <c r="G11" s="49">
        <f t="shared" si="0"/>
        <v>1345281.3285000003</v>
      </c>
      <c r="H11" s="5"/>
      <c r="L11" s="5">
        <v>9</v>
      </c>
      <c r="M11" s="49">
        <v>1552247.69</v>
      </c>
    </row>
    <row r="12" spans="1:13">
      <c r="A12" s="121" t="s">
        <v>171</v>
      </c>
      <c r="B12" s="122"/>
      <c r="C12" s="49">
        <f>(D10+D11+D12)-206966.3583</f>
        <v>1578118.4817000001</v>
      </c>
      <c r="D12" s="49">
        <f t="shared" si="1"/>
        <v>595028.28</v>
      </c>
      <c r="E12" s="121" t="s">
        <v>177</v>
      </c>
      <c r="F12" s="122"/>
      <c r="G12" s="49">
        <f t="shared" si="0"/>
        <v>1138314.9702000003</v>
      </c>
      <c r="H12" s="5"/>
      <c r="L12" s="5">
        <v>10</v>
      </c>
      <c r="M12" s="49">
        <v>1345281.33</v>
      </c>
    </row>
    <row r="13" spans="1:13">
      <c r="A13" s="79" t="s">
        <v>172</v>
      </c>
      <c r="B13" s="80"/>
      <c r="C13" s="49">
        <f>(D10+D11+D12+D13)-206966.3583</f>
        <v>2173146.7617000001</v>
      </c>
      <c r="D13" s="49">
        <f t="shared" si="1"/>
        <v>595028.28</v>
      </c>
      <c r="E13" s="79" t="s">
        <v>178</v>
      </c>
      <c r="F13" s="80"/>
      <c r="G13" s="49">
        <f t="shared" si="0"/>
        <v>931348.61190000037</v>
      </c>
      <c r="H13" s="5"/>
      <c r="L13" s="5">
        <v>11</v>
      </c>
      <c r="M13" s="49">
        <v>1138314.97</v>
      </c>
    </row>
    <row r="14" spans="1:13">
      <c r="L14" s="5">
        <v>12</v>
      </c>
      <c r="M14" s="49">
        <v>931348.61</v>
      </c>
    </row>
    <row r="15" spans="1:13">
      <c r="A15" t="s">
        <v>179</v>
      </c>
      <c r="D15" s="62">
        <f>SUM(C8:C13)+SUM(G8:G13)</f>
        <v>14539386.666750003</v>
      </c>
      <c r="E15" s="27" t="s">
        <v>133</v>
      </c>
    </row>
    <row r="16" spans="1:13">
      <c r="A16" t="s">
        <v>180</v>
      </c>
      <c r="D16" s="62">
        <f>D15/12</f>
        <v>1211615.5555625001</v>
      </c>
      <c r="E16" s="27" t="s">
        <v>133</v>
      </c>
      <c r="F16" s="125">
        <f>D16/206966.3583</f>
        <v>5.854166665126562</v>
      </c>
      <c r="G16" s="46" t="s">
        <v>181</v>
      </c>
      <c r="H16" s="27"/>
    </row>
    <row r="22" spans="1:13">
      <c r="C22" s="112" t="s">
        <v>183</v>
      </c>
      <c r="D22" s="112"/>
      <c r="E22" s="112"/>
      <c r="F22" s="112"/>
      <c r="G22" s="112"/>
    </row>
    <row r="23" spans="1:13">
      <c r="A23" t="s">
        <v>161</v>
      </c>
      <c r="E23" s="45" t="s">
        <v>223</v>
      </c>
      <c r="H23" t="s">
        <v>162</v>
      </c>
    </row>
    <row r="24" spans="1:13">
      <c r="L24" s="41" t="s">
        <v>103</v>
      </c>
      <c r="M24" s="41" t="s">
        <v>165</v>
      </c>
    </row>
    <row r="25" spans="1:13">
      <c r="A25" t="s">
        <v>163</v>
      </c>
      <c r="L25" s="5">
        <v>1</v>
      </c>
      <c r="M25" s="49">
        <v>13304.34</v>
      </c>
    </row>
    <row r="26" spans="1:13">
      <c r="L26" s="5">
        <v>2</v>
      </c>
      <c r="M26" s="49">
        <v>8869.56</v>
      </c>
    </row>
    <row r="27" spans="1:13">
      <c r="A27" s="79" t="s">
        <v>164</v>
      </c>
      <c r="B27" s="80"/>
      <c r="C27" s="41" t="s">
        <v>165</v>
      </c>
      <c r="D27" s="41" t="s">
        <v>166</v>
      </c>
      <c r="E27" s="79" t="s">
        <v>164</v>
      </c>
      <c r="F27" s="80"/>
      <c r="G27" s="41" t="s">
        <v>165</v>
      </c>
      <c r="H27" s="41" t="s">
        <v>166</v>
      </c>
      <c r="L27" s="5">
        <v>3</v>
      </c>
      <c r="M27" s="49">
        <v>25500</v>
      </c>
    </row>
    <row r="28" spans="1:13">
      <c r="A28" s="79" t="s">
        <v>167</v>
      </c>
      <c r="B28" s="80"/>
      <c r="C28" s="49">
        <f>(8869.5652/2)*3</f>
        <v>13304.3478</v>
      </c>
      <c r="D28" s="5"/>
      <c r="E28" s="79" t="s">
        <v>173</v>
      </c>
      <c r="F28" s="80"/>
      <c r="G28" s="49">
        <f>C33-8869.5652</f>
        <v>84260.869600000005</v>
      </c>
      <c r="H28" s="5"/>
      <c r="L28" s="5">
        <v>4</v>
      </c>
      <c r="M28" s="49">
        <v>42130.43</v>
      </c>
    </row>
    <row r="29" spans="1:13">
      <c r="A29" s="121" t="s">
        <v>168</v>
      </c>
      <c r="B29" s="122"/>
      <c r="C29" s="49">
        <v>8869.5651999999991</v>
      </c>
      <c r="D29" s="5"/>
      <c r="E29" s="121" t="s">
        <v>174</v>
      </c>
      <c r="F29" s="122"/>
      <c r="G29" s="49">
        <f>G28-8869.5652</f>
        <v>75391.304400000008</v>
      </c>
      <c r="H29" s="5"/>
      <c r="L29" s="5">
        <v>5</v>
      </c>
      <c r="M29" s="49">
        <v>67630.429999999993</v>
      </c>
    </row>
    <row r="30" spans="1:13">
      <c r="A30" s="121" t="s">
        <v>169</v>
      </c>
      <c r="B30" s="122"/>
      <c r="C30" s="49">
        <f>D30</f>
        <v>25500</v>
      </c>
      <c r="D30" s="49">
        <f>102000/4</f>
        <v>25500</v>
      </c>
      <c r="E30" s="121" t="s">
        <v>175</v>
      </c>
      <c r="F30" s="122"/>
      <c r="G30" s="49">
        <f t="shared" ref="G30:G33" si="2">G29-8869.5652</f>
        <v>66521.739200000011</v>
      </c>
      <c r="H30" s="5"/>
      <c r="L30" s="5">
        <v>6</v>
      </c>
      <c r="M30" s="49">
        <v>93130.43</v>
      </c>
    </row>
    <row r="31" spans="1:13">
      <c r="A31" s="121" t="s">
        <v>170</v>
      </c>
      <c r="B31" s="122"/>
      <c r="C31" s="49">
        <f>(D30+D31)-8869.5652</f>
        <v>42130.434800000003</v>
      </c>
      <c r="D31" s="49">
        <f t="shared" ref="D31:D33" si="3">102000/4</f>
        <v>25500</v>
      </c>
      <c r="E31" s="121" t="s">
        <v>176</v>
      </c>
      <c r="F31" s="122"/>
      <c r="G31" s="49">
        <f t="shared" si="2"/>
        <v>57652.174000000014</v>
      </c>
      <c r="H31" s="5"/>
      <c r="L31" s="5">
        <v>7</v>
      </c>
      <c r="M31" s="49">
        <v>84260.87</v>
      </c>
    </row>
    <row r="32" spans="1:13">
      <c r="A32" s="121" t="s">
        <v>171</v>
      </c>
      <c r="B32" s="122"/>
      <c r="C32" s="49">
        <f>(D30+D31+D32)-8869.5652</f>
        <v>67630.434800000003</v>
      </c>
      <c r="D32" s="49">
        <f t="shared" si="3"/>
        <v>25500</v>
      </c>
      <c r="E32" s="121" t="s">
        <v>177</v>
      </c>
      <c r="F32" s="122"/>
      <c r="G32" s="49">
        <f t="shared" si="2"/>
        <v>48782.608800000016</v>
      </c>
      <c r="H32" s="5"/>
      <c r="L32" s="5">
        <v>8</v>
      </c>
      <c r="M32" s="49">
        <v>75391.3</v>
      </c>
    </row>
    <row r="33" spans="1:13">
      <c r="A33" s="79" t="s">
        <v>172</v>
      </c>
      <c r="B33" s="80"/>
      <c r="C33" s="49">
        <f>(D30+D31+D32+D33)-8869.5652</f>
        <v>93130.434800000003</v>
      </c>
      <c r="D33" s="49">
        <f t="shared" si="3"/>
        <v>25500</v>
      </c>
      <c r="E33" s="79" t="s">
        <v>178</v>
      </c>
      <c r="F33" s="80"/>
      <c r="G33" s="49">
        <f t="shared" si="2"/>
        <v>39913.043600000019</v>
      </c>
      <c r="H33" s="5"/>
      <c r="L33" s="5">
        <v>9</v>
      </c>
      <c r="M33" s="49">
        <v>66521.740000000005</v>
      </c>
    </row>
    <row r="34" spans="1:13">
      <c r="L34" s="5">
        <v>10</v>
      </c>
      <c r="M34" s="49">
        <v>57652.17</v>
      </c>
    </row>
    <row r="35" spans="1:13">
      <c r="A35" t="s">
        <v>179</v>
      </c>
      <c r="D35" s="62">
        <f>SUM(C28:C33)+SUM(G28:G33)</f>
        <v>623086.95700000005</v>
      </c>
      <c r="E35" s="27" t="s">
        <v>200</v>
      </c>
      <c r="L35" s="5">
        <v>11</v>
      </c>
      <c r="M35" s="49">
        <v>48782.61</v>
      </c>
    </row>
    <row r="36" spans="1:13">
      <c r="A36" t="s">
        <v>180</v>
      </c>
      <c r="D36" s="62">
        <f>D35/12</f>
        <v>51923.91308333334</v>
      </c>
      <c r="E36" s="27" t="s">
        <v>200</v>
      </c>
      <c r="F36" s="125">
        <f>D36/8869.5652</f>
        <v>5.8541666826388905</v>
      </c>
      <c r="G36" s="46" t="s">
        <v>181</v>
      </c>
      <c r="H36" s="27"/>
      <c r="L36" s="5">
        <v>12</v>
      </c>
      <c r="M36" s="49">
        <v>39913.040000000001</v>
      </c>
    </row>
  </sheetData>
  <mergeCells count="30">
    <mergeCell ref="A28:B28"/>
    <mergeCell ref="E28:F28"/>
    <mergeCell ref="A13:B13"/>
    <mergeCell ref="E8:F8"/>
    <mergeCell ref="E9:F9"/>
    <mergeCell ref="E10:F10"/>
    <mergeCell ref="E11:F11"/>
    <mergeCell ref="E12:F12"/>
    <mergeCell ref="E13:F13"/>
    <mergeCell ref="A8:B8"/>
    <mergeCell ref="A9:B9"/>
    <mergeCell ref="A10:B10"/>
    <mergeCell ref="A11:B11"/>
    <mergeCell ref="A12:B12"/>
    <mergeCell ref="A32:B32"/>
    <mergeCell ref="E32:F32"/>
    <mergeCell ref="A33:B33"/>
    <mergeCell ref="E33:F33"/>
    <mergeCell ref="C2:G2"/>
    <mergeCell ref="C22:G22"/>
    <mergeCell ref="A29:B29"/>
    <mergeCell ref="E29:F29"/>
    <mergeCell ref="A30:B30"/>
    <mergeCell ref="E30:F30"/>
    <mergeCell ref="A31:B31"/>
    <mergeCell ref="E31:F31"/>
    <mergeCell ref="A7:B7"/>
    <mergeCell ref="E7:F7"/>
    <mergeCell ref="A27:B27"/>
    <mergeCell ref="E27:F2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2"/>
  <sheetViews>
    <sheetView topLeftCell="A3" workbookViewId="0">
      <selection activeCell="J21" sqref="J21"/>
    </sheetView>
  </sheetViews>
  <sheetFormatPr baseColWidth="10" defaultRowHeight="15"/>
  <cols>
    <col min="2" max="2" width="12.5703125" customWidth="1"/>
    <col min="4" max="4" width="12.5703125" customWidth="1"/>
    <col min="5" max="5" width="16" customWidth="1"/>
    <col min="6" max="7" width="11.7109375" bestFit="1" customWidth="1"/>
  </cols>
  <sheetData>
    <row r="1" spans="1:7">
      <c r="A1" s="112" t="s">
        <v>184</v>
      </c>
      <c r="B1" s="112"/>
      <c r="C1" s="112"/>
      <c r="D1" s="112"/>
      <c r="E1" s="112"/>
      <c r="F1" s="112"/>
      <c r="G1" s="112"/>
    </row>
    <row r="2" spans="1:7" ht="15.75" thickBot="1">
      <c r="A2" s="42"/>
      <c r="B2" s="42"/>
      <c r="C2" s="42"/>
      <c r="D2" s="42"/>
      <c r="E2" s="42"/>
      <c r="F2" s="42"/>
      <c r="G2" s="42"/>
    </row>
    <row r="3" spans="1:7" ht="15.75" thickBot="1">
      <c r="A3" s="31" t="s">
        <v>182</v>
      </c>
      <c r="D3" s="48" t="s">
        <v>192</v>
      </c>
      <c r="E3" s="48" t="s">
        <v>193</v>
      </c>
      <c r="F3" s="48" t="s">
        <v>194</v>
      </c>
      <c r="G3" s="48" t="s">
        <v>195</v>
      </c>
    </row>
    <row r="4" spans="1:7">
      <c r="A4" t="s">
        <v>185</v>
      </c>
      <c r="D4" s="47" t="s">
        <v>196</v>
      </c>
      <c r="E4" s="126"/>
      <c r="F4" s="126">
        <v>1400002.58</v>
      </c>
      <c r="G4" s="126">
        <v>2000000</v>
      </c>
    </row>
    <row r="5" spans="1:7">
      <c r="A5" t="s">
        <v>186</v>
      </c>
      <c r="D5" s="5" t="s">
        <v>196</v>
      </c>
      <c r="E5" s="49"/>
      <c r="F5" s="49">
        <v>86956.52</v>
      </c>
      <c r="G5" s="49">
        <v>86956.52</v>
      </c>
    </row>
    <row r="6" spans="1:7">
      <c r="A6" t="s">
        <v>187</v>
      </c>
      <c r="D6" s="5" t="s">
        <v>196</v>
      </c>
      <c r="E6" s="49"/>
      <c r="F6" s="49">
        <v>1486959.1</v>
      </c>
      <c r="G6" s="49">
        <v>2000000</v>
      </c>
    </row>
    <row r="7" spans="1:7">
      <c r="A7" t="s">
        <v>22</v>
      </c>
      <c r="D7" s="5" t="s">
        <v>197</v>
      </c>
      <c r="E7" s="49"/>
      <c r="F7" s="49">
        <v>303339.90999999997</v>
      </c>
      <c r="G7" s="49">
        <v>380000</v>
      </c>
    </row>
    <row r="8" spans="1:7">
      <c r="A8" t="s">
        <v>188</v>
      </c>
      <c r="D8" s="5" t="s">
        <v>197</v>
      </c>
      <c r="E8" s="49"/>
      <c r="F8" s="49">
        <v>388.9</v>
      </c>
      <c r="G8" s="49">
        <v>388.9</v>
      </c>
    </row>
    <row r="9" spans="1:7">
      <c r="A9" t="s">
        <v>189</v>
      </c>
      <c r="D9" s="5" t="s">
        <v>197</v>
      </c>
      <c r="E9" s="49"/>
      <c r="F9" s="49">
        <v>1790687.92</v>
      </c>
      <c r="G9" s="49">
        <v>2380000</v>
      </c>
    </row>
    <row r="10" spans="1:7">
      <c r="A10" t="s">
        <v>190</v>
      </c>
      <c r="D10" s="5" t="s">
        <v>197</v>
      </c>
      <c r="E10" s="49">
        <v>238200</v>
      </c>
      <c r="F10" s="49">
        <v>1211615.6000000001</v>
      </c>
      <c r="G10" s="49">
        <v>1211615.6000000001</v>
      </c>
    </row>
    <row r="11" spans="1:7">
      <c r="A11" t="s">
        <v>191</v>
      </c>
      <c r="D11" s="5" t="s">
        <v>197</v>
      </c>
      <c r="E11" s="49">
        <v>238200</v>
      </c>
      <c r="F11" s="49">
        <f>F9+F10-E11</f>
        <v>2764103.52</v>
      </c>
      <c r="G11" s="49">
        <v>2380113.12</v>
      </c>
    </row>
    <row r="12" spans="1:7">
      <c r="D12" s="23"/>
      <c r="E12" s="23"/>
      <c r="F12" s="23"/>
      <c r="G12" s="23"/>
    </row>
    <row r="13" spans="1:7" ht="15.75" thickBot="1"/>
    <row r="14" spans="1:7" ht="15.75" thickBot="1">
      <c r="A14" s="31" t="s">
        <v>183</v>
      </c>
      <c r="D14" s="48" t="s">
        <v>192</v>
      </c>
      <c r="E14" s="48" t="s">
        <v>193</v>
      </c>
      <c r="F14" s="48" t="s">
        <v>194</v>
      </c>
      <c r="G14" s="48" t="s">
        <v>195</v>
      </c>
    </row>
    <row r="15" spans="1:7">
      <c r="A15" t="s">
        <v>185</v>
      </c>
      <c r="D15" s="47" t="s">
        <v>198</v>
      </c>
      <c r="E15" s="126"/>
      <c r="F15" s="126">
        <v>70002</v>
      </c>
      <c r="G15" s="126">
        <v>100000</v>
      </c>
    </row>
    <row r="16" spans="1:7">
      <c r="A16" t="s">
        <v>186</v>
      </c>
      <c r="D16" s="47" t="s">
        <v>198</v>
      </c>
      <c r="E16" s="49"/>
      <c r="F16" s="49">
        <v>4348</v>
      </c>
      <c r="G16" s="49">
        <v>4348</v>
      </c>
    </row>
    <row r="17" spans="1:7">
      <c r="A17" t="s">
        <v>187</v>
      </c>
      <c r="D17" s="47" t="s">
        <v>198</v>
      </c>
      <c r="E17" s="49"/>
      <c r="F17" s="49">
        <v>74351</v>
      </c>
      <c r="G17" s="49">
        <v>100000</v>
      </c>
    </row>
    <row r="18" spans="1:7">
      <c r="A18" t="s">
        <v>22</v>
      </c>
      <c r="D18" s="5" t="s">
        <v>199</v>
      </c>
      <c r="E18" s="49"/>
      <c r="F18" s="49">
        <v>1596.6</v>
      </c>
      <c r="G18" s="49">
        <v>2000</v>
      </c>
    </row>
    <row r="19" spans="1:7">
      <c r="A19" t="s">
        <v>188</v>
      </c>
      <c r="D19" s="5" t="s">
        <v>199</v>
      </c>
      <c r="E19" s="49"/>
      <c r="F19" s="49">
        <v>16.670000000000002</v>
      </c>
      <c r="G19" s="49">
        <v>16.670000000000002</v>
      </c>
    </row>
    <row r="20" spans="1:7">
      <c r="A20" t="s">
        <v>189</v>
      </c>
      <c r="D20" s="5" t="s">
        <v>199</v>
      </c>
      <c r="E20" s="49"/>
      <c r="F20" s="49">
        <v>75963.67</v>
      </c>
      <c r="G20" s="49">
        <v>102000</v>
      </c>
    </row>
    <row r="21" spans="1:7">
      <c r="A21" t="s">
        <v>190</v>
      </c>
      <c r="D21" s="5" t="s">
        <v>199</v>
      </c>
      <c r="E21" s="49">
        <v>9450</v>
      </c>
      <c r="F21" s="49">
        <v>51923.9</v>
      </c>
      <c r="G21" s="49">
        <v>51923.9</v>
      </c>
    </row>
    <row r="22" spans="1:7">
      <c r="A22" t="s">
        <v>191</v>
      </c>
      <c r="D22" s="5" t="s">
        <v>199</v>
      </c>
      <c r="E22" s="49">
        <v>9450</v>
      </c>
      <c r="F22" s="49">
        <f>F21+F20-E22</f>
        <v>118437.57</v>
      </c>
      <c r="G22" s="49">
        <v>102000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A10" sqref="A10:B10"/>
    </sheetView>
  </sheetViews>
  <sheetFormatPr baseColWidth="10" defaultColWidth="11.42578125" defaultRowHeight="15"/>
  <sheetData>
    <row r="1" spans="1:11">
      <c r="A1" s="17" t="s">
        <v>45</v>
      </c>
      <c r="B1" s="17"/>
      <c r="C1" s="17"/>
    </row>
    <row r="3" spans="1:11">
      <c r="A3" s="104" t="s">
        <v>46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>
      <c r="A7" t="s">
        <v>47</v>
      </c>
    </row>
    <row r="8" spans="1:11">
      <c r="A8" t="s">
        <v>48</v>
      </c>
    </row>
    <row r="10" spans="1:11">
      <c r="A10" s="102" t="s">
        <v>49</v>
      </c>
      <c r="B10" s="102"/>
      <c r="C10" s="33">
        <v>1</v>
      </c>
      <c r="D10" s="33">
        <v>2</v>
      </c>
      <c r="E10" s="33">
        <v>3</v>
      </c>
      <c r="F10" s="33">
        <v>4</v>
      </c>
      <c r="G10" s="33">
        <v>5</v>
      </c>
      <c r="H10" s="33">
        <v>6</v>
      </c>
      <c r="I10" s="33">
        <v>7</v>
      </c>
      <c r="J10" s="33">
        <v>8</v>
      </c>
      <c r="K10" s="33">
        <v>9</v>
      </c>
    </row>
    <row r="11" spans="1:11">
      <c r="A11" s="102" t="s">
        <v>50</v>
      </c>
      <c r="B11" s="102"/>
      <c r="C11" s="33" t="s">
        <v>51</v>
      </c>
      <c r="D11" s="33" t="s">
        <v>52</v>
      </c>
      <c r="E11" s="33" t="s">
        <v>53</v>
      </c>
      <c r="F11" s="33" t="s">
        <v>51</v>
      </c>
      <c r="G11" s="33" t="s">
        <v>52</v>
      </c>
      <c r="H11" s="33" t="s">
        <v>53</v>
      </c>
      <c r="I11" s="33" t="s">
        <v>51</v>
      </c>
      <c r="J11" s="33" t="s">
        <v>52</v>
      </c>
      <c r="K11" s="33" t="s">
        <v>53</v>
      </c>
    </row>
    <row r="12" spans="1:11">
      <c r="A12" s="102" t="s">
        <v>54</v>
      </c>
      <c r="B12" s="102"/>
      <c r="C12" s="33" t="s">
        <v>52</v>
      </c>
      <c r="D12" s="33" t="s">
        <v>53</v>
      </c>
      <c r="E12" s="33" t="s">
        <v>51</v>
      </c>
      <c r="F12" s="33" t="s">
        <v>52</v>
      </c>
      <c r="G12" s="33" t="s">
        <v>53</v>
      </c>
      <c r="H12" s="33" t="s">
        <v>51</v>
      </c>
      <c r="I12" s="33" t="s">
        <v>52</v>
      </c>
      <c r="J12" s="33" t="s">
        <v>53</v>
      </c>
      <c r="K12" s="33" t="s">
        <v>51</v>
      </c>
    </row>
    <row r="14" spans="1:11">
      <c r="A14" s="19" t="s">
        <v>55</v>
      </c>
      <c r="B14" s="18" t="s">
        <v>56</v>
      </c>
    </row>
    <row r="15" spans="1:11">
      <c r="B15" s="18" t="s">
        <v>57</v>
      </c>
    </row>
    <row r="16" spans="1:11">
      <c r="B16" s="18" t="s">
        <v>58</v>
      </c>
    </row>
  </sheetData>
  <mergeCells count="4">
    <mergeCell ref="A3:K6"/>
    <mergeCell ref="A10:B10"/>
    <mergeCell ref="A11:B11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"/>
  <sheetViews>
    <sheetView tabSelected="1" topLeftCell="B3" workbookViewId="0">
      <selection activeCell="J16" sqref="J16"/>
    </sheetView>
  </sheetViews>
  <sheetFormatPr baseColWidth="10" defaultColWidth="11.42578125" defaultRowHeight="15"/>
  <cols>
    <col min="5" max="5" width="12.140625" customWidth="1"/>
    <col min="6" max="6" width="13.28515625" customWidth="1"/>
    <col min="7" max="8" width="13.5703125" customWidth="1"/>
    <col min="11" max="12" width="11.5703125" bestFit="1" customWidth="1"/>
    <col min="13" max="13" width="11.7109375" bestFit="1" customWidth="1"/>
    <col min="14" max="14" width="12.5703125" customWidth="1"/>
    <col min="15" max="15" width="13.28515625" customWidth="1"/>
  </cols>
  <sheetData>
    <row r="1" spans="1:17">
      <c r="A1" s="105" t="s">
        <v>59</v>
      </c>
      <c r="B1" s="105"/>
      <c r="C1" s="105"/>
      <c r="D1" s="105"/>
      <c r="E1" s="105"/>
      <c r="F1" s="105"/>
      <c r="G1" s="105"/>
      <c r="H1" s="35"/>
    </row>
    <row r="3" spans="1:17">
      <c r="A3" s="13"/>
      <c r="B3" s="20" t="s">
        <v>60</v>
      </c>
      <c r="C3" s="20"/>
      <c r="D3" s="20"/>
      <c r="E3" s="20"/>
      <c r="F3" s="20"/>
    </row>
    <row r="4" spans="1:17">
      <c r="A4" s="2"/>
      <c r="B4" s="2" t="s">
        <v>61</v>
      </c>
      <c r="C4" s="2"/>
      <c r="D4" s="2"/>
      <c r="E4" s="2"/>
      <c r="F4" s="2"/>
    </row>
    <row r="5" spans="1:17">
      <c r="A5" s="2"/>
      <c r="B5" s="2" t="s">
        <v>62</v>
      </c>
      <c r="C5" s="2"/>
      <c r="D5" s="2"/>
      <c r="E5" s="2"/>
      <c r="F5" s="2"/>
    </row>
    <row r="6" spans="1:17">
      <c r="A6" s="2"/>
      <c r="B6" s="21" t="s">
        <v>63</v>
      </c>
      <c r="C6" s="2"/>
      <c r="D6" s="2"/>
      <c r="E6" s="2"/>
      <c r="F6" s="2"/>
    </row>
    <row r="7" spans="1:17">
      <c r="A7" s="2"/>
      <c r="B7" s="21" t="s">
        <v>64</v>
      </c>
      <c r="D7" s="2"/>
      <c r="E7" s="2"/>
      <c r="F7" s="2"/>
    </row>
    <row r="8" spans="1:17">
      <c r="A8" s="2"/>
    </row>
    <row r="10" spans="1:17">
      <c r="B10" s="107" t="s">
        <v>1</v>
      </c>
      <c r="C10" s="108"/>
      <c r="D10" s="108"/>
      <c r="E10" s="108"/>
      <c r="F10" s="108"/>
      <c r="G10" s="109"/>
      <c r="J10" s="107" t="s">
        <v>2</v>
      </c>
      <c r="K10" s="108"/>
      <c r="L10" s="108"/>
      <c r="M10" s="108"/>
      <c r="N10" s="108"/>
      <c r="O10" s="109"/>
    </row>
    <row r="11" spans="1:17" ht="60">
      <c r="B11" s="43" t="s">
        <v>65</v>
      </c>
      <c r="C11" s="44" t="s">
        <v>203</v>
      </c>
      <c r="D11" s="44" t="s">
        <v>66</v>
      </c>
      <c r="E11" s="44" t="s">
        <v>204</v>
      </c>
      <c r="F11" s="44" t="s">
        <v>67</v>
      </c>
      <c r="G11" s="44" t="s">
        <v>205</v>
      </c>
      <c r="H11" s="20"/>
      <c r="J11" s="43" t="s">
        <v>65</v>
      </c>
      <c r="K11" s="44" t="s">
        <v>203</v>
      </c>
      <c r="L11" s="44" t="s">
        <v>66</v>
      </c>
      <c r="M11" s="44" t="s">
        <v>206</v>
      </c>
      <c r="N11" s="44" t="s">
        <v>67</v>
      </c>
      <c r="O11" s="44" t="s">
        <v>205</v>
      </c>
    </row>
    <row r="12" spans="1:17">
      <c r="A12" s="2"/>
      <c r="B12" s="5">
        <v>1</v>
      </c>
      <c r="C12" s="49">
        <v>450</v>
      </c>
      <c r="D12" s="49">
        <v>6120</v>
      </c>
      <c r="E12" s="49">
        <f>C12*D12</f>
        <v>2754000</v>
      </c>
      <c r="F12" s="49">
        <v>0.75</v>
      </c>
      <c r="G12" s="49">
        <f>2754000*0.75</f>
        <v>2065500</v>
      </c>
      <c r="H12" s="2" t="s">
        <v>69</v>
      </c>
      <c r="J12" s="5">
        <v>1</v>
      </c>
      <c r="K12" s="49">
        <v>1500</v>
      </c>
      <c r="L12" s="49">
        <v>6120</v>
      </c>
      <c r="M12" s="49">
        <f>K12*L12</f>
        <v>9180000</v>
      </c>
      <c r="N12" s="49">
        <v>0.8</v>
      </c>
      <c r="O12" s="49">
        <f>9180000*0.8</f>
        <v>7344000</v>
      </c>
      <c r="P12" s="106" t="s">
        <v>70</v>
      </c>
      <c r="Q12" s="106"/>
    </row>
    <row r="13" spans="1:17">
      <c r="A13" s="2"/>
      <c r="B13" s="6">
        <v>2</v>
      </c>
      <c r="C13" s="49">
        <v>900</v>
      </c>
      <c r="D13" s="49">
        <v>6120</v>
      </c>
      <c r="E13" s="49">
        <f>C13*D13</f>
        <v>5508000</v>
      </c>
      <c r="F13" s="49">
        <v>0.9</v>
      </c>
      <c r="G13" s="49">
        <f>5508000*0.9</f>
        <v>4957200</v>
      </c>
      <c r="H13" s="21" t="s">
        <v>71</v>
      </c>
      <c r="P13" s="106"/>
      <c r="Q13" s="106"/>
    </row>
    <row r="14" spans="1:17">
      <c r="A14" s="2"/>
      <c r="B14" s="5">
        <v>2</v>
      </c>
      <c r="C14" s="49">
        <v>450</v>
      </c>
      <c r="D14" s="49">
        <v>6120</v>
      </c>
      <c r="E14" s="49">
        <f>C14*D14</f>
        <v>2754000</v>
      </c>
      <c r="F14" s="49">
        <v>0.8</v>
      </c>
      <c r="G14" s="49">
        <f>2754000*0.8</f>
        <v>2203200</v>
      </c>
      <c r="H14" s="2" t="s">
        <v>69</v>
      </c>
    </row>
    <row r="15" spans="1:17">
      <c r="A15" s="2"/>
      <c r="B15" s="5">
        <v>2</v>
      </c>
      <c r="C15" s="49">
        <v>600</v>
      </c>
      <c r="D15" s="49">
        <v>6120</v>
      </c>
      <c r="E15" s="49">
        <f>C15*D15</f>
        <v>3672000</v>
      </c>
      <c r="F15" s="49">
        <v>0.75</v>
      </c>
      <c r="G15" s="49">
        <f>3672000*0.75</f>
        <v>2754000</v>
      </c>
      <c r="H15" s="21" t="s">
        <v>72</v>
      </c>
    </row>
  </sheetData>
  <mergeCells count="4">
    <mergeCell ref="A1:G1"/>
    <mergeCell ref="P12:Q13"/>
    <mergeCell ref="J10:O10"/>
    <mergeCell ref="B10:G1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J9" sqref="J9:O9"/>
    </sheetView>
  </sheetViews>
  <sheetFormatPr baseColWidth="10" defaultColWidth="11.42578125" defaultRowHeight="15"/>
  <cols>
    <col min="1" max="1" width="11.5703125" bestFit="1" customWidth="1"/>
    <col min="2" max="3" width="11.7109375" bestFit="1" customWidth="1"/>
    <col min="4" max="4" width="11.5703125" bestFit="1" customWidth="1"/>
    <col min="5" max="5" width="11.7109375" bestFit="1" customWidth="1"/>
    <col min="6" max="6" width="11.5703125" bestFit="1" customWidth="1"/>
    <col min="10" max="10" width="11.5703125" bestFit="1" customWidth="1"/>
    <col min="11" max="12" width="11.7109375" bestFit="1" customWidth="1"/>
    <col min="13" max="13" width="11.5703125" bestFit="1" customWidth="1"/>
    <col min="14" max="14" width="11.7109375" bestFit="1" customWidth="1"/>
    <col min="15" max="15" width="11.5703125" bestFit="1" customWidth="1"/>
  </cols>
  <sheetData>
    <row r="1" spans="1:15">
      <c r="A1" s="111" t="s">
        <v>73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3" spans="1:15">
      <c r="A3" t="s">
        <v>74</v>
      </c>
    </row>
    <row r="4" spans="1:15">
      <c r="A4" t="s">
        <v>75</v>
      </c>
    </row>
    <row r="5" spans="1:15">
      <c r="A5" t="s">
        <v>76</v>
      </c>
    </row>
    <row r="7" spans="1:15">
      <c r="A7" s="110" t="s">
        <v>77</v>
      </c>
      <c r="B7" s="102"/>
      <c r="C7" s="102"/>
      <c r="D7" s="102"/>
      <c r="E7" s="102"/>
      <c r="F7" s="102"/>
      <c r="J7" s="110" t="s">
        <v>2</v>
      </c>
      <c r="K7" s="102"/>
      <c r="L7" s="102"/>
      <c r="M7" s="102"/>
      <c r="N7" s="102"/>
      <c r="O7" s="102"/>
    </row>
    <row r="8" spans="1:15" ht="45">
      <c r="A8" s="39" t="s">
        <v>78</v>
      </c>
      <c r="B8" s="38" t="s">
        <v>79</v>
      </c>
      <c r="C8" s="37" t="s">
        <v>68</v>
      </c>
      <c r="D8" s="38" t="s">
        <v>80</v>
      </c>
      <c r="E8" s="24" t="s">
        <v>81</v>
      </c>
      <c r="F8" s="24" t="s">
        <v>82</v>
      </c>
      <c r="J8" s="39" t="s">
        <v>78</v>
      </c>
      <c r="K8" s="38" t="s">
        <v>79</v>
      </c>
      <c r="L8" s="37" t="s">
        <v>68</v>
      </c>
      <c r="M8" s="38" t="s">
        <v>80</v>
      </c>
      <c r="N8" s="24" t="s">
        <v>81</v>
      </c>
      <c r="O8" s="24" t="s">
        <v>82</v>
      </c>
    </row>
    <row r="9" spans="1:15">
      <c r="A9" s="49">
        <v>1</v>
      </c>
      <c r="B9" s="49">
        <v>2012903.76</v>
      </c>
      <c r="C9" s="49">
        <f>2754000*0.75</f>
        <v>2065500</v>
      </c>
      <c r="D9" s="49">
        <v>1</v>
      </c>
      <c r="E9" s="49">
        <f>2754000*0.75</f>
        <v>2065500</v>
      </c>
      <c r="F9" s="49">
        <f>B9/E9</f>
        <v>0.97453583151779233</v>
      </c>
      <c r="G9" t="s">
        <v>69</v>
      </c>
      <c r="J9" s="49">
        <v>1</v>
      </c>
      <c r="K9" s="49">
        <v>2000000</v>
      </c>
      <c r="L9" s="49">
        <f>9180000*0.8</f>
        <v>7344000</v>
      </c>
      <c r="M9" s="49">
        <v>1</v>
      </c>
      <c r="N9" s="49">
        <f>9180000*0.8</f>
        <v>7344000</v>
      </c>
      <c r="O9" s="49">
        <f>K9/N9</f>
        <v>0.27233115468409586</v>
      </c>
    </row>
    <row r="10" spans="1:15">
      <c r="A10" s="49">
        <v>2</v>
      </c>
      <c r="B10" s="49">
        <v>2000000</v>
      </c>
      <c r="C10" s="49">
        <f>5508000*0.9</f>
        <v>4957200</v>
      </c>
      <c r="D10" s="49">
        <v>1</v>
      </c>
      <c r="E10" s="49">
        <f>5508000*0.9</f>
        <v>4957200</v>
      </c>
      <c r="F10" s="49">
        <f>B10/E10</f>
        <v>0.40345356249495684</v>
      </c>
      <c r="G10" t="s">
        <v>71</v>
      </c>
      <c r="K10" s="2"/>
      <c r="L10" s="2"/>
    </row>
    <row r="11" spans="1:15">
      <c r="A11" s="49">
        <v>2</v>
      </c>
      <c r="B11" s="49">
        <v>2000000</v>
      </c>
      <c r="C11" s="49">
        <f>2754000*0.8</f>
        <v>2203200</v>
      </c>
      <c r="D11" s="49">
        <v>1</v>
      </c>
      <c r="E11" s="49">
        <f>2754000*0.8</f>
        <v>2203200</v>
      </c>
      <c r="F11" s="49">
        <f>B11/E11</f>
        <v>0.90777051561365285</v>
      </c>
      <c r="G11" t="s">
        <v>69</v>
      </c>
      <c r="K11" s="2"/>
      <c r="L11" s="2"/>
    </row>
    <row r="12" spans="1:15">
      <c r="A12" s="49">
        <v>2</v>
      </c>
      <c r="B12" s="49">
        <v>2000000</v>
      </c>
      <c r="C12" s="49">
        <f>3672000*0.75</f>
        <v>2754000</v>
      </c>
      <c r="D12" s="61">
        <v>1</v>
      </c>
      <c r="E12" s="49">
        <f>3672000*0.75</f>
        <v>2754000</v>
      </c>
      <c r="F12" s="49">
        <f>B12/E12</f>
        <v>0.72621641249092228</v>
      </c>
      <c r="G12" t="s">
        <v>72</v>
      </c>
      <c r="K12" s="2"/>
      <c r="L12" s="2"/>
    </row>
    <row r="13" spans="1:15">
      <c r="D13" s="23"/>
      <c r="E13" s="23"/>
      <c r="K13" s="2"/>
      <c r="L13" s="2"/>
    </row>
    <row r="14" spans="1:15">
      <c r="E14" s="2"/>
      <c r="F14" s="2"/>
    </row>
  </sheetData>
  <mergeCells count="3">
    <mergeCell ref="A7:F7"/>
    <mergeCell ref="J7:O7"/>
    <mergeCell ref="A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3"/>
  <sheetViews>
    <sheetView topLeftCell="C1" workbookViewId="0">
      <selection activeCell="K10" sqref="K10:R10"/>
    </sheetView>
  </sheetViews>
  <sheetFormatPr baseColWidth="10" defaultColWidth="11.42578125" defaultRowHeight="15"/>
  <cols>
    <col min="2" max="2" width="11.5703125" bestFit="1" customWidth="1"/>
    <col min="3" max="4" width="11.7109375" bestFit="1" customWidth="1"/>
    <col min="5" max="5" width="11.5703125" bestFit="1" customWidth="1"/>
    <col min="6" max="6" width="11.7109375" bestFit="1" customWidth="1"/>
    <col min="7" max="8" width="11.5703125" bestFit="1" customWidth="1"/>
    <col min="9" max="9" width="13.5703125" customWidth="1"/>
    <col min="11" max="11" width="11.5703125" bestFit="1" customWidth="1"/>
    <col min="12" max="13" width="11.7109375" bestFit="1" customWidth="1"/>
    <col min="14" max="14" width="11.5703125" bestFit="1" customWidth="1"/>
    <col min="15" max="15" width="11.7109375" bestFit="1" customWidth="1"/>
    <col min="16" max="16" width="11.5703125" bestFit="1" customWidth="1"/>
    <col min="18" max="18" width="12.7109375" bestFit="1" customWidth="1"/>
  </cols>
  <sheetData>
    <row r="1" spans="1:18">
      <c r="A1" s="112" t="s">
        <v>83</v>
      </c>
      <c r="B1" s="112"/>
      <c r="C1" s="112"/>
      <c r="D1" s="112"/>
      <c r="E1" s="112"/>
      <c r="F1" s="112"/>
    </row>
    <row r="3" spans="1:18">
      <c r="A3" t="s">
        <v>84</v>
      </c>
    </row>
    <row r="4" spans="1:18">
      <c r="A4" t="s">
        <v>85</v>
      </c>
    </row>
    <row r="6" spans="1:18">
      <c r="A6" t="s">
        <v>86</v>
      </c>
    </row>
    <row r="7" spans="1:18">
      <c r="A7" t="s">
        <v>87</v>
      </c>
    </row>
    <row r="8" spans="1:18">
      <c r="B8" s="107" t="s">
        <v>77</v>
      </c>
      <c r="C8" s="108"/>
      <c r="D8" s="108"/>
      <c r="E8" s="108"/>
      <c r="F8" s="108"/>
      <c r="G8" s="108"/>
      <c r="H8" s="109"/>
      <c r="K8" s="110" t="s">
        <v>2</v>
      </c>
      <c r="L8" s="102"/>
      <c r="M8" s="102"/>
      <c r="N8" s="102"/>
      <c r="O8" s="102"/>
      <c r="P8" s="102"/>
    </row>
    <row r="9" spans="1:18" ht="60">
      <c r="B9" s="39" t="s">
        <v>78</v>
      </c>
      <c r="C9" s="38" t="s">
        <v>79</v>
      </c>
      <c r="D9" s="37" t="s">
        <v>68</v>
      </c>
      <c r="E9" s="38" t="s">
        <v>80</v>
      </c>
      <c r="F9" s="24" t="s">
        <v>81</v>
      </c>
      <c r="G9" s="24" t="s">
        <v>82</v>
      </c>
      <c r="H9" s="25" t="s">
        <v>88</v>
      </c>
      <c r="I9" s="26" t="s">
        <v>68</v>
      </c>
      <c r="K9" s="39" t="s">
        <v>78</v>
      </c>
      <c r="L9" s="38" t="s">
        <v>79</v>
      </c>
      <c r="M9" s="37" t="s">
        <v>68</v>
      </c>
      <c r="N9" s="38" t="s">
        <v>80</v>
      </c>
      <c r="O9" s="24" t="s">
        <v>81</v>
      </c>
      <c r="P9" s="24" t="s">
        <v>82</v>
      </c>
      <c r="Q9" s="25" t="s">
        <v>88</v>
      </c>
      <c r="R9" s="26" t="s">
        <v>68</v>
      </c>
    </row>
    <row r="10" spans="1:18">
      <c r="B10" s="49">
        <v>1</v>
      </c>
      <c r="C10" s="49">
        <v>2012903.76</v>
      </c>
      <c r="D10" s="49">
        <f>2754000*0.75</f>
        <v>2065500</v>
      </c>
      <c r="E10" s="49">
        <v>1</v>
      </c>
      <c r="F10" s="49">
        <f>2754000*0.75</f>
        <v>2065500</v>
      </c>
      <c r="G10" s="49">
        <f>C10/F10</f>
        <v>0.97453583151779233</v>
      </c>
      <c r="H10" s="50">
        <v>1</v>
      </c>
      <c r="I10" s="50">
        <f>(D10*1)/G10</f>
        <v>2119470.5553135835</v>
      </c>
      <c r="K10" s="49">
        <v>1</v>
      </c>
      <c r="L10" s="49">
        <v>2000000</v>
      </c>
      <c r="M10" s="49">
        <f>9180000*0.8</f>
        <v>7344000</v>
      </c>
      <c r="N10" s="49">
        <v>1</v>
      </c>
      <c r="O10" s="49">
        <f>9180000*0.8</f>
        <v>7344000</v>
      </c>
      <c r="P10" s="49">
        <f>L10/O10</f>
        <v>0.27233115468409586</v>
      </c>
      <c r="Q10" s="50"/>
      <c r="R10" s="50">
        <f>(M10*1)/P10</f>
        <v>26967168</v>
      </c>
    </row>
    <row r="11" spans="1:18">
      <c r="B11" s="49">
        <v>2</v>
      </c>
      <c r="C11" s="49">
        <v>2000000</v>
      </c>
      <c r="D11" s="49">
        <f>5508000*0.9</f>
        <v>4957200</v>
      </c>
      <c r="E11" s="49">
        <v>1</v>
      </c>
      <c r="F11" s="49">
        <f>5508000*0.9</f>
        <v>4957200</v>
      </c>
      <c r="G11" s="49">
        <f>C11/F11</f>
        <v>0.40345356249495684</v>
      </c>
      <c r="H11" s="50"/>
      <c r="I11" s="50">
        <f>(D11*1)/G11</f>
        <v>12286915.92</v>
      </c>
    </row>
    <row r="12" spans="1:18">
      <c r="B12" s="49">
        <v>2</v>
      </c>
      <c r="C12" s="49">
        <v>2000000</v>
      </c>
      <c r="D12" s="49">
        <f>2754000*0.8</f>
        <v>2203200</v>
      </c>
      <c r="E12" s="49">
        <v>1</v>
      </c>
      <c r="F12" s="49">
        <f>2754000*0.8</f>
        <v>2203200</v>
      </c>
      <c r="G12" s="49">
        <f>C12/F12</f>
        <v>0.90777051561365285</v>
      </c>
      <c r="H12" s="50"/>
      <c r="I12" s="50">
        <f t="shared" ref="I12:I13" si="0">(D12*1)/G12</f>
        <v>2427045.12</v>
      </c>
    </row>
    <row r="13" spans="1:18">
      <c r="B13" s="49">
        <v>2</v>
      </c>
      <c r="C13" s="49">
        <v>2000000</v>
      </c>
      <c r="D13" s="49">
        <f>3672000*0.75</f>
        <v>2754000</v>
      </c>
      <c r="E13" s="61">
        <v>1</v>
      </c>
      <c r="F13" s="49">
        <f>3672000*0.75</f>
        <v>2754000</v>
      </c>
      <c r="G13" s="49">
        <f>C13/F13</f>
        <v>0.72621641249092228</v>
      </c>
      <c r="H13" s="50"/>
      <c r="I13" s="50">
        <f t="shared" si="0"/>
        <v>3792258</v>
      </c>
    </row>
  </sheetData>
  <mergeCells count="3">
    <mergeCell ref="A1:F1"/>
    <mergeCell ref="K8:P8"/>
    <mergeCell ref="B8:H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0"/>
  <sheetViews>
    <sheetView topLeftCell="A20" workbookViewId="0">
      <selection activeCell="E41" sqref="E41"/>
    </sheetView>
  </sheetViews>
  <sheetFormatPr baseColWidth="10" defaultColWidth="11.42578125" defaultRowHeight="15"/>
  <cols>
    <col min="4" max="4" width="11.7109375" bestFit="1" customWidth="1"/>
    <col min="5" max="5" width="14.5703125" customWidth="1"/>
    <col min="6" max="6" width="12.7109375" customWidth="1"/>
    <col min="8" max="8" width="11.7109375" bestFit="1" customWidth="1"/>
    <col min="10" max="10" width="13" customWidth="1"/>
  </cols>
  <sheetData>
    <row r="1" spans="1:11">
      <c r="A1" s="112" t="s">
        <v>89</v>
      </c>
      <c r="B1" s="112"/>
      <c r="C1" s="112"/>
      <c r="D1" s="112"/>
      <c r="E1" s="112"/>
      <c r="F1" s="36"/>
    </row>
    <row r="3" spans="1:11" ht="15" customHeight="1">
      <c r="A3" s="106" t="s">
        <v>90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1">
      <c r="A4" s="106"/>
      <c r="B4" s="106"/>
      <c r="C4" s="106"/>
      <c r="D4" s="106"/>
      <c r="E4" s="106"/>
      <c r="F4" s="106"/>
      <c r="G4" s="106"/>
      <c r="H4" s="106"/>
      <c r="I4" s="106"/>
      <c r="J4" s="106"/>
    </row>
    <row r="5" spans="1:11">
      <c r="A5" s="106" t="s">
        <v>91</v>
      </c>
      <c r="B5" s="106"/>
      <c r="C5" s="106"/>
      <c r="D5" s="106"/>
      <c r="E5" s="106"/>
      <c r="F5" s="106"/>
      <c r="G5" s="106"/>
      <c r="H5" s="106"/>
    </row>
    <row r="6" spans="1:11">
      <c r="A6" s="106"/>
      <c r="B6" s="106"/>
      <c r="C6" s="106"/>
      <c r="D6" s="106"/>
      <c r="E6" s="106"/>
      <c r="F6" s="106"/>
      <c r="G6" s="106"/>
      <c r="H6" s="106"/>
    </row>
    <row r="8" spans="1:11">
      <c r="A8" s="102" t="s">
        <v>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15" customHeight="1">
      <c r="A9" s="114" t="s">
        <v>92</v>
      </c>
      <c r="B9" s="115" t="s">
        <v>93</v>
      </c>
      <c r="C9" s="115"/>
      <c r="D9" s="116" t="s">
        <v>94</v>
      </c>
      <c r="E9" s="116"/>
      <c r="F9" s="114" t="s">
        <v>95</v>
      </c>
      <c r="G9" s="114"/>
      <c r="H9" s="116" t="s">
        <v>96</v>
      </c>
      <c r="I9" s="116"/>
      <c r="J9" s="117" t="s">
        <v>97</v>
      </c>
      <c r="K9" s="117"/>
    </row>
    <row r="10" spans="1:11">
      <c r="A10" s="114"/>
      <c r="B10" s="115"/>
      <c r="C10" s="115"/>
      <c r="D10" s="116"/>
      <c r="E10" s="116"/>
      <c r="F10" s="114"/>
      <c r="G10" s="114"/>
      <c r="H10" s="116"/>
      <c r="I10" s="116"/>
      <c r="J10" s="117"/>
      <c r="K10" s="117"/>
    </row>
    <row r="11" spans="1:11">
      <c r="A11" s="33">
        <v>1</v>
      </c>
      <c r="B11" s="79">
        <v>0</v>
      </c>
      <c r="C11" s="80"/>
      <c r="D11" s="79">
        <v>5</v>
      </c>
      <c r="E11" s="80"/>
      <c r="F11" s="79">
        <f>AVERAGE(B11:E11)</f>
        <v>2.5</v>
      </c>
      <c r="G11" s="80"/>
      <c r="H11" s="79">
        <v>173913.04347826086</v>
      </c>
      <c r="I11" s="80"/>
      <c r="J11" s="79">
        <f>0.025*H11</f>
        <v>4347.826086956522</v>
      </c>
      <c r="K11" s="80"/>
    </row>
    <row r="12" spans="1:11">
      <c r="A12" s="33">
        <v>2</v>
      </c>
      <c r="B12" s="79">
        <v>5</v>
      </c>
      <c r="C12" s="80"/>
      <c r="D12" s="79">
        <v>20</v>
      </c>
      <c r="E12" s="80"/>
      <c r="F12" s="79">
        <f t="shared" ref="F12:F13" si="0">AVERAGE(B12:E12)</f>
        <v>12.5</v>
      </c>
      <c r="G12" s="80"/>
      <c r="H12" s="79">
        <v>173914.04347826101</v>
      </c>
      <c r="I12" s="80"/>
      <c r="J12" s="79">
        <f>0.125*H12</f>
        <v>21739.255434782626</v>
      </c>
      <c r="K12" s="80"/>
    </row>
    <row r="13" spans="1:11">
      <c r="A13" s="33">
        <v>3</v>
      </c>
      <c r="B13" s="79">
        <v>20</v>
      </c>
      <c r="C13" s="80"/>
      <c r="D13" s="79">
        <v>30</v>
      </c>
      <c r="E13" s="80"/>
      <c r="F13" s="79">
        <f t="shared" si="0"/>
        <v>25</v>
      </c>
      <c r="G13" s="80"/>
      <c r="H13" s="79">
        <v>173915.04347826101</v>
      </c>
      <c r="I13" s="80"/>
      <c r="J13" s="79">
        <f>0.25*H13</f>
        <v>43478.760869565253</v>
      </c>
      <c r="K13" s="80"/>
    </row>
    <row r="14" spans="1:11">
      <c r="A14" s="33">
        <v>4</v>
      </c>
      <c r="B14" s="79">
        <v>30</v>
      </c>
      <c r="C14" s="80"/>
      <c r="D14" s="79">
        <v>100</v>
      </c>
      <c r="E14" s="80"/>
      <c r="F14" s="79">
        <f>AVERAGE(B14:E14)</f>
        <v>65</v>
      </c>
      <c r="G14" s="80"/>
      <c r="H14" s="79">
        <v>173916.04347826101</v>
      </c>
      <c r="I14" s="80"/>
      <c r="J14" s="79">
        <f>0.65*H14</f>
        <v>113045.42826086967</v>
      </c>
      <c r="K14" s="80"/>
    </row>
    <row r="15" spans="1:11">
      <c r="H15" s="79" t="s">
        <v>98</v>
      </c>
      <c r="I15" s="80"/>
      <c r="J15" s="79">
        <f>SUM(J11:K14)</f>
        <v>182611.27065217408</v>
      </c>
      <c r="K15" s="80"/>
    </row>
    <row r="17" spans="1:11">
      <c r="B17" t="s">
        <v>99</v>
      </c>
      <c r="I17" s="29">
        <f>2000000/11.5</f>
        <v>173913.04347826086</v>
      </c>
      <c r="J17" s="27" t="s">
        <v>100</v>
      </c>
    </row>
    <row r="19" spans="1:11">
      <c r="A19" t="s">
        <v>101</v>
      </c>
    </row>
    <row r="20" spans="1:11">
      <c r="A20" t="s">
        <v>102</v>
      </c>
      <c r="E20" s="49">
        <f>11.5-4</f>
        <v>7.5</v>
      </c>
      <c r="F20" s="5" t="s">
        <v>103</v>
      </c>
      <c r="G20" s="113" t="s">
        <v>104</v>
      </c>
      <c r="H20" s="118">
        <f>E20*E21</f>
        <v>1304347.8260869565</v>
      </c>
      <c r="I20" s="119" t="s">
        <v>105</v>
      </c>
    </row>
    <row r="21" spans="1:11">
      <c r="E21" s="54">
        <f>2000000/11.5</f>
        <v>173913.04347826086</v>
      </c>
      <c r="F21" s="5" t="s">
        <v>100</v>
      </c>
      <c r="G21" s="113"/>
      <c r="H21" s="118"/>
      <c r="I21" s="119"/>
    </row>
    <row r="22" spans="1:11">
      <c r="A22" t="s">
        <v>106</v>
      </c>
      <c r="D22" s="62">
        <f>J15+H20</f>
        <v>1486959.0967391306</v>
      </c>
      <c r="E22" s="30" t="s">
        <v>105</v>
      </c>
    </row>
    <row r="23" spans="1:11">
      <c r="A23" t="s">
        <v>107</v>
      </c>
      <c r="E23" s="10">
        <f>2000000</f>
        <v>2000000</v>
      </c>
      <c r="F23" s="27" t="s">
        <v>108</v>
      </c>
    </row>
    <row r="25" spans="1:11">
      <c r="A25" s="102" t="s">
        <v>2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1:11">
      <c r="A26" s="114" t="s">
        <v>92</v>
      </c>
      <c r="B26" s="115" t="s">
        <v>93</v>
      </c>
      <c r="C26" s="115"/>
      <c r="D26" s="116" t="s">
        <v>94</v>
      </c>
      <c r="E26" s="116"/>
      <c r="F26" s="114" t="s">
        <v>95</v>
      </c>
      <c r="G26" s="114"/>
      <c r="H26" s="116" t="s">
        <v>96</v>
      </c>
      <c r="I26" s="116"/>
      <c r="J26" s="117" t="s">
        <v>97</v>
      </c>
      <c r="K26" s="117"/>
    </row>
    <row r="27" spans="1:11">
      <c r="A27" s="114"/>
      <c r="B27" s="115"/>
      <c r="C27" s="115"/>
      <c r="D27" s="116"/>
      <c r="E27" s="116"/>
      <c r="F27" s="114"/>
      <c r="G27" s="114"/>
      <c r="H27" s="116"/>
      <c r="I27" s="116"/>
      <c r="J27" s="117"/>
      <c r="K27" s="117"/>
    </row>
    <row r="28" spans="1:11">
      <c r="A28" s="58">
        <v>1</v>
      </c>
      <c r="B28" s="71">
        <v>0</v>
      </c>
      <c r="C28" s="72"/>
      <c r="D28" s="71">
        <v>5</v>
      </c>
      <c r="E28" s="72"/>
      <c r="F28" s="71">
        <f>AVERAGE(B28:E28)</f>
        <v>2.5</v>
      </c>
      <c r="G28" s="72"/>
      <c r="H28" s="71">
        <v>8695.652173913044</v>
      </c>
      <c r="I28" s="72"/>
      <c r="J28" s="71">
        <f>0.025*H28</f>
        <v>217.39130434782612</v>
      </c>
      <c r="K28" s="72"/>
    </row>
    <row r="29" spans="1:11">
      <c r="A29" s="58">
        <v>2</v>
      </c>
      <c r="B29" s="71">
        <v>5</v>
      </c>
      <c r="C29" s="72"/>
      <c r="D29" s="71">
        <v>20</v>
      </c>
      <c r="E29" s="72"/>
      <c r="F29" s="71">
        <f t="shared" ref="F29:F30" si="1">AVERAGE(B29:E29)</f>
        <v>12.5</v>
      </c>
      <c r="G29" s="72"/>
      <c r="H29" s="71">
        <v>8696.6521739130403</v>
      </c>
      <c r="I29" s="72"/>
      <c r="J29" s="71">
        <f>0.125*H29</f>
        <v>1087.08152173913</v>
      </c>
      <c r="K29" s="72"/>
    </row>
    <row r="30" spans="1:11">
      <c r="A30" s="58">
        <v>3</v>
      </c>
      <c r="B30" s="71">
        <v>20</v>
      </c>
      <c r="C30" s="72"/>
      <c r="D30" s="71">
        <v>30</v>
      </c>
      <c r="E30" s="72"/>
      <c r="F30" s="71">
        <f t="shared" si="1"/>
        <v>25</v>
      </c>
      <c r="G30" s="72"/>
      <c r="H30" s="71">
        <v>8697.6521739130403</v>
      </c>
      <c r="I30" s="72"/>
      <c r="J30" s="71">
        <f>0.25*H30</f>
        <v>2174.4130434782601</v>
      </c>
      <c r="K30" s="72"/>
    </row>
    <row r="31" spans="1:11">
      <c r="A31" s="58">
        <v>4</v>
      </c>
      <c r="B31" s="71">
        <v>30</v>
      </c>
      <c r="C31" s="72"/>
      <c r="D31" s="71">
        <v>100</v>
      </c>
      <c r="E31" s="72"/>
      <c r="F31" s="71">
        <f>AVERAGE(B31:E31)</f>
        <v>65</v>
      </c>
      <c r="G31" s="72"/>
      <c r="H31" s="71">
        <v>8698.6521739130403</v>
      </c>
      <c r="I31" s="72"/>
      <c r="J31" s="71">
        <f>0.65*H31</f>
        <v>5654.123913043476</v>
      </c>
      <c r="K31" s="72"/>
    </row>
    <row r="32" spans="1:11">
      <c r="H32" s="79" t="s">
        <v>98</v>
      </c>
      <c r="I32" s="80"/>
      <c r="J32" s="71">
        <f>SUM(J28:K31)</f>
        <v>9133.0097826086931</v>
      </c>
      <c r="K32" s="72"/>
    </row>
    <row r="33" spans="1:11">
      <c r="H33" s="13"/>
      <c r="I33" s="13"/>
      <c r="J33" s="13"/>
      <c r="K33" s="13"/>
    </row>
    <row r="34" spans="1:11">
      <c r="B34" t="s">
        <v>99</v>
      </c>
      <c r="I34" s="62">
        <f>100000/11.5</f>
        <v>8695.652173913044</v>
      </c>
      <c r="J34" s="27" t="s">
        <v>109</v>
      </c>
    </row>
    <row r="36" spans="1:11">
      <c r="A36" t="s">
        <v>110</v>
      </c>
    </row>
    <row r="37" spans="1:11">
      <c r="A37" t="s">
        <v>102</v>
      </c>
      <c r="E37" s="49">
        <f>11.5-4</f>
        <v>7.5</v>
      </c>
      <c r="F37" s="5" t="s">
        <v>103</v>
      </c>
      <c r="G37" s="113" t="s">
        <v>104</v>
      </c>
      <c r="H37" s="113">
        <f>E37*E38</f>
        <v>65217.391304347831</v>
      </c>
      <c r="I37" s="113" t="s">
        <v>111</v>
      </c>
    </row>
    <row r="38" spans="1:11">
      <c r="E38" s="54">
        <f>100000/11.5</f>
        <v>8695.652173913044</v>
      </c>
      <c r="F38" s="28" t="s">
        <v>109</v>
      </c>
      <c r="G38" s="113"/>
      <c r="H38" s="113"/>
      <c r="I38" s="113"/>
    </row>
    <row r="39" spans="1:11">
      <c r="A39" t="s">
        <v>106</v>
      </c>
      <c r="D39" s="62">
        <f>H37+J32</f>
        <v>74350.401086956525</v>
      </c>
      <c r="E39" s="30" t="s">
        <v>111</v>
      </c>
    </row>
    <row r="40" spans="1:11">
      <c r="A40" t="s">
        <v>107</v>
      </c>
      <c r="E40" s="63" t="s">
        <v>207</v>
      </c>
      <c r="F40" s="27"/>
    </row>
  </sheetData>
  <mergeCells count="67">
    <mergeCell ref="A1:E1"/>
    <mergeCell ref="A5:H6"/>
    <mergeCell ref="A3:J4"/>
    <mergeCell ref="B9:C10"/>
    <mergeCell ref="A9:A10"/>
    <mergeCell ref="D9:E10"/>
    <mergeCell ref="J9:K10"/>
    <mergeCell ref="H9:I10"/>
    <mergeCell ref="F9:G10"/>
    <mergeCell ref="H11:I11"/>
    <mergeCell ref="B13:C13"/>
    <mergeCell ref="D13:E13"/>
    <mergeCell ref="B14:C14"/>
    <mergeCell ref="D14:E14"/>
    <mergeCell ref="B11:C11"/>
    <mergeCell ref="B12:C12"/>
    <mergeCell ref="D11:E11"/>
    <mergeCell ref="D12:E12"/>
    <mergeCell ref="F11:G11"/>
    <mergeCell ref="F12:G12"/>
    <mergeCell ref="J26:K27"/>
    <mergeCell ref="A8:K8"/>
    <mergeCell ref="H15:I15"/>
    <mergeCell ref="J15:K15"/>
    <mergeCell ref="G20:G21"/>
    <mergeCell ref="H20:H21"/>
    <mergeCell ref="I20:I21"/>
    <mergeCell ref="H12:I12"/>
    <mergeCell ref="H13:I13"/>
    <mergeCell ref="H14:I14"/>
    <mergeCell ref="J11:K11"/>
    <mergeCell ref="J12:K12"/>
    <mergeCell ref="J13:K13"/>
    <mergeCell ref="J14:K14"/>
    <mergeCell ref="F13:G13"/>
    <mergeCell ref="F14:G14"/>
    <mergeCell ref="A26:A27"/>
    <mergeCell ref="B26:C27"/>
    <mergeCell ref="D26:E27"/>
    <mergeCell ref="F26:G27"/>
    <mergeCell ref="H26:I27"/>
    <mergeCell ref="B29:C29"/>
    <mergeCell ref="D29:E29"/>
    <mergeCell ref="F29:G29"/>
    <mergeCell ref="H29:I29"/>
    <mergeCell ref="J29:K29"/>
    <mergeCell ref="B28:C28"/>
    <mergeCell ref="D28:E28"/>
    <mergeCell ref="F28:G28"/>
    <mergeCell ref="H28:I28"/>
    <mergeCell ref="J28:K28"/>
    <mergeCell ref="H32:I32"/>
    <mergeCell ref="J32:K32"/>
    <mergeCell ref="A25:K25"/>
    <mergeCell ref="G37:G38"/>
    <mergeCell ref="H37:H38"/>
    <mergeCell ref="I37:I38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</mergeCells>
  <pageMargins left="0.7" right="0.7" top="0.75" bottom="0.75" header="0.3" footer="0.3"/>
  <pageSetup paperSize="9" orientation="portrait" r:id="rId1"/>
  <ignoredErrors>
    <ignoredError sqref="F14 F11:G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22"/>
  <sheetViews>
    <sheetView topLeftCell="A3" workbookViewId="0">
      <selection activeCell="A20" sqref="A20"/>
    </sheetView>
  </sheetViews>
  <sheetFormatPr baseColWidth="10" defaultColWidth="9.140625" defaultRowHeight="15"/>
  <sheetData>
    <row r="1" spans="1:1">
      <c r="A1" s="17" t="s">
        <v>112</v>
      </c>
    </row>
    <row r="2" spans="1:1">
      <c r="A2" t="s">
        <v>113</v>
      </c>
    </row>
    <row r="3" spans="1:1">
      <c r="A3" s="17" t="s">
        <v>201</v>
      </c>
    </row>
    <row r="4" spans="1:1">
      <c r="A4" t="s">
        <v>114</v>
      </c>
    </row>
    <row r="6" spans="1:1">
      <c r="A6" t="s">
        <v>115</v>
      </c>
    </row>
    <row r="7" spans="1:1">
      <c r="A7" t="s">
        <v>208</v>
      </c>
    </row>
    <row r="9" spans="1:1">
      <c r="A9" t="s">
        <v>209</v>
      </c>
    </row>
    <row r="10" spans="1:1">
      <c r="A10" t="s">
        <v>116</v>
      </c>
    </row>
    <row r="11" spans="1:1">
      <c r="A11" t="s">
        <v>117</v>
      </c>
    </row>
    <row r="13" spans="1:1">
      <c r="A13" s="17" t="s">
        <v>202</v>
      </c>
    </row>
    <row r="15" spans="1:1">
      <c r="A15" t="s">
        <v>114</v>
      </c>
    </row>
    <row r="17" spans="1:1">
      <c r="A17" t="s">
        <v>115</v>
      </c>
    </row>
    <row r="18" spans="1:1">
      <c r="A18" t="s">
        <v>210</v>
      </c>
    </row>
    <row r="20" spans="1:1">
      <c r="A20" t="s">
        <v>211</v>
      </c>
    </row>
    <row r="21" spans="1:1">
      <c r="A21" t="s">
        <v>116</v>
      </c>
    </row>
    <row r="22" spans="1:1">
      <c r="A22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D16" sqref="D16"/>
    </sheetView>
  </sheetViews>
  <sheetFormatPr baseColWidth="10" defaultColWidth="9.140625" defaultRowHeight="15"/>
  <cols>
    <col min="7" max="7" width="11.85546875" customWidth="1"/>
  </cols>
  <sheetData>
    <row r="1" spans="1:1">
      <c r="A1" s="17" t="s">
        <v>118</v>
      </c>
    </row>
    <row r="2" spans="1:1">
      <c r="A2" s="17" t="s">
        <v>201</v>
      </c>
    </row>
    <row r="3" spans="1:1">
      <c r="A3" t="s">
        <v>119</v>
      </c>
    </row>
    <row r="4" spans="1:1">
      <c r="A4" t="s">
        <v>212</v>
      </c>
    </row>
    <row r="5" spans="1:1">
      <c r="A5" t="s">
        <v>120</v>
      </c>
    </row>
    <row r="7" spans="1:1">
      <c r="A7" t="s">
        <v>213</v>
      </c>
    </row>
    <row r="8" spans="1:1">
      <c r="A8" t="s">
        <v>121</v>
      </c>
    </row>
    <row r="10" spans="1:1">
      <c r="A10" s="17" t="s">
        <v>202</v>
      </c>
    </row>
    <row r="11" spans="1:1">
      <c r="A11" t="s">
        <v>119</v>
      </c>
    </row>
    <row r="12" spans="1:1">
      <c r="A12" t="s">
        <v>214</v>
      </c>
    </row>
    <row r="13" spans="1:1">
      <c r="A13" t="s">
        <v>120</v>
      </c>
    </row>
    <row r="15" spans="1:1">
      <c r="A15" t="s">
        <v>215</v>
      </c>
    </row>
    <row r="16" spans="1:1">
      <c r="A16" t="s">
        <v>121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3"/>
  <sheetViews>
    <sheetView topLeftCell="A39" workbookViewId="0">
      <selection activeCell="I60" sqref="I60"/>
    </sheetView>
  </sheetViews>
  <sheetFormatPr baseColWidth="10" defaultColWidth="11.42578125" defaultRowHeight="15"/>
  <cols>
    <col min="2" max="2" width="15.5703125" customWidth="1"/>
    <col min="4" max="4" width="11.7109375" bestFit="1" customWidth="1"/>
    <col min="5" max="5" width="16.28515625" customWidth="1"/>
  </cols>
  <sheetData>
    <row r="1" spans="1:7">
      <c r="A1" s="17" t="s">
        <v>122</v>
      </c>
    </row>
    <row r="3" spans="1:7">
      <c r="A3" t="s">
        <v>123</v>
      </c>
    </row>
    <row r="4" spans="1:7">
      <c r="A4" t="s">
        <v>124</v>
      </c>
    </row>
    <row r="5" spans="1:7">
      <c r="A5" t="s">
        <v>125</v>
      </c>
    </row>
    <row r="6" spans="1:7">
      <c r="D6" s="120" t="s">
        <v>126</v>
      </c>
    </row>
    <row r="7" spans="1:7">
      <c r="D7" s="120"/>
    </row>
    <row r="8" spans="1:7">
      <c r="A8" t="s">
        <v>22</v>
      </c>
      <c r="B8" t="s">
        <v>127</v>
      </c>
      <c r="C8" s="12">
        <v>0.19</v>
      </c>
      <c r="D8" s="32">
        <v>0.30399999999999999</v>
      </c>
      <c r="E8" s="106" t="s">
        <v>32</v>
      </c>
    </row>
    <row r="9" spans="1:7">
      <c r="A9" t="s">
        <v>128</v>
      </c>
      <c r="B9" t="s">
        <v>129</v>
      </c>
      <c r="C9" s="12">
        <v>1</v>
      </c>
      <c r="E9" s="106"/>
    </row>
    <row r="11" spans="1:7">
      <c r="A11" s="31" t="s">
        <v>130</v>
      </c>
    </row>
    <row r="12" spans="1:7">
      <c r="A12" t="s">
        <v>131</v>
      </c>
      <c r="D12">
        <v>182611.27065217399</v>
      </c>
      <c r="E12" t="s">
        <v>132</v>
      </c>
      <c r="F12" s="5">
        <f>D12*1.304</f>
        <v>238125.0969304349</v>
      </c>
      <c r="G12" t="s">
        <v>133</v>
      </c>
    </row>
    <row r="13" spans="1:7">
      <c r="A13" t="s">
        <v>134</v>
      </c>
      <c r="D13">
        <v>1304347.8260869565</v>
      </c>
      <c r="E13" t="s">
        <v>135</v>
      </c>
      <c r="F13" s="5">
        <f>D13*1.19</f>
        <v>1552173.9130434783</v>
      </c>
      <c r="G13" t="s">
        <v>133</v>
      </c>
    </row>
    <row r="14" spans="1:7">
      <c r="A14" t="s">
        <v>136</v>
      </c>
      <c r="F14" s="5">
        <f>SUM(F12:F13)</f>
        <v>1790299.0099739132</v>
      </c>
      <c r="G14" t="s">
        <v>133</v>
      </c>
    </row>
    <row r="15" spans="1:7">
      <c r="A15" t="s">
        <v>137</v>
      </c>
      <c r="F15" s="5">
        <v>1486959.0967391306</v>
      </c>
      <c r="G15" t="s">
        <v>133</v>
      </c>
    </row>
    <row r="16" spans="1:7">
      <c r="A16" t="s">
        <v>138</v>
      </c>
      <c r="F16" s="49">
        <f>F14-F15</f>
        <v>303339.91323478264</v>
      </c>
      <c r="G16" t="s">
        <v>133</v>
      </c>
    </row>
    <row r="18" spans="1:7">
      <c r="A18" s="31" t="s">
        <v>139</v>
      </c>
      <c r="B18" s="31"/>
      <c r="C18" s="31"/>
      <c r="D18" s="31"/>
    </row>
    <row r="19" spans="1:7">
      <c r="A19" t="s">
        <v>140</v>
      </c>
      <c r="D19" s="123">
        <v>2380113.12</v>
      </c>
      <c r="E19" t="s">
        <v>141</v>
      </c>
      <c r="F19" s="49">
        <f>(D19/340)*(1/18)</f>
        <v>388.90737254901961</v>
      </c>
      <c r="G19" s="2" t="s">
        <v>142</v>
      </c>
    </row>
    <row r="20" spans="1:7">
      <c r="A20" t="s">
        <v>143</v>
      </c>
    </row>
    <row r="21" spans="1:7">
      <c r="A21" t="s">
        <v>144</v>
      </c>
      <c r="D21" s="123">
        <v>388.90737300000001</v>
      </c>
      <c r="E21" t="s">
        <v>145</v>
      </c>
      <c r="F21" s="123">
        <f>D21/1.19</f>
        <v>326.812918487395</v>
      </c>
      <c r="G21" s="2" t="s">
        <v>133</v>
      </c>
    </row>
    <row r="22" spans="1:7">
      <c r="A22" t="s">
        <v>146</v>
      </c>
      <c r="D22" s="123">
        <f>F21</f>
        <v>326.812918487395</v>
      </c>
      <c r="E22" t="s">
        <v>147</v>
      </c>
      <c r="F22" s="123">
        <f>D22*0.19</f>
        <v>62.094454512605047</v>
      </c>
      <c r="G22" s="2" t="s">
        <v>133</v>
      </c>
    </row>
    <row r="23" spans="1:7">
      <c r="A23" t="s">
        <v>148</v>
      </c>
      <c r="F23" s="123">
        <f>SUM(F21:F22)</f>
        <v>388.90737300000006</v>
      </c>
      <c r="G23" s="2" t="s">
        <v>133</v>
      </c>
    </row>
    <row r="25" spans="1:7">
      <c r="A25" s="31" t="s">
        <v>149</v>
      </c>
    </row>
    <row r="26" spans="1:7">
      <c r="A26" t="s">
        <v>150</v>
      </c>
      <c r="D26" s="124">
        <f>F14</f>
        <v>1790299.0099739132</v>
      </c>
      <c r="E26" s="31" t="s">
        <v>133</v>
      </c>
    </row>
    <row r="27" spans="1:7">
      <c r="A27" t="s">
        <v>151</v>
      </c>
      <c r="D27" s="124">
        <f>F23</f>
        <v>388.90737300000006</v>
      </c>
      <c r="E27" s="31" t="s">
        <v>133</v>
      </c>
    </row>
    <row r="28" spans="1:7">
      <c r="A28" t="s">
        <v>152</v>
      </c>
      <c r="D28" s="124">
        <f>SUM(D26:D27)</f>
        <v>1790687.9173469131</v>
      </c>
      <c r="E28" s="31" t="s">
        <v>133</v>
      </c>
    </row>
    <row r="30" spans="1:7">
      <c r="A30" s="31" t="s">
        <v>153</v>
      </c>
    </row>
    <row r="31" spans="1:7">
      <c r="A31" t="s">
        <v>154</v>
      </c>
      <c r="B31" s="123">
        <v>2000000</v>
      </c>
      <c r="C31" t="s">
        <v>135</v>
      </c>
      <c r="D31" s="123">
        <f>B31*1.19</f>
        <v>2380000</v>
      </c>
      <c r="E31" s="2" t="s">
        <v>133</v>
      </c>
    </row>
    <row r="32" spans="1:7">
      <c r="A32" s="5" t="s">
        <v>216</v>
      </c>
      <c r="B32" s="5"/>
      <c r="C32" s="5"/>
      <c r="D32" s="2"/>
    </row>
    <row r="33" spans="1:7">
      <c r="A33" s="5" t="s">
        <v>217</v>
      </c>
      <c r="B33" s="5"/>
      <c r="C33" s="5"/>
      <c r="D33" s="5"/>
    </row>
    <row r="36" spans="1:7">
      <c r="D36" s="120" t="s">
        <v>126</v>
      </c>
    </row>
    <row r="37" spans="1:7">
      <c r="D37" s="120"/>
    </row>
    <row r="38" spans="1:7">
      <c r="A38" t="s">
        <v>22</v>
      </c>
      <c r="B38" t="s">
        <v>218</v>
      </c>
      <c r="C38" s="12">
        <v>0.02</v>
      </c>
      <c r="D38" s="32">
        <v>3.2000000000000001E-2</v>
      </c>
      <c r="E38" s="104" t="s">
        <v>33</v>
      </c>
    </row>
    <row r="39" spans="1:7">
      <c r="A39" t="s">
        <v>128</v>
      </c>
      <c r="B39" t="s">
        <v>219</v>
      </c>
      <c r="C39" s="12">
        <v>1</v>
      </c>
      <c r="E39" s="104"/>
    </row>
    <row r="41" spans="1:7">
      <c r="A41" s="31" t="s">
        <v>130</v>
      </c>
    </row>
    <row r="42" spans="1:7">
      <c r="A42" t="s">
        <v>131</v>
      </c>
      <c r="D42" s="123">
        <v>9133.0097829999995</v>
      </c>
      <c r="E42" t="s">
        <v>155</v>
      </c>
      <c r="F42" s="49">
        <f>D42*1.032</f>
        <v>9425.2660960560006</v>
      </c>
      <c r="G42" t="s">
        <v>111</v>
      </c>
    </row>
    <row r="43" spans="1:7">
      <c r="A43" t="s">
        <v>134</v>
      </c>
      <c r="D43" s="123">
        <v>65217.391300000003</v>
      </c>
      <c r="E43" t="s">
        <v>156</v>
      </c>
      <c r="F43" s="49">
        <f>D43*1.02</f>
        <v>66521.739126</v>
      </c>
      <c r="G43" t="s">
        <v>111</v>
      </c>
    </row>
    <row r="44" spans="1:7">
      <c r="A44" t="s">
        <v>136</v>
      </c>
      <c r="F44" s="49">
        <f>SUM(F42:F43)</f>
        <v>75947.005222056003</v>
      </c>
      <c r="G44" t="s">
        <v>111</v>
      </c>
    </row>
    <row r="45" spans="1:7">
      <c r="A45" t="s">
        <v>137</v>
      </c>
      <c r="F45" s="49">
        <v>74350.399999999994</v>
      </c>
      <c r="G45" t="s">
        <v>111</v>
      </c>
    </row>
    <row r="46" spans="1:7">
      <c r="A46" t="s">
        <v>138</v>
      </c>
      <c r="F46" s="49">
        <f>F44-F45</f>
        <v>1596.6052220560086</v>
      </c>
      <c r="G46" t="s">
        <v>111</v>
      </c>
    </row>
    <row r="48" spans="1:7">
      <c r="A48" s="31" t="s">
        <v>139</v>
      </c>
      <c r="B48" s="31"/>
      <c r="C48" s="31"/>
      <c r="D48" s="31"/>
    </row>
    <row r="49" spans="1:7">
      <c r="A49" t="s">
        <v>140</v>
      </c>
      <c r="D49" s="123">
        <v>102000</v>
      </c>
      <c r="E49" t="s">
        <v>141</v>
      </c>
      <c r="F49" s="49">
        <f>(D49/340)*(1/18)</f>
        <v>16.666666666666664</v>
      </c>
      <c r="G49" s="2" t="s">
        <v>157</v>
      </c>
    </row>
    <row r="50" spans="1:7">
      <c r="A50" t="s">
        <v>143</v>
      </c>
    </row>
    <row r="51" spans="1:7">
      <c r="A51" t="s">
        <v>144</v>
      </c>
      <c r="D51" s="123">
        <f>F49</f>
        <v>16.666666666666664</v>
      </c>
      <c r="E51" t="s">
        <v>158</v>
      </c>
      <c r="F51" s="123">
        <f>D51/1.02</f>
        <v>16.33986928104575</v>
      </c>
      <c r="G51" s="2" t="s">
        <v>111</v>
      </c>
    </row>
    <row r="52" spans="1:7">
      <c r="A52" t="s">
        <v>146</v>
      </c>
      <c r="D52" s="123">
        <f>F51</f>
        <v>16.33986928104575</v>
      </c>
      <c r="E52" t="s">
        <v>159</v>
      </c>
      <c r="F52" s="123">
        <f>D52*0.02</f>
        <v>0.32679738562091504</v>
      </c>
      <c r="G52" s="2" t="s">
        <v>111</v>
      </c>
    </row>
    <row r="53" spans="1:7">
      <c r="A53" t="s">
        <v>148</v>
      </c>
      <c r="F53" s="123">
        <f>SUM(F51:F52)</f>
        <v>16.666666666666664</v>
      </c>
      <c r="G53" s="2" t="s">
        <v>111</v>
      </c>
    </row>
    <row r="55" spans="1:7">
      <c r="A55" s="31" t="s">
        <v>149</v>
      </c>
    </row>
    <row r="56" spans="1:7">
      <c r="A56" t="s">
        <v>150</v>
      </c>
      <c r="D56" s="124">
        <f>F44</f>
        <v>75947.005222056003</v>
      </c>
      <c r="E56" s="31" t="s">
        <v>111</v>
      </c>
    </row>
    <row r="57" spans="1:7">
      <c r="A57" t="s">
        <v>151</v>
      </c>
      <c r="D57" s="124">
        <f>F53</f>
        <v>16.666666666666664</v>
      </c>
      <c r="E57" s="31" t="s">
        <v>111</v>
      </c>
    </row>
    <row r="58" spans="1:7">
      <c r="A58" t="s">
        <v>152</v>
      </c>
      <c r="D58" s="124">
        <f>SUM(D56:D57)</f>
        <v>75963.671888722674</v>
      </c>
      <c r="E58" s="31" t="s">
        <v>111</v>
      </c>
    </row>
    <row r="60" spans="1:7">
      <c r="A60" s="31" t="s">
        <v>153</v>
      </c>
    </row>
    <row r="61" spans="1:7">
      <c r="A61" t="s">
        <v>154</v>
      </c>
      <c r="B61" s="123">
        <v>100000</v>
      </c>
      <c r="C61" t="s">
        <v>156</v>
      </c>
      <c r="D61" s="123">
        <f>B61*1.02</f>
        <v>102000</v>
      </c>
      <c r="E61" s="2" t="s">
        <v>111</v>
      </c>
    </row>
    <row r="62" spans="1:7">
      <c r="A62" s="5" t="s">
        <v>220</v>
      </c>
      <c r="B62" s="5"/>
      <c r="C62" s="5"/>
      <c r="D62" s="2"/>
    </row>
    <row r="63" spans="1:7">
      <c r="A63" s="5" t="s">
        <v>221</v>
      </c>
      <c r="B63" s="5"/>
      <c r="C63" s="5"/>
      <c r="D63" s="5"/>
    </row>
  </sheetData>
  <mergeCells count="4">
    <mergeCell ref="E8:E9"/>
    <mergeCell ref="D6:D7"/>
    <mergeCell ref="D36:D37"/>
    <mergeCell ref="E38:E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Facundo</dc:creator>
  <cp:keywords/>
  <dc:description/>
  <cp:lastModifiedBy>Nati</cp:lastModifiedBy>
  <cp:revision/>
  <dcterms:created xsi:type="dcterms:W3CDTF">2017-06-24T13:48:00Z</dcterms:created>
  <dcterms:modified xsi:type="dcterms:W3CDTF">2017-07-18T20:18:08Z</dcterms:modified>
  <cp:category/>
  <cp:contentStatus/>
</cp:coreProperties>
</file>