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\Desktop\"/>
    </mc:Choice>
  </mc:AlternateContent>
  <bookViews>
    <workbookView xWindow="0" yWindow="0" windowWidth="20490" windowHeight="9045"/>
  </bookViews>
  <sheets>
    <sheet name="InfoInicial" sheetId="1" r:id="rId1"/>
    <sheet name="E-Costos" sheetId="2" r:id="rId2"/>
    <sheet name="E-Inv AF y Am" sheetId="3" r:id="rId3"/>
    <sheet name="E-InvAT" sheetId="4" r:id="rId4"/>
    <sheet name="E-Cal Inv." sheetId="5" r:id="rId5"/>
    <sheet name="E-IVA " sheetId="6" r:id="rId6"/>
    <sheet name="E-Form" sheetId="7" r:id="rId7"/>
    <sheet name="F-Cred" sheetId="8" r:id="rId8"/>
    <sheet name="F-CRes" sheetId="9" r:id="rId9"/>
    <sheet name="F-2 Estructura" sheetId="10" r:id="rId10"/>
    <sheet name="F-IVA" sheetId="11" r:id="rId11"/>
    <sheet name="F- CFyU" sheetId="12" r:id="rId12"/>
    <sheet name="F-Balance" sheetId="13" r:id="rId13"/>
    <sheet name="F- Form" sheetId="14" r:id="rId14"/>
  </sheets>
  <calcPr calcId="152511"/>
</workbook>
</file>

<file path=xl/calcChain.xml><?xml version="1.0" encoding="utf-8"?>
<calcChain xmlns="http://schemas.openxmlformats.org/spreadsheetml/2006/main">
  <c r="D16" i="5" l="1"/>
  <c r="E16" i="5"/>
  <c r="F16" i="5"/>
  <c r="G16" i="5"/>
  <c r="H16" i="5"/>
  <c r="I16" i="5"/>
  <c r="G1" i="14"/>
  <c r="E1" i="13"/>
  <c r="E1" i="12"/>
  <c r="E1" i="11"/>
  <c r="D1" i="10"/>
  <c r="F1" i="9"/>
  <c r="F1" i="8"/>
  <c r="G1" i="7"/>
  <c r="F8" i="6"/>
  <c r="C7" i="6"/>
  <c r="G1" i="6"/>
  <c r="B25" i="5"/>
  <c r="H21" i="5"/>
  <c r="G21" i="5"/>
  <c r="F21" i="5"/>
  <c r="E21" i="5"/>
  <c r="H17" i="5"/>
  <c r="G17" i="5"/>
  <c r="F17" i="5"/>
  <c r="E17" i="5"/>
  <c r="I17" i="5" s="1"/>
  <c r="H15" i="5"/>
  <c r="G15" i="5"/>
  <c r="F15" i="5"/>
  <c r="E15" i="5"/>
  <c r="I15" i="5" s="1"/>
  <c r="H14" i="5"/>
  <c r="G14" i="5"/>
  <c r="F14" i="5"/>
  <c r="E14" i="5"/>
  <c r="C14" i="5"/>
  <c r="C18" i="5" s="1"/>
  <c r="D10" i="5"/>
  <c r="D7" i="5"/>
  <c r="G1" i="5"/>
  <c r="B15" i="4"/>
  <c r="B22" i="4" s="1"/>
  <c r="C13" i="4"/>
  <c r="D17" i="5" s="1"/>
  <c r="C11" i="4"/>
  <c r="D15" i="5" s="1"/>
  <c r="C10" i="4"/>
  <c r="D14" i="5" s="1"/>
  <c r="B10" i="4"/>
  <c r="G7" i="4"/>
  <c r="H12" i="5" s="1"/>
  <c r="C7" i="4"/>
  <c r="D12" i="5" s="1"/>
  <c r="D6" i="4"/>
  <c r="E11" i="5" s="1"/>
  <c r="E1" i="4"/>
  <c r="C53" i="3"/>
  <c r="D50" i="3"/>
  <c r="C50" i="3"/>
  <c r="E50" i="3" s="1"/>
  <c r="F50" i="3" s="1"/>
  <c r="C49" i="3"/>
  <c r="B49" i="3"/>
  <c r="C48" i="3"/>
  <c r="D48" i="3" s="1"/>
  <c r="B48" i="3"/>
  <c r="D47" i="3"/>
  <c r="C47" i="3"/>
  <c r="E47" i="3" s="1"/>
  <c r="F47" i="3" s="1"/>
  <c r="C46" i="3"/>
  <c r="F45" i="3"/>
  <c r="C45" i="3"/>
  <c r="C44" i="3"/>
  <c r="D44" i="3" s="1"/>
  <c r="B44" i="3"/>
  <c r="C33" i="3"/>
  <c r="B5" i="7" s="1"/>
  <c r="C31" i="3"/>
  <c r="B31" i="3"/>
  <c r="C7" i="5" s="1"/>
  <c r="I7" i="5" s="1"/>
  <c r="C20" i="3"/>
  <c r="D6" i="5" s="1"/>
  <c r="B12" i="3"/>
  <c r="B20" i="3" s="1"/>
  <c r="B33" i="3" s="1"/>
  <c r="E1" i="3"/>
  <c r="C129" i="2"/>
  <c r="F100" i="2"/>
  <c r="E100" i="2"/>
  <c r="D100" i="2"/>
  <c r="C100" i="2"/>
  <c r="B100" i="2"/>
  <c r="B91" i="2"/>
  <c r="F90" i="2"/>
  <c r="E90" i="2"/>
  <c r="D90" i="2"/>
  <c r="C90" i="2"/>
  <c r="B90" i="2"/>
  <c r="C89" i="2"/>
  <c r="F87" i="2"/>
  <c r="D87" i="2"/>
  <c r="B87" i="2"/>
  <c r="F85" i="2"/>
  <c r="E85" i="2"/>
  <c r="E87" i="2" s="1"/>
  <c r="D85" i="2"/>
  <c r="C85" i="2"/>
  <c r="C87" i="2" s="1"/>
  <c r="B85" i="2"/>
  <c r="E77" i="2"/>
  <c r="C77" i="2"/>
  <c r="F68" i="2"/>
  <c r="F77" i="2" s="1"/>
  <c r="F109" i="2" s="1"/>
  <c r="G19" i="6" s="1"/>
  <c r="E68" i="2"/>
  <c r="E131" i="2" s="1"/>
  <c r="D68" i="2"/>
  <c r="D77" i="2" s="1"/>
  <c r="D109" i="2" s="1"/>
  <c r="E19" i="6" s="1"/>
  <c r="C68" i="2"/>
  <c r="C131" i="2" s="1"/>
  <c r="B68" i="2"/>
  <c r="B77" i="2" s="1"/>
  <c r="B109" i="2" s="1"/>
  <c r="C19" i="6" s="1"/>
  <c r="D60" i="2"/>
  <c r="F52" i="2"/>
  <c r="E52" i="2"/>
  <c r="E129" i="2" s="1"/>
  <c r="D52" i="2"/>
  <c r="C52" i="2"/>
  <c r="B52" i="2"/>
  <c r="F51" i="2"/>
  <c r="F129" i="2" s="1"/>
  <c r="E51" i="2"/>
  <c r="E60" i="2" s="1"/>
  <c r="E62" i="2" s="1"/>
  <c r="D51" i="2"/>
  <c r="D129" i="2" s="1"/>
  <c r="C51" i="2"/>
  <c r="C60" i="2" s="1"/>
  <c r="C108" i="2" s="1"/>
  <c r="D18" i="6" s="1"/>
  <c r="B51" i="2"/>
  <c r="B129" i="2" s="1"/>
  <c r="F33" i="2"/>
  <c r="E33" i="2"/>
  <c r="D33" i="2"/>
  <c r="C33" i="2"/>
  <c r="B33" i="2"/>
  <c r="F12" i="2"/>
  <c r="G8" i="6" s="1"/>
  <c r="E12" i="2"/>
  <c r="D12" i="2"/>
  <c r="E8" i="6" s="1"/>
  <c r="C12" i="2"/>
  <c r="D8" i="6" s="1"/>
  <c r="B12" i="2"/>
  <c r="C8" i="6" s="1"/>
  <c r="F11" i="2"/>
  <c r="G6" i="6" s="1"/>
  <c r="E11" i="2"/>
  <c r="D11" i="2"/>
  <c r="C11" i="2"/>
  <c r="D7" i="6" s="1"/>
  <c r="B11" i="2"/>
  <c r="C6" i="6" s="1"/>
  <c r="F10" i="2"/>
  <c r="E10" i="2"/>
  <c r="D10" i="2"/>
  <c r="C10" i="2"/>
  <c r="B10" i="2"/>
  <c r="E9" i="2"/>
  <c r="E124" i="2" s="1"/>
  <c r="C9" i="2"/>
  <c r="C127" i="2" s="1"/>
  <c r="C134" i="2" s="1"/>
  <c r="F7" i="2"/>
  <c r="F89" i="2" s="1"/>
  <c r="E7" i="2"/>
  <c r="E128" i="2" s="1"/>
  <c r="D7" i="2"/>
  <c r="D89" i="2" s="1"/>
  <c r="C7" i="2"/>
  <c r="C128" i="2" s="1"/>
  <c r="B7" i="2"/>
  <c r="B89" i="2" s="1"/>
  <c r="E3" i="2"/>
  <c r="F7" i="6" l="1"/>
  <c r="F6" i="6"/>
  <c r="C16" i="2"/>
  <c r="E16" i="2"/>
  <c r="D108" i="2"/>
  <c r="E18" i="6" s="1"/>
  <c r="D62" i="2"/>
  <c r="C62" i="2"/>
  <c r="E109" i="2"/>
  <c r="F19" i="6" s="1"/>
  <c r="E79" i="2"/>
  <c r="D79" i="2"/>
  <c r="E22" i="6"/>
  <c r="E6" i="4"/>
  <c r="F11" i="5" s="1"/>
  <c r="E108" i="2"/>
  <c r="F18" i="6" s="1"/>
  <c r="C124" i="2"/>
  <c r="E127" i="2"/>
  <c r="E134" i="2" s="1"/>
  <c r="D128" i="2"/>
  <c r="D133" i="2" s="1"/>
  <c r="B131" i="2"/>
  <c r="F131" i="2"/>
  <c r="B4" i="7"/>
  <c r="B34" i="3"/>
  <c r="B36" i="3" s="1"/>
  <c r="B46" i="3"/>
  <c r="D49" i="3"/>
  <c r="F49" i="3" s="1"/>
  <c r="E18" i="4"/>
  <c r="E22" i="4" s="1"/>
  <c r="C6" i="5"/>
  <c r="C22" i="5"/>
  <c r="C4" i="7"/>
  <c r="B9" i="2"/>
  <c r="D9" i="2"/>
  <c r="F9" i="2"/>
  <c r="C12" i="6"/>
  <c r="E6" i="6"/>
  <c r="E12" i="6" s="1"/>
  <c r="E7" i="6"/>
  <c r="D16" i="2"/>
  <c r="C18" i="2"/>
  <c r="E18" i="2"/>
  <c r="B60" i="2"/>
  <c r="F60" i="2"/>
  <c r="C109" i="2"/>
  <c r="D19" i="6" s="1"/>
  <c r="C79" i="2"/>
  <c r="B79" i="2"/>
  <c r="F79" i="2"/>
  <c r="D7" i="4"/>
  <c r="E12" i="5" s="1"/>
  <c r="C133" i="2"/>
  <c r="F22" i="6"/>
  <c r="F7" i="4"/>
  <c r="G12" i="5" s="1"/>
  <c r="I12" i="5" s="1"/>
  <c r="E133" i="2"/>
  <c r="C22" i="6"/>
  <c r="C6" i="4"/>
  <c r="G22" i="6"/>
  <c r="G6" i="4"/>
  <c r="H11" i="5" s="1"/>
  <c r="E89" i="2"/>
  <c r="B128" i="2"/>
  <c r="G133" i="2" s="1"/>
  <c r="F128" i="2"/>
  <c r="D131" i="2"/>
  <c r="F133" i="2"/>
  <c r="D8" i="5"/>
  <c r="D21" i="5" s="1"/>
  <c r="C34" i="3"/>
  <c r="C36" i="3" s="1"/>
  <c r="E44" i="3"/>
  <c r="F48" i="3"/>
  <c r="E48" i="3"/>
  <c r="E49" i="3"/>
  <c r="F6" i="4"/>
  <c r="G11" i="5" s="1"/>
  <c r="E7" i="4"/>
  <c r="F12" i="5" s="1"/>
  <c r="I14" i="5"/>
  <c r="D6" i="6"/>
  <c r="D12" i="6" s="1"/>
  <c r="G7" i="6"/>
  <c r="G12" i="6" s="1"/>
  <c r="D22" i="6"/>
  <c r="F44" i="3"/>
  <c r="B53" i="3"/>
  <c r="F108" i="2" l="1"/>
  <c r="G18" i="6" s="1"/>
  <c r="F62" i="2"/>
  <c r="E17" i="6"/>
  <c r="E21" i="6" s="1"/>
  <c r="D93" i="2"/>
  <c r="D38" i="2"/>
  <c r="D42" i="2" s="1"/>
  <c r="F18" i="4"/>
  <c r="F127" i="2"/>
  <c r="F134" i="2" s="1"/>
  <c r="F124" i="2"/>
  <c r="B127" i="2"/>
  <c r="B124" i="2"/>
  <c r="C18" i="4"/>
  <c r="D46" i="3"/>
  <c r="D51" i="3" s="1"/>
  <c r="E23" i="6"/>
  <c r="C93" i="2"/>
  <c r="D17" i="6"/>
  <c r="D21" i="6" s="1"/>
  <c r="C38" i="2"/>
  <c r="C42" i="2" s="1"/>
  <c r="C19" i="2"/>
  <c r="E53" i="3"/>
  <c r="D23" i="6"/>
  <c r="D53" i="3"/>
  <c r="D56" i="3" s="1"/>
  <c r="E46" i="3"/>
  <c r="E51" i="3" s="1"/>
  <c r="B51" i="3"/>
  <c r="B56" i="3" s="1"/>
  <c r="B133" i="2"/>
  <c r="D11" i="5"/>
  <c r="B108" i="2"/>
  <c r="C18" i="6" s="1"/>
  <c r="B62" i="2"/>
  <c r="D19" i="2"/>
  <c r="F16" i="2"/>
  <c r="B16" i="2"/>
  <c r="D18" i="4"/>
  <c r="D22" i="4" s="1"/>
  <c r="D127" i="2"/>
  <c r="D134" i="2" s="1"/>
  <c r="D124" i="2"/>
  <c r="D18" i="2"/>
  <c r="C8" i="5"/>
  <c r="I6" i="5"/>
  <c r="F17" i="6"/>
  <c r="F21" i="6" s="1"/>
  <c r="F23" i="6" s="1"/>
  <c r="E93" i="2"/>
  <c r="E38" i="2"/>
  <c r="E42" i="2" s="1"/>
  <c r="E19" i="2"/>
  <c r="F12" i="6"/>
  <c r="E99" i="2" l="1"/>
  <c r="E43" i="2"/>
  <c r="F12" i="4" s="1"/>
  <c r="C21" i="5"/>
  <c r="I8" i="5"/>
  <c r="G17" i="6"/>
  <c r="G21" i="6" s="1"/>
  <c r="G23" i="6" s="1"/>
  <c r="F38" i="2"/>
  <c r="F42" i="2" s="1"/>
  <c r="F93" i="2"/>
  <c r="F19" i="2"/>
  <c r="I7" i="7"/>
  <c r="I5" i="7"/>
  <c r="I6" i="7"/>
  <c r="E56" i="3"/>
  <c r="F53" i="3"/>
  <c r="F56" i="3" s="1"/>
  <c r="B9" i="7" s="1"/>
  <c r="C99" i="2"/>
  <c r="C43" i="2"/>
  <c r="D12" i="4" s="1"/>
  <c r="G132" i="2"/>
  <c r="B134" i="2"/>
  <c r="F22" i="4"/>
  <c r="G18" i="4"/>
  <c r="G22" i="4" s="1"/>
  <c r="C17" i="6"/>
  <c r="C21" i="6" s="1"/>
  <c r="C23" i="6" s="1"/>
  <c r="B38" i="2"/>
  <c r="B42" i="2" s="1"/>
  <c r="B93" i="2"/>
  <c r="B19" i="2"/>
  <c r="I11" i="5"/>
  <c r="F46" i="3"/>
  <c r="F51" i="3" s="1"/>
  <c r="B18" i="2"/>
  <c r="F18" i="2"/>
  <c r="D99" i="2"/>
  <c r="D43" i="2"/>
  <c r="E12" i="4" s="1"/>
  <c r="D101" i="2" l="1"/>
  <c r="D106" i="2"/>
  <c r="D111" i="2" s="1"/>
  <c r="B99" i="2"/>
  <c r="B43" i="2"/>
  <c r="C12" i="4" s="1"/>
  <c r="E18" i="5"/>
  <c r="E22" i="5" s="1"/>
  <c r="E23" i="5" s="1"/>
  <c r="D26" i="6" s="1"/>
  <c r="D6" i="7" s="1"/>
  <c r="B11" i="7"/>
  <c r="C23" i="5"/>
  <c r="I21" i="5"/>
  <c r="E106" i="2"/>
  <c r="E111" i="2" s="1"/>
  <c r="E101" i="2"/>
  <c r="F18" i="5"/>
  <c r="F22" i="5" s="1"/>
  <c r="F23" i="5" s="1"/>
  <c r="E26" i="6" s="1"/>
  <c r="D7" i="7" s="1"/>
  <c r="C106" i="2"/>
  <c r="C111" i="2" s="1"/>
  <c r="C101" i="2"/>
  <c r="I9" i="7"/>
  <c r="I8" i="7"/>
  <c r="I11" i="7" s="1"/>
  <c r="F99" i="2"/>
  <c r="F43" i="2"/>
  <c r="G12" i="4" s="1"/>
  <c r="G25" i="5"/>
  <c r="G18" i="5"/>
  <c r="G22" i="5" s="1"/>
  <c r="G23" i="5" s="1"/>
  <c r="F26" i="6" s="1"/>
  <c r="D8" i="7" s="1"/>
  <c r="F101" i="2" l="1"/>
  <c r="F106" i="2"/>
  <c r="F111" i="2" s="1"/>
  <c r="E113" i="2"/>
  <c r="E115" i="2"/>
  <c r="B26" i="6"/>
  <c r="C25" i="5"/>
  <c r="C15" i="4"/>
  <c r="D113" i="2"/>
  <c r="D115" i="2"/>
  <c r="H18" i="5"/>
  <c r="H22" i="5" s="1"/>
  <c r="H23" i="5" s="1"/>
  <c r="G26" i="6" s="1"/>
  <c r="D9" i="7" s="1"/>
  <c r="C113" i="2"/>
  <c r="C115" i="2"/>
  <c r="F25" i="5"/>
  <c r="E25" i="5"/>
  <c r="B101" i="2"/>
  <c r="B106" i="2"/>
  <c r="B111" i="2" s="1"/>
  <c r="H7" i="7" l="1"/>
  <c r="D116" i="2"/>
  <c r="E7" i="7" s="1"/>
  <c r="C5" i="7"/>
  <c r="C22" i="4"/>
  <c r="D4" i="7"/>
  <c r="B28" i="6"/>
  <c r="B27" i="6"/>
  <c r="C25" i="6" s="1"/>
  <c r="H8" i="7"/>
  <c r="E116" i="2"/>
  <c r="E8" i="7" s="1"/>
  <c r="B113" i="2"/>
  <c r="B115" i="2"/>
  <c r="H6" i="7"/>
  <c r="C116" i="2"/>
  <c r="E6" i="7" s="1"/>
  <c r="H25" i="5"/>
  <c r="D18" i="5"/>
  <c r="F113" i="2"/>
  <c r="F115" i="2"/>
  <c r="G6" i="7" l="1"/>
  <c r="G8" i="7"/>
  <c r="J4" i="7"/>
  <c r="B30" i="6"/>
  <c r="G7" i="7"/>
  <c r="D117" i="2"/>
  <c r="F7" i="7" s="1"/>
  <c r="H9" i="7"/>
  <c r="F116" i="2"/>
  <c r="E9" i="7" s="1"/>
  <c r="D22" i="5"/>
  <c r="I18" i="5"/>
  <c r="C117" i="2"/>
  <c r="F6" i="7" s="1"/>
  <c r="C119" i="2"/>
  <c r="H5" i="7"/>
  <c r="B117" i="2"/>
  <c r="F5" i="7" s="1"/>
  <c r="B116" i="2"/>
  <c r="E5" i="7" s="1"/>
  <c r="B119" i="2"/>
  <c r="E117" i="2"/>
  <c r="F8" i="7" s="1"/>
  <c r="E119" i="2"/>
  <c r="G4" i="7"/>
  <c r="C11" i="7"/>
  <c r="D119" i="2"/>
  <c r="D23" i="5" l="1"/>
  <c r="I22" i="5"/>
  <c r="D25" i="5"/>
  <c r="K4" i="7"/>
  <c r="D120" i="2"/>
  <c r="D123" i="2"/>
  <c r="D125" i="2" s="1"/>
  <c r="E11" i="7"/>
  <c r="H11" i="7"/>
  <c r="F117" i="2"/>
  <c r="F9" i="7" s="1"/>
  <c r="G9" i="7" s="1"/>
  <c r="E123" i="2"/>
  <c r="E125" i="2" s="1"/>
  <c r="E120" i="2"/>
  <c r="B120" i="2"/>
  <c r="B123" i="2"/>
  <c r="B125" i="2" s="1"/>
  <c r="F11" i="7"/>
  <c r="C123" i="2"/>
  <c r="C125" i="2" s="1"/>
  <c r="C120" i="2"/>
  <c r="F119" i="2" l="1"/>
  <c r="D13" i="7"/>
  <c r="L4" i="7"/>
  <c r="C26" i="6"/>
  <c r="I23" i="5"/>
  <c r="I25" i="5" s="1"/>
  <c r="M4" i="7" l="1"/>
  <c r="D5" i="7"/>
  <c r="C27" i="6"/>
  <c r="D25" i="6" s="1"/>
  <c r="F120" i="2"/>
  <c r="F123" i="2"/>
  <c r="F125" i="2" s="1"/>
  <c r="D27" i="6" l="1"/>
  <c r="E25" i="6" s="1"/>
  <c r="C28" i="6"/>
  <c r="D11" i="7"/>
  <c r="G5" i="7"/>
  <c r="G11" i="7" s="1"/>
  <c r="D28" i="6" l="1"/>
  <c r="J6" i="7"/>
  <c r="K6" i="7" s="1"/>
  <c r="L6" i="7" s="1"/>
  <c r="D30" i="6"/>
  <c r="J5" i="7"/>
  <c r="C30" i="6"/>
  <c r="E27" i="6"/>
  <c r="F25" i="6" s="1"/>
  <c r="F27" i="6" l="1"/>
  <c r="G25" i="6" s="1"/>
  <c r="E28" i="6"/>
  <c r="K5" i="7"/>
  <c r="G27" i="6" l="1"/>
  <c r="G28" i="6" s="1"/>
  <c r="L5" i="7"/>
  <c r="J7" i="7"/>
  <c r="E30" i="6"/>
  <c r="F28" i="6"/>
  <c r="J9" i="7" l="1"/>
  <c r="K9" i="7" s="1"/>
  <c r="L9" i="7" s="1"/>
  <c r="G30" i="6"/>
  <c r="J8" i="7"/>
  <c r="K8" i="7" s="1"/>
  <c r="L8" i="7" s="1"/>
  <c r="F30" i="6"/>
  <c r="K7" i="7"/>
  <c r="M5" i="7"/>
  <c r="M6" i="7" s="1"/>
  <c r="F14" i="7"/>
  <c r="J11" i="7" l="1"/>
  <c r="L7" i="7"/>
  <c r="L11" i="7" s="1"/>
  <c r="K11" i="7"/>
  <c r="M7" i="7" l="1"/>
  <c r="M8" i="7" s="1"/>
  <c r="M9" i="7" s="1"/>
</calcChain>
</file>

<file path=xl/comments1.xml><?xml version="1.0" encoding="utf-8"?>
<comments xmlns="http://schemas.openxmlformats.org/spreadsheetml/2006/main">
  <authors>
    <author/>
  </authors>
  <commentList>
    <comment ref="A7" authorId="0" shapeId="0">
      <text>
        <r>
          <rPr>
            <sz val="10"/>
            <color rgb="FF000000"/>
            <rFont val="Arial"/>
          </rPr>
          <t>acetato 36%/lt y pvc 30$/m2
	-Luciano Delgado</t>
        </r>
      </text>
    </comment>
    <comment ref="A11" authorId="0" shapeId="0">
      <text>
        <r>
          <rPr>
            <sz val="10"/>
            <color rgb="FF000000"/>
            <rFont val="Arial"/>
          </rPr>
          <t>disco de acero = 5$/disco
	-Luciano Delgado</t>
        </r>
      </text>
    </comment>
    <comment ref="A12" authorId="0" shapeId="0">
      <text>
        <r>
          <rPr>
            <sz val="10"/>
            <color rgb="FF000000"/>
            <rFont val="Arial"/>
          </rPr>
          <t>3000xmes
	-Luciano Delgado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2" authorId="0" shapeId="0">
      <text>
        <r>
          <rPr>
            <sz val="10"/>
            <color rgb="FF000000"/>
            <rFont val="Arial"/>
          </rPr>
          <t>No todo el activo de trabajo lleva iva no?
	-Francisco Romero</t>
        </r>
      </text>
    </comment>
  </commentList>
</comments>
</file>

<file path=xl/sharedStrings.xml><?xml version="1.0" encoding="utf-8"?>
<sst xmlns="http://schemas.openxmlformats.org/spreadsheetml/2006/main" count="642" uniqueCount="399">
  <si>
    <t>ESTA PLANILLA PUEDE SER UTILIZADA SOLAMENTE PARA EL TRABAJO PRACTICO:</t>
  </si>
  <si>
    <t>ESTA PLANILLA PUEDE SER UTILIZADA SOLAMENTE PARA EL TRABAJO PRACTICO</t>
  </si>
  <si>
    <t>Tasa porcentual de IVA</t>
  </si>
  <si>
    <t>COSTO TOTAL DE PRODUCCION</t>
  </si>
  <si>
    <t>Inversión Inicial en Activo Fijo</t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</si>
  <si>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</si>
  <si>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</si>
  <si>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</si>
  <si>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</si>
  <si>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</si>
  <si>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t xml:space="preserve">    edificios y obras complementarias</t>
  </si>
  <si>
    <t>Gasto interno (en $)</t>
  </si>
  <si>
    <t>Gastos en el Area de Producción</t>
  </si>
  <si>
    <t>Gasto Externo (en $)</t>
  </si>
  <si>
    <t>Rubros</t>
  </si>
  <si>
    <t>Año 1</t>
  </si>
  <si>
    <t>años</t>
  </si>
  <si>
    <t xml:space="preserve">    instalaciones industriales</t>
  </si>
  <si>
    <t xml:space="preserve">    máquinas, equipos y accesorios</t>
  </si>
  <si>
    <t xml:space="preserve">    rodados y equipos auxiliares</t>
  </si>
  <si>
    <t>Año 2</t>
  </si>
  <si>
    <t xml:space="preserve">    muebles y útiles</t>
  </si>
  <si>
    <t>Año 3</t>
  </si>
  <si>
    <t>Año 4</t>
  </si>
  <si>
    <t>Año 5</t>
  </si>
  <si>
    <t xml:space="preserve">    repuestos iniciales</t>
  </si>
  <si>
    <t>Otros Activos y Cargos Diferidos</t>
  </si>
  <si>
    <t>Año 0</t>
  </si>
  <si>
    <t>Imprevistos</t>
  </si>
  <si>
    <t>Materia prima</t>
  </si>
  <si>
    <t>Nombre del Producto</t>
  </si>
  <si>
    <t>Producto termico</t>
  </si>
  <si>
    <t>Ventas Anuales Promedio</t>
  </si>
  <si>
    <t>en Unidades</t>
  </si>
  <si>
    <t>Precio Promedio</t>
  </si>
  <si>
    <t>en $</t>
  </si>
  <si>
    <t xml:space="preserve">Cantidad de personal total </t>
  </si>
  <si>
    <t>a) Bienes de Uso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</si>
  <si>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</si>
  <si>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</si>
  <si>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</si>
  <si>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</si>
  <si>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</si>
  <si>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</si>
  <si>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</si>
  <si>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</si>
  <si>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</si>
  <si>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</si>
  <si>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</si>
  <si>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</si>
  <si>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Terreno y sus mejoras</t>
  </si>
  <si>
    <t>Gastos de fabricación:</t>
  </si>
  <si>
    <t>Tasa de Credito Bancario</t>
  </si>
  <si>
    <t>Amortizaciones</t>
  </si>
  <si>
    <t>Edificio y obras complementarias</t>
  </si>
  <si>
    <t>Instalaciones industriales</t>
  </si>
  <si>
    <t>Máquinas operativas</t>
  </si>
  <si>
    <t>anual</t>
  </si>
  <si>
    <t>según Bco Nacion</t>
  </si>
  <si>
    <t>Año 6</t>
  </si>
  <si>
    <t>Rubro a financiar</t>
  </si>
  <si>
    <t>Maquinarias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</si>
  <si>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</si>
  <si>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</si>
  <si>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</si>
  <si>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</si>
  <si>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</si>
  <si>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</si>
  <si>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</si>
  <si>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Personal indirecto</t>
  </si>
  <si>
    <t>% sobre el total del Rubro</t>
  </si>
  <si>
    <t>Materiales</t>
  </si>
  <si>
    <t>Total Bienes de uso</t>
  </si>
  <si>
    <t>Energía eléctrica</t>
  </si>
  <si>
    <t>Dias de Financiación de Proveedores</t>
  </si>
  <si>
    <t>% sobre Compras</t>
  </si>
  <si>
    <t>Combustibles</t>
  </si>
  <si>
    <t>Tasas e impuestos</t>
  </si>
  <si>
    <t>Gastos Total de Producción</t>
  </si>
  <si>
    <t>Tasa de financiación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</si>
  <si>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</si>
  <si>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</si>
  <si>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</si>
  <si>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</si>
  <si>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</si>
  <si>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</si>
  <si>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</si>
  <si>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</si>
  <si>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</si>
  <si>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>% Gasto Constante</t>
  </si>
  <si>
    <t xml:space="preserve">d) IVA </t>
  </si>
  <si>
    <t>e) TOTAL INVERSIONES INICIALES ACTIVO FIJO</t>
  </si>
  <si>
    <t>% Gasto Variable</t>
  </si>
  <si>
    <t>Rubro</t>
  </si>
  <si>
    <t>Inversión</t>
  </si>
  <si>
    <t>Coeficiente</t>
  </si>
  <si>
    <t>Alícuotas de amortización</t>
  </si>
  <si>
    <t>Gastos a activar</t>
  </si>
  <si>
    <t>Mercadería en Curso y Semielaborada</t>
  </si>
  <si>
    <t>Puesta en marcha</t>
  </si>
  <si>
    <t>original</t>
  </si>
  <si>
    <t>Años 1/3</t>
  </si>
  <si>
    <t>Años 4/5</t>
  </si>
  <si>
    <t>Valor Residual</t>
  </si>
  <si>
    <t>Bienes de Uso</t>
  </si>
  <si>
    <t>$ 30.447,14</t>
  </si>
  <si>
    <t>$ 10.127,05</t>
  </si>
  <si>
    <t>Mano de obra directa</t>
  </si>
  <si>
    <t>$ 20.306,07</t>
  </si>
  <si>
    <t>$ 237.391,95</t>
  </si>
  <si>
    <t>-</t>
  </si>
  <si>
    <t>$ 49.295,60</t>
  </si>
  <si>
    <t>$ 5.180,57</t>
  </si>
  <si>
    <t>$ 1.798,32</t>
  </si>
  <si>
    <t>$ (2.641,49)</t>
  </si>
  <si>
    <t xml:space="preserve">  Energía eléctrica</t>
  </si>
  <si>
    <t>$ 319,18</t>
  </si>
  <si>
    <t xml:space="preserve">  Combustibles</t>
  </si>
  <si>
    <t xml:space="preserve">  Tasas e impuestos</t>
  </si>
  <si>
    <t xml:space="preserve">  Imprevistos</t>
  </si>
  <si>
    <t>Total gastos a activar</t>
  </si>
  <si>
    <t>$ 244.877,51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</si>
  <si>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</si>
  <si>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</si>
  <si>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</si>
  <si>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</si>
  <si>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</si>
  <si>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</si>
  <si>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Repuestos</t>
  </si>
  <si>
    <t>Subtotal</t>
  </si>
  <si>
    <t xml:space="preserve">Cargos Diferidos </t>
  </si>
  <si>
    <t>Gastos en el Area de Administración</t>
  </si>
  <si>
    <t>Personal</t>
  </si>
  <si>
    <t>Totales, s/IVA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</si>
  <si>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</si>
  <si>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</si>
  <si>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</si>
  <si>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</si>
  <si>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</si>
  <si>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</si>
  <si>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</si>
  <si>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</si>
  <si>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</si>
  <si>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</si>
  <si>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</si>
  <si>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</si>
  <si>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</si>
  <si>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</si>
  <si>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</si>
  <si>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</si>
  <si>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</si>
  <si>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</si>
  <si>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</si>
  <si>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</si>
  <si>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</si>
  <si>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</si>
  <si>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</si>
  <si>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LCDTMAB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</si>
  <si>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</si>
  <si>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</si>
  <si>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</si>
  <si>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</si>
  <si>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</si>
  <si>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</si>
  <si>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</si>
  <si>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</si>
  <si>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</si>
  <si>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</si>
  <si>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</si>
  <si>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</si>
  <si>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</si>
  <si>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</si>
  <si>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</si>
  <si>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</si>
  <si>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</si>
  <si>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</si>
  <si>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</si>
  <si>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r>
      <rPr>
        <b/>
        <sz val="10"/>
        <rFont val="Arial"/>
      </rPr>
      <t xml:space="preserve">1. Activo de Trabajo: </t>
    </r>
    <r>
      <rPr>
        <sz val="10"/>
        <rFont val="Arial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</si>
  <si>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</si>
  <si>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</si>
  <si>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</si>
  <si>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</si>
  <si>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</si>
  <si>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</si>
  <si>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</si>
  <si>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</si>
  <si>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</si>
  <si>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</si>
  <si>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</si>
  <si>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</si>
  <si>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</si>
  <si>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</si>
  <si>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</si>
  <si>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</si>
  <si>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</si>
  <si>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>NO CONSIDERO VARIACIONES MONETARIAS DE MCYSE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</si>
  <si>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</si>
  <si>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</si>
  <si>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</si>
  <si>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</si>
  <si>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</si>
  <si>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</si>
  <si>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</si>
  <si>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</si>
  <si>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</si>
  <si>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</si>
  <si>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</si>
  <si>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</si>
  <si>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</si>
  <si>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</si>
  <si>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</si>
  <si>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</si>
  <si>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</si>
  <si>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</si>
  <si>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</si>
  <si>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</si>
  <si>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</si>
  <si>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</si>
  <si>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</si>
  <si>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</si>
  <si>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</si>
  <si>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</si>
  <si>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</si>
  <si>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</si>
  <si>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</si>
  <si>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</si>
  <si>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</si>
  <si>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</si>
  <si>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</si>
  <si>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</si>
  <si>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</si>
  <si>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</si>
  <si>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</si>
  <si>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</si>
  <si>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</si>
  <si>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</si>
  <si>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</si>
  <si>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</si>
  <si>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</si>
  <si>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</si>
  <si>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</si>
  <si>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</si>
  <si>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</si>
  <si>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</si>
  <si>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</si>
  <si>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</si>
  <si>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</si>
  <si>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</si>
  <si>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</si>
  <si>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</si>
  <si>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</si>
  <si>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</si>
  <si>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</si>
  <si>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</si>
  <si>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</si>
  <si>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</si>
  <si>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</si>
  <si>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</si>
  <si>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</si>
  <si>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</si>
  <si>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</si>
  <si>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13 dias</t>
  </si>
  <si>
    <t>TIR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</si>
  <si>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</si>
  <si>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</si>
  <si>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</si>
  <si>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</si>
  <si>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</si>
  <si>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</si>
  <si>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</si>
  <si>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</si>
  <si>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</si>
  <si>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</si>
  <si>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</si>
  <si>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</si>
  <si>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</si>
  <si>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</si>
  <si>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</si>
  <si>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</si>
  <si>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</si>
  <si>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</si>
  <si>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</si>
  <si>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</si>
  <si>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</si>
  <si>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</si>
  <si>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</si>
  <si>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</si>
  <si>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</si>
  <si>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</si>
  <si>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</si>
  <si>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</si>
  <si>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</si>
  <si>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</si>
  <si>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</si>
  <si>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</si>
  <si>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</si>
  <si>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</si>
  <si>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</si>
  <si>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</si>
  <si>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</si>
  <si>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</si>
  <si>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</si>
  <si>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</si>
  <si>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</si>
  <si>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</si>
  <si>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</si>
  <si>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</si>
  <si>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</si>
  <si>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</si>
  <si>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</si>
  <si>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</si>
  <si>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</si>
  <si>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</si>
  <si>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</si>
  <si>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</si>
  <si>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</si>
  <si>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</si>
  <si>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</si>
  <si>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</si>
  <si>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</si>
  <si>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</si>
  <si>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</si>
  <si>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</si>
  <si>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</si>
  <si>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</si>
  <si>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</si>
  <si>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</si>
  <si>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</si>
  <si>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</si>
  <si>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</si>
  <si>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</si>
  <si>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</si>
  <si>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</si>
  <si>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</si>
  <si>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</si>
  <si>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</si>
  <si>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</si>
  <si>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</si>
  <si>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</si>
  <si>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BALANCES PROFORMAS</t>
  </si>
  <si>
    <t>FUENTES: Totales</t>
  </si>
  <si>
    <t>ACTIVO CORRIENTE: Total</t>
  </si>
  <si>
    <t>Saldo ejercicio anterior</t>
  </si>
  <si>
    <t>Aporte de capital propio</t>
  </si>
  <si>
    <t xml:space="preserve">Caja y Bancos: </t>
  </si>
  <si>
    <t xml:space="preserve">   - mínimo </t>
  </si>
  <si>
    <t xml:space="preserve">Créditos renovables </t>
  </si>
  <si>
    <t xml:space="preserve">   - saldo acumulado de Fuentes y Usos </t>
  </si>
  <si>
    <t xml:space="preserve">Créditos no renovables </t>
  </si>
  <si>
    <t>Crédito por ventas</t>
  </si>
  <si>
    <t>Bienes de cambio</t>
  </si>
  <si>
    <t xml:space="preserve">Ventas del ejercicio </t>
  </si>
  <si>
    <t>Crédito Fiscal</t>
  </si>
  <si>
    <t>Recupero Crédito Fiscal</t>
  </si>
  <si>
    <t>ACTIVO NO CORRIENTE: Total</t>
  </si>
  <si>
    <t>Cargos Diferidos:</t>
  </si>
  <si>
    <t>USOS: Totales</t>
  </si>
  <si>
    <t xml:space="preserve">   - valor inicial </t>
  </si>
  <si>
    <t>Activo Fijo</t>
  </si>
  <si>
    <t xml:space="preserve">     más inversiones del ejercicio </t>
  </si>
  <si>
    <t xml:space="preserve">     menos amortizaciones del ejerc.</t>
  </si>
  <si>
    <t xml:space="preserve">   - valor final del ejercicio</t>
  </si>
  <si>
    <t>Costo de lo Vendido</t>
  </si>
  <si>
    <t>Impuesto a la Ganancia</t>
  </si>
  <si>
    <t xml:space="preserve">     más inversiones del ejercicio</t>
  </si>
  <si>
    <t>Cancelación de deudas</t>
  </si>
  <si>
    <t xml:space="preserve">     menos amortizaciones del ejerc</t>
  </si>
  <si>
    <t xml:space="preserve">Honorarios del Directorio </t>
  </si>
  <si>
    <t>Dividendos en efectivo</t>
  </si>
  <si>
    <t xml:space="preserve">Crédito Fiscal </t>
  </si>
  <si>
    <t xml:space="preserve">IVA inversión </t>
  </si>
  <si>
    <t>ACTIVO TOTAL:</t>
  </si>
  <si>
    <t>Otros egresos</t>
  </si>
  <si>
    <t>PASIVO CORRIENTE: Total</t>
  </si>
  <si>
    <t>Deudas comerciales</t>
  </si>
  <si>
    <t>Deudas bancarias</t>
  </si>
  <si>
    <t>FUENTES - USOS</t>
  </si>
  <si>
    <t>PASIVO NO CORRIENTE: Total</t>
  </si>
  <si>
    <t xml:space="preserve">Más: Amortizaciones del ejercicio </t>
  </si>
  <si>
    <t>PASIVO TOTAL:</t>
  </si>
  <si>
    <t>PATRIMONIO NETO:</t>
  </si>
  <si>
    <t>Saldo al ejercicio siguiente (acumulado)</t>
  </si>
  <si>
    <t>Capital societario</t>
  </si>
  <si>
    <t>Utilidad del ejercicio</t>
  </si>
  <si>
    <t>Saldo Propio del Ejercicio</t>
  </si>
  <si>
    <t>Utilidad acumulada</t>
  </si>
  <si>
    <t>PASIVO + PATRIMONIO NETO</t>
  </si>
  <si>
    <t>Formulación del Proyecto a Nivel Financiero</t>
  </si>
  <si>
    <t>Activo de Trabajo</t>
  </si>
  <si>
    <t>Utilidad  Antes  HD e IG</t>
  </si>
  <si>
    <t>Intereses Pagados</t>
  </si>
  <si>
    <t>en años</t>
  </si>
  <si>
    <t>TIR modificada</t>
  </si>
  <si>
    <t>Formulación para el Inversor</t>
  </si>
  <si>
    <t>Aporte de Capital</t>
  </si>
  <si>
    <t>Saldo propio de Fuentes y Usos</t>
  </si>
  <si>
    <t>para el inversor</t>
  </si>
  <si>
    <t>en años para el inversor</t>
  </si>
  <si>
    <t>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</si>
</sst>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\ %"/>
    <numFmt numFmtId="165" formatCode="_(\$* #,##0.00_);_(\$* \(#,##0.00\);_(\$* \-??_);_(@_)"/>
    <numFmt numFmtId="166" formatCode="0.0"/>
    <numFmt numFmtId="167" formatCode="0.000"/>
    <numFmt numFmtId="168" formatCode="_(* #,##0.00_);_(* \(#,##0.00\);_(* \-??_);_(@_)"/>
    <numFmt numFmtId="169" formatCode="d&quot; de &quot;mmm&quot; de &quot;yy"/>
  </numFmts>
  <fonts count="14">
    <font>
      <sz val="10"/>
      <color rgb="FF000000"/>
      <name val="Arial"/>
    </font>
    <font>
      <sz val="10"/>
      <name val="Arial"/>
    </font>
    <font>
      <b/>
      <i/>
      <sz val="10"/>
      <name val="Arial"/>
    </font>
    <font>
      <b/>
      <sz val="10"/>
      <name val="Arial"/>
    </font>
    <font>
      <b/>
      <sz val="12"/>
      <name val="Arial"/>
    </font>
    <font>
      <sz val="10"/>
      <color rgb="FFFFFFFF"/>
      <name val="Arial"/>
    </font>
    <font>
      <sz val="10"/>
      <name val="Arial"/>
    </font>
    <font>
      <sz val="11"/>
      <color rgb="FF000000"/>
      <name val="Inconsolata"/>
    </font>
    <font>
      <sz val="11"/>
      <color rgb="FF000000"/>
      <name val="Calibri"/>
    </font>
    <font>
      <sz val="10"/>
      <color rgb="FFFF0000"/>
      <name val="Arial"/>
    </font>
    <font>
      <sz val="10"/>
      <color rgb="FF000000"/>
      <name val="Inconsolata"/>
    </font>
    <font>
      <sz val="12"/>
      <name val="Noto Sans Symbols"/>
    </font>
    <font>
      <b/>
      <sz val="10"/>
      <color rgb="FFFF000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00FFFF"/>
        <bgColor rgb="FF00FFFF"/>
      </patternFill>
    </fill>
    <fill>
      <patternFill patternType="solid">
        <fgColor rgb="FFF6B26B"/>
        <bgColor rgb="FFF6B26B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double">
        <color rgb="FF3C3C3C"/>
      </left>
      <right/>
      <top style="double">
        <color rgb="FF3C3C3C"/>
      </top>
      <bottom style="hair">
        <color rgb="FF3C3C3C"/>
      </bottom>
      <diagonal/>
    </border>
    <border>
      <left/>
      <right/>
      <top style="double">
        <color rgb="FF3C3C3C"/>
      </top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/>
      <top style="double">
        <color rgb="FF3C3C3C"/>
      </top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/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/>
      <bottom style="hair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 style="hair">
        <color rgb="FF3C3C3C"/>
      </top>
      <bottom/>
      <diagonal/>
    </border>
    <border>
      <left style="thin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/>
      <right style="thin">
        <color rgb="FF333300"/>
      </right>
      <top/>
      <bottom style="thin">
        <color rgb="FF333300"/>
      </bottom>
      <diagonal/>
    </border>
    <border>
      <left/>
      <right style="double">
        <color rgb="FF333300"/>
      </right>
      <top/>
      <bottom style="thin">
        <color rgb="FF3333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/>
      <right style="thin">
        <color rgb="FF333300"/>
      </right>
      <top style="thin">
        <color rgb="FF333300"/>
      </top>
      <bottom style="thin">
        <color rgb="FF333300"/>
      </bottom>
      <diagonal/>
    </border>
    <border>
      <left/>
      <right style="double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double">
        <color rgb="FF333300"/>
      </bottom>
      <diagonal/>
    </border>
    <border>
      <left/>
      <right style="thin">
        <color rgb="FF333300"/>
      </right>
      <top style="thin">
        <color rgb="FF333300"/>
      </top>
      <bottom style="double">
        <color rgb="FF333300"/>
      </bottom>
      <diagonal/>
    </border>
    <border>
      <left/>
      <right/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/>
      <bottom style="hair">
        <color rgb="FF3C3C3C"/>
      </bottom>
      <diagonal/>
    </border>
    <border>
      <left/>
      <right/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/>
      <bottom style="hair">
        <color rgb="FF3C3C3C"/>
      </bottom>
      <diagonal/>
    </border>
    <border>
      <left style="thin">
        <color rgb="FF3C3C3C"/>
      </left>
      <right/>
      <top style="hair">
        <color rgb="FF3C3C3C"/>
      </top>
      <bottom style="hair">
        <color rgb="FF3C3C3C"/>
      </bottom>
      <diagonal/>
    </border>
    <border>
      <left style="double">
        <color rgb="FF3C3C3C"/>
      </left>
      <right/>
      <top/>
      <bottom style="hair">
        <color rgb="FF3C3C3C"/>
      </bottom>
      <diagonal/>
    </border>
    <border>
      <left/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/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000000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/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 style="thin">
        <color rgb="FF3C3C3C"/>
      </left>
      <right style="double">
        <color rgb="FF3C3C3C"/>
      </right>
      <top style="double">
        <color rgb="FF3C3C3C"/>
      </top>
      <bottom style="thin">
        <color rgb="FF3C3C3C"/>
      </bottom>
      <diagonal/>
    </border>
    <border>
      <left style="double">
        <color rgb="FF3C3C3C"/>
      </left>
      <right style="thin">
        <color rgb="FF3C3C3C"/>
      </right>
      <top/>
      <bottom/>
      <diagonal/>
    </border>
    <border>
      <left style="thin">
        <color rgb="FF3C3C3C"/>
      </left>
      <right style="thin">
        <color rgb="FF3C3C3C"/>
      </right>
      <top/>
      <bottom/>
      <diagonal/>
    </border>
    <border>
      <left style="thin">
        <color rgb="FF3C3C3C"/>
      </left>
      <right style="double">
        <color rgb="FF3C3C3C"/>
      </right>
      <top/>
      <bottom/>
      <diagonal/>
    </border>
    <border>
      <left style="double">
        <color rgb="FF3C3C3C"/>
      </left>
      <right style="thin">
        <color rgb="FF3C3C3C"/>
      </right>
      <top/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/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/>
      <bottom style="double">
        <color rgb="FF3C3C3C"/>
      </bottom>
      <diagonal/>
    </border>
    <border>
      <left style="double">
        <color rgb="FF3C3C3C"/>
      </left>
      <right/>
      <top/>
      <bottom style="double">
        <color rgb="FF3C3C3C"/>
      </bottom>
      <diagonal/>
    </border>
  </borders>
  <cellStyleXfs count="1">
    <xf numFmtId="0" fontId="0" fillId="0" borderId="0"/>
  </cellStyleXfs>
  <cellXfs count="24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3" fillId="0" borderId="0" xfId="0" applyFont="1" applyAlignment="1">
      <alignment horizontal="right"/>
    </xf>
    <xf numFmtId="9" fontId="3" fillId="2" borderId="1" xfId="0" applyNumberFormat="1" applyFont="1" applyFill="1" applyBorder="1"/>
    <xf numFmtId="0" fontId="4" fillId="0" borderId="2" xfId="0" applyFont="1" applyBorder="1" applyAlignment="1">
      <alignment horizontal="center"/>
    </xf>
    <xf numFmtId="0" fontId="5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/>
    <xf numFmtId="0" fontId="3" fillId="0" borderId="13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4" borderId="15" xfId="0" applyFont="1" applyFill="1" applyBorder="1"/>
    <xf numFmtId="0" fontId="1" fillId="4" borderId="16" xfId="0" applyFont="1" applyFill="1" applyBorder="1"/>
    <xf numFmtId="0" fontId="1" fillId="4" borderId="17" xfId="0" applyFont="1" applyFill="1" applyBorder="1"/>
    <xf numFmtId="0" fontId="1" fillId="0" borderId="14" xfId="0" applyFont="1" applyBorder="1"/>
    <xf numFmtId="0" fontId="1" fillId="4" borderId="1" xfId="0" applyFont="1" applyFill="1" applyBorder="1"/>
    <xf numFmtId="0" fontId="1" fillId="0" borderId="18" xfId="0" applyFont="1" applyBorder="1"/>
    <xf numFmtId="165" fontId="1" fillId="0" borderId="9" xfId="0" applyNumberFormat="1" applyFont="1" applyBorder="1" applyAlignment="1">
      <alignment horizontal="center"/>
    </xf>
    <xf numFmtId="0" fontId="3" fillId="3" borderId="7" xfId="0" applyFont="1" applyFill="1" applyBorder="1"/>
    <xf numFmtId="165" fontId="1" fillId="0" borderId="18" xfId="0" applyNumberFormat="1" applyFont="1" applyBorder="1" applyAlignment="1">
      <alignment horizontal="center"/>
    </xf>
    <xf numFmtId="0" fontId="1" fillId="0" borderId="9" xfId="0" applyFont="1" applyBorder="1"/>
    <xf numFmtId="0" fontId="3" fillId="0" borderId="0" xfId="0" applyFont="1"/>
    <xf numFmtId="0" fontId="1" fillId="0" borderId="7" xfId="0" applyFont="1" applyBorder="1"/>
    <xf numFmtId="0" fontId="1" fillId="3" borderId="7" xfId="0" applyFont="1" applyFill="1" applyBorder="1"/>
    <xf numFmtId="165" fontId="1" fillId="0" borderId="10" xfId="0" applyNumberFormat="1" applyFont="1" applyBorder="1"/>
    <xf numFmtId="165" fontId="1" fillId="0" borderId="9" xfId="0" applyNumberFormat="1" applyFont="1" applyBorder="1"/>
    <xf numFmtId="0" fontId="1" fillId="4" borderId="19" xfId="0" applyFont="1" applyFill="1" applyBorder="1"/>
    <xf numFmtId="0" fontId="1" fillId="0" borderId="7" xfId="0" applyFont="1" applyBorder="1" applyAlignment="1">
      <alignment horizontal="left"/>
    </xf>
    <xf numFmtId="165" fontId="1" fillId="0" borderId="9" xfId="0" applyNumberFormat="1" applyFont="1" applyBorder="1" applyAlignment="1"/>
    <xf numFmtId="0" fontId="1" fillId="4" borderId="20" xfId="0" applyFont="1" applyFill="1" applyBorder="1"/>
    <xf numFmtId="0" fontId="3" fillId="0" borderId="7" xfId="0" applyFont="1" applyBorder="1"/>
    <xf numFmtId="165" fontId="7" fillId="3" borderId="0" xfId="0" applyNumberFormat="1" applyFont="1" applyFill="1" applyAlignment="1"/>
    <xf numFmtId="0" fontId="1" fillId="0" borderId="21" xfId="0" applyFont="1" applyBorder="1"/>
    <xf numFmtId="166" fontId="1" fillId="0" borderId="22" xfId="0" applyNumberFormat="1" applyFont="1" applyBorder="1" applyAlignment="1">
      <alignment horizontal="center"/>
    </xf>
    <xf numFmtId="166" fontId="1" fillId="0" borderId="23" xfId="0" applyNumberFormat="1" applyFont="1" applyBorder="1"/>
    <xf numFmtId="10" fontId="1" fillId="0" borderId="0" xfId="0" applyNumberFormat="1" applyFont="1"/>
    <xf numFmtId="0" fontId="3" fillId="0" borderId="21" xfId="0" applyFont="1" applyBorder="1"/>
    <xf numFmtId="10" fontId="1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/>
    <xf numFmtId="165" fontId="1" fillId="0" borderId="11" xfId="0" applyNumberFormat="1" applyFont="1" applyBorder="1"/>
    <xf numFmtId="10" fontId="1" fillId="0" borderId="1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4" xfId="0" applyFont="1" applyBorder="1"/>
    <xf numFmtId="0" fontId="3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4" xfId="0" applyFont="1" applyBorder="1"/>
    <xf numFmtId="0" fontId="8" fillId="0" borderId="26" xfId="0" applyFont="1" applyBorder="1" applyAlignment="1"/>
    <xf numFmtId="165" fontId="1" fillId="0" borderId="24" xfId="0" applyNumberFormat="1" applyFont="1" applyBorder="1"/>
    <xf numFmtId="165" fontId="8" fillId="0" borderId="27" xfId="0" applyNumberFormat="1" applyFont="1" applyBorder="1" applyAlignment="1"/>
    <xf numFmtId="0" fontId="1" fillId="0" borderId="24" xfId="0" applyFont="1" applyBorder="1" applyAlignment="1">
      <alignment horizontal="center"/>
    </xf>
    <xf numFmtId="165" fontId="8" fillId="0" borderId="28" xfId="0" applyNumberFormat="1" applyFont="1" applyBorder="1" applyAlignment="1"/>
    <xf numFmtId="0" fontId="3" fillId="0" borderId="14" xfId="0" applyFont="1" applyBorder="1"/>
    <xf numFmtId="165" fontId="8" fillId="0" borderId="29" xfId="0" applyNumberFormat="1" applyFont="1" applyBorder="1" applyAlignment="1"/>
    <xf numFmtId="165" fontId="1" fillId="0" borderId="18" xfId="0" applyNumberFormat="1" applyFont="1" applyBorder="1"/>
    <xf numFmtId="165" fontId="8" fillId="0" borderId="30" xfId="0" applyNumberFormat="1" applyFont="1" applyBorder="1" applyAlignment="1"/>
    <xf numFmtId="0" fontId="1" fillId="0" borderId="18" xfId="0" applyFont="1" applyBorder="1" applyAlignment="1">
      <alignment horizontal="center"/>
    </xf>
    <xf numFmtId="165" fontId="8" fillId="0" borderId="31" xfId="0" applyNumberFormat="1" applyFont="1" applyBorder="1" applyAlignment="1"/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4" fontId="1" fillId="0" borderId="9" xfId="0" applyNumberFormat="1" applyFont="1" applyBorder="1"/>
    <xf numFmtId="165" fontId="1" fillId="0" borderId="9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right"/>
    </xf>
    <xf numFmtId="165" fontId="8" fillId="0" borderId="32" xfId="0" applyNumberFormat="1" applyFont="1" applyBorder="1" applyAlignment="1"/>
    <xf numFmtId="165" fontId="8" fillId="0" borderId="33" xfId="0" applyNumberFormat="1" applyFont="1" applyBorder="1" applyAlignment="1"/>
    <xf numFmtId="4" fontId="1" fillId="0" borderId="9" xfId="0" applyNumberFormat="1" applyFont="1" applyBorder="1" applyAlignment="1"/>
    <xf numFmtId="167" fontId="1" fillId="0" borderId="0" xfId="0" applyNumberFormat="1" applyFont="1" applyAlignment="1">
      <alignment horizontal="center"/>
    </xf>
    <xf numFmtId="167" fontId="3" fillId="0" borderId="24" xfId="0" applyNumberFormat="1" applyFont="1" applyBorder="1" applyAlignment="1">
      <alignment horizontal="center"/>
    </xf>
    <xf numFmtId="167" fontId="3" fillId="0" borderId="25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9" fontId="1" fillId="0" borderId="22" xfId="0" applyNumberFormat="1" applyFont="1" applyBorder="1" applyAlignment="1">
      <alignment horizontal="center"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6" fontId="1" fillId="0" borderId="9" xfId="0" applyNumberFormat="1" applyFont="1" applyBorder="1"/>
    <xf numFmtId="9" fontId="1" fillId="0" borderId="11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66" fontId="1" fillId="0" borderId="0" xfId="0" applyNumberFormat="1" applyFont="1"/>
    <xf numFmtId="165" fontId="1" fillId="0" borderId="24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6" fontId="1" fillId="0" borderId="10" xfId="0" applyNumberFormat="1" applyFont="1" applyBorder="1"/>
    <xf numFmtId="9" fontId="1" fillId="0" borderId="9" xfId="0" applyNumberFormat="1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8" fontId="1" fillId="0" borderId="9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9" fontId="1" fillId="0" borderId="9" xfId="0" applyNumberFormat="1" applyFont="1" applyBorder="1"/>
    <xf numFmtId="9" fontId="1" fillId="0" borderId="10" xfId="0" applyNumberFormat="1" applyFont="1" applyBorder="1"/>
    <xf numFmtId="0" fontId="9" fillId="0" borderId="0" xfId="0" applyFont="1" applyAlignment="1"/>
    <xf numFmtId="165" fontId="10" fillId="3" borderId="0" xfId="0" applyNumberFormat="1" applyFont="1" applyFill="1"/>
    <xf numFmtId="165" fontId="1" fillId="0" borderId="0" xfId="0" applyNumberFormat="1" applyFont="1"/>
    <xf numFmtId="0" fontId="1" fillId="0" borderId="0" xfId="0" applyFont="1" applyAlignment="1"/>
    <xf numFmtId="10" fontId="1" fillId="0" borderId="11" xfId="0" applyNumberFormat="1" applyFont="1" applyBorder="1"/>
    <xf numFmtId="0" fontId="4" fillId="0" borderId="0" xfId="0" applyFont="1"/>
    <xf numFmtId="0" fontId="3" fillId="0" borderId="34" xfId="0" applyFont="1" applyBorder="1"/>
    <xf numFmtId="165" fontId="1" fillId="0" borderId="35" xfId="0" applyNumberFormat="1" applyFont="1" applyBorder="1" applyAlignment="1">
      <alignment horizontal="center"/>
    </xf>
    <xf numFmtId="0" fontId="1" fillId="0" borderId="34" xfId="0" applyFont="1" applyBorder="1"/>
    <xf numFmtId="0" fontId="3" fillId="0" borderId="36" xfId="0" applyFont="1" applyBorder="1"/>
    <xf numFmtId="165" fontId="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165" fontId="1" fillId="0" borderId="38" xfId="0" applyNumberFormat="1" applyFont="1" applyBorder="1" applyAlignment="1">
      <alignment horizontal="center"/>
    </xf>
    <xf numFmtId="165" fontId="1" fillId="0" borderId="39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2" xfId="0" applyFont="1" applyBorder="1"/>
    <xf numFmtId="165" fontId="1" fillId="0" borderId="43" xfId="0" applyNumberFormat="1" applyFont="1" applyBorder="1" applyAlignment="1">
      <alignment horizontal="center"/>
    </xf>
    <xf numFmtId="0" fontId="1" fillId="0" borderId="44" xfId="0" applyFont="1" applyBorder="1"/>
    <xf numFmtId="165" fontId="1" fillId="0" borderId="45" xfId="0" applyNumberFormat="1" applyFont="1" applyBorder="1" applyAlignment="1">
      <alignment horizontal="center"/>
    </xf>
    <xf numFmtId="0" fontId="3" fillId="0" borderId="44" xfId="0" applyFont="1" applyBorder="1"/>
    <xf numFmtId="165" fontId="1" fillId="0" borderId="46" xfId="0" applyNumberFormat="1" applyFont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7" xfId="0" applyFont="1" applyBorder="1"/>
    <xf numFmtId="0" fontId="3" fillId="5" borderId="11" xfId="0" applyFont="1" applyFill="1" applyBorder="1" applyAlignment="1">
      <alignment horizontal="center" wrapText="1"/>
    </xf>
    <xf numFmtId="165" fontId="1" fillId="0" borderId="48" xfId="0" applyNumberFormat="1" applyFont="1" applyBorder="1" applyAlignment="1">
      <alignment horizontal="center"/>
    </xf>
    <xf numFmtId="0" fontId="3" fillId="6" borderId="11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42" xfId="0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5" fontId="1" fillId="5" borderId="18" xfId="0" applyNumberFormat="1" applyFont="1" applyFill="1" applyBorder="1" applyAlignment="1">
      <alignment horizontal="center"/>
    </xf>
    <xf numFmtId="165" fontId="1" fillId="6" borderId="9" xfId="0" applyNumberFormat="1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165" fontId="1" fillId="0" borderId="45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165" fontId="1" fillId="5" borderId="48" xfId="0" applyNumberFormat="1" applyFont="1" applyFill="1" applyBorder="1" applyAlignment="1">
      <alignment horizontal="center"/>
    </xf>
    <xf numFmtId="165" fontId="1" fillId="6" borderId="48" xfId="0" applyNumberFormat="1" applyFont="1" applyFill="1" applyBorder="1" applyAlignment="1">
      <alignment horizontal="center"/>
    </xf>
    <xf numFmtId="165" fontId="1" fillId="0" borderId="19" xfId="0" applyNumberFormat="1" applyFont="1" applyBorder="1"/>
    <xf numFmtId="0" fontId="1" fillId="0" borderId="1" xfId="0" applyFont="1" applyBorder="1"/>
    <xf numFmtId="9" fontId="1" fillId="0" borderId="20" xfId="0" applyNumberFormat="1" applyFont="1" applyBorder="1"/>
    <xf numFmtId="0" fontId="4" fillId="0" borderId="4" xfId="0" applyFont="1" applyBorder="1" applyAlignment="1">
      <alignment horizontal="left"/>
    </xf>
    <xf numFmtId="0" fontId="3" fillId="0" borderId="39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9" fontId="3" fillId="0" borderId="13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169" fontId="1" fillId="0" borderId="4" xfId="0" applyNumberFormat="1" applyFont="1" applyBorder="1"/>
    <xf numFmtId="9" fontId="1" fillId="0" borderId="24" xfId="0" applyNumberFormat="1" applyFont="1" applyBorder="1"/>
    <xf numFmtId="165" fontId="1" fillId="0" borderId="25" xfId="0" applyNumberFormat="1" applyFont="1" applyBorder="1" applyAlignment="1">
      <alignment horizontal="center"/>
    </xf>
    <xf numFmtId="169" fontId="1" fillId="0" borderId="7" xfId="0" applyNumberFormat="1" applyFont="1" applyBorder="1"/>
    <xf numFmtId="169" fontId="1" fillId="0" borderId="12" xfId="0" applyNumberFormat="1" applyFont="1" applyBorder="1"/>
    <xf numFmtId="165" fontId="1" fillId="0" borderId="11" xfId="0" applyNumberFormat="1" applyFont="1" applyBorder="1" applyAlignment="1">
      <alignment horizontal="center"/>
    </xf>
    <xf numFmtId="9" fontId="1" fillId="0" borderId="11" xfId="0" applyNumberFormat="1" applyFont="1" applyBorder="1"/>
    <xf numFmtId="165" fontId="3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/>
    <xf numFmtId="9" fontId="1" fillId="0" borderId="0" xfId="0" applyNumberFormat="1" applyFont="1"/>
    <xf numFmtId="169" fontId="1" fillId="0" borderId="7" xfId="0" applyNumberFormat="1" applyFont="1" applyBorder="1" applyAlignment="1">
      <alignment horizontal="left"/>
    </xf>
    <xf numFmtId="165" fontId="3" fillId="0" borderId="11" xfId="0" applyNumberFormat="1" applyFont="1" applyBorder="1"/>
    <xf numFmtId="9" fontId="3" fillId="0" borderId="11" xfId="0" applyNumberFormat="1" applyFont="1" applyBorder="1"/>
    <xf numFmtId="165" fontId="3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5" fontId="1" fillId="0" borderId="3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59" xfId="0" applyFont="1" applyBorder="1"/>
    <xf numFmtId="165" fontId="3" fillId="0" borderId="35" xfId="0" applyNumberFormat="1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8" fontId="1" fillId="0" borderId="39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8" fontId="1" fillId="0" borderId="9" xfId="0" applyNumberFormat="1" applyFont="1" applyBorder="1"/>
    <xf numFmtId="168" fontId="1" fillId="0" borderId="39" xfId="0" applyNumberFormat="1" applyFont="1" applyBorder="1"/>
    <xf numFmtId="168" fontId="1" fillId="0" borderId="10" xfId="0" applyNumberFormat="1" applyFont="1" applyBorder="1"/>
    <xf numFmtId="165" fontId="3" fillId="0" borderId="39" xfId="0" applyNumberFormat="1" applyFont="1" applyBorder="1" applyAlignment="1">
      <alignment horizontal="center"/>
    </xf>
    <xf numFmtId="165" fontId="1" fillId="0" borderId="37" xfId="0" applyNumberFormat="1" applyFont="1" applyBorder="1"/>
    <xf numFmtId="165" fontId="1" fillId="0" borderId="13" xfId="0" applyNumberFormat="1" applyFont="1" applyBorder="1"/>
    <xf numFmtId="165" fontId="1" fillId="0" borderId="1" xfId="0" applyNumberFormat="1" applyFont="1" applyBorder="1"/>
    <xf numFmtId="9" fontId="1" fillId="0" borderId="1" xfId="0" applyNumberFormat="1" applyFont="1" applyBorder="1"/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1" fillId="0" borderId="0" xfId="0" applyFont="1"/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4" borderId="15" xfId="0" applyFont="1" applyFill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3" fillId="0" borderId="6" xfId="0" applyFont="1" applyBorder="1" applyAlignment="1">
      <alignment horizontal="center"/>
    </xf>
    <xf numFmtId="0" fontId="6" fillId="0" borderId="8" xfId="0" applyFont="1" applyBorder="1"/>
    <xf numFmtId="0" fontId="6" fillId="0" borderId="5" xfId="0" applyFont="1" applyBorder="1"/>
    <xf numFmtId="0" fontId="6" fillId="0" borderId="3" xfId="0" applyFont="1" applyBorder="1"/>
    <xf numFmtId="0" fontId="3" fillId="0" borderId="39" xfId="0" applyFont="1" applyBorder="1" applyAlignment="1">
      <alignment horizontal="center"/>
    </xf>
    <xf numFmtId="0" fontId="6" fillId="0" borderId="45" xfId="0" applyFont="1" applyBorder="1"/>
    <xf numFmtId="0" fontId="6" fillId="0" borderId="41" xfId="0" applyFont="1" applyBorder="1"/>
    <xf numFmtId="0" fontId="3" fillId="7" borderId="7" xfId="0" applyFont="1" applyFill="1" applyBorder="1"/>
    <xf numFmtId="165" fontId="1" fillId="7" borderId="9" xfId="0" applyNumberFormat="1" applyFont="1" applyFill="1" applyBorder="1" applyAlignment="1"/>
    <xf numFmtId="0" fontId="1" fillId="7" borderId="34" xfId="0" applyFont="1" applyFill="1" applyBorder="1"/>
    <xf numFmtId="165" fontId="1" fillId="7" borderId="9" xfId="0" applyNumberFormat="1" applyFont="1" applyFill="1" applyBorder="1" applyAlignment="1">
      <alignment horizontal="center"/>
    </xf>
    <xf numFmtId="165" fontId="7" fillId="8" borderId="0" xfId="0" applyNumberFormat="1" applyFont="1" applyFill="1"/>
    <xf numFmtId="0" fontId="1" fillId="9" borderId="34" xfId="0" applyFont="1" applyFill="1" applyBorder="1"/>
    <xf numFmtId="165" fontId="1" fillId="9" borderId="9" xfId="0" applyNumberFormat="1" applyFont="1" applyFill="1" applyBorder="1" applyAlignment="1">
      <alignment horizontal="center"/>
    </xf>
    <xf numFmtId="165" fontId="1" fillId="9" borderId="10" xfId="0" applyNumberFormat="1" applyFont="1" applyFill="1" applyBorder="1" applyAlignment="1">
      <alignment horizontal="center"/>
    </xf>
    <xf numFmtId="0" fontId="3" fillId="9" borderId="34" xfId="0" applyFont="1" applyFill="1" applyBorder="1"/>
    <xf numFmtId="165" fontId="8" fillId="9" borderId="29" xfId="0" applyNumberFormat="1" applyFont="1" applyFill="1" applyBorder="1" applyAlignment="1"/>
    <xf numFmtId="165" fontId="8" fillId="9" borderId="30" xfId="0" applyNumberFormat="1" applyFont="1" applyFill="1" applyBorder="1" applyAlignment="1"/>
    <xf numFmtId="165" fontId="1" fillId="7" borderId="10" xfId="0" applyNumberFormat="1" applyFont="1" applyFill="1" applyBorder="1" applyAlignment="1">
      <alignment horizontal="center"/>
    </xf>
    <xf numFmtId="0" fontId="12" fillId="0" borderId="0" xfId="0" applyFont="1" applyAlignment="1"/>
    <xf numFmtId="0" fontId="13" fillId="0" borderId="49" xfId="0" applyFont="1" applyBorder="1" applyAlignment="1"/>
    <xf numFmtId="0" fontId="13" fillId="7" borderId="34" xfId="0" applyFont="1" applyFill="1" applyBorder="1"/>
    <xf numFmtId="165" fontId="13" fillId="7" borderId="9" xfId="0" applyNumberFormat="1" applyFont="1" applyFill="1" applyBorder="1" applyAlignment="1">
      <alignment horizontal="center"/>
    </xf>
    <xf numFmtId="165" fontId="13" fillId="7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676275</xdr:colOff>
      <xdr:row>58</xdr:row>
      <xdr:rowOff>95250</xdr:rowOff>
    </xdr:to>
    <xdr:sp macro="" textlink="">
      <xdr:nvSpPr>
        <xdr:cNvPr id="2052" name="Rectangle 4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371475</xdr:colOff>
      <xdr:row>57</xdr:row>
      <xdr:rowOff>133350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419100</xdr:colOff>
      <xdr:row>58</xdr:row>
      <xdr:rowOff>95250</xdr:rowOff>
    </xdr:to>
    <xdr:sp macro="" textlink="">
      <xdr:nvSpPr>
        <xdr:cNvPr id="3075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180975</xdr:colOff>
      <xdr:row>57</xdr:row>
      <xdr:rowOff>95250</xdr:rowOff>
    </xdr:to>
    <xdr:sp macro="" textlink="">
      <xdr:nvSpPr>
        <xdr:cNvPr id="4098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Z1000"/>
  <sheetViews>
    <sheetView tabSelected="1" workbookViewId="0"/>
  </sheetViews>
  <sheetFormatPr baseColWidth="10" defaultColWidth="14.42578125" defaultRowHeight="15" customHeight="1"/>
  <cols>
    <col min="1" max="1" width="42.28515625" customWidth="1"/>
    <col min="2" max="3" width="11" customWidth="1"/>
    <col min="4" max="4" width="17.42578125" customWidth="1"/>
    <col min="5" max="21" width="11" customWidth="1"/>
    <col min="22" max="26" width="10" customWidth="1"/>
  </cols>
  <sheetData>
    <row r="1" spans="1:26" ht="12.75" customHeight="1">
      <c r="A1" s="2" t="s">
        <v>0</v>
      </c>
      <c r="B1" s="3"/>
      <c r="C1" s="3"/>
      <c r="D1" s="3"/>
      <c r="E1" s="4">
        <v>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5" t="s">
        <v>2</v>
      </c>
      <c r="B3" s="6">
        <v>0.21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5" t="s">
        <v>5</v>
      </c>
      <c r="B4" s="6">
        <v>0.35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5" t="s">
        <v>6</v>
      </c>
      <c r="B5" s="6">
        <v>0.08</v>
      </c>
      <c r="C5" s="3" t="s">
        <v>7</v>
      </c>
      <c r="D5" s="3"/>
      <c r="E5" s="3"/>
      <c r="F5" s="3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5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15" t="s">
        <v>10</v>
      </c>
      <c r="B8" s="16">
        <v>30</v>
      </c>
      <c r="C8" s="3" t="s">
        <v>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15" t="s">
        <v>17</v>
      </c>
      <c r="B9" s="16">
        <v>10</v>
      </c>
      <c r="C9" s="3" t="s">
        <v>16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15" t="s">
        <v>18</v>
      </c>
      <c r="B10" s="16">
        <v>10</v>
      </c>
      <c r="C10" s="3" t="s">
        <v>16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15" t="s">
        <v>19</v>
      </c>
      <c r="B11" s="16">
        <v>5</v>
      </c>
      <c r="C11" s="3" t="s">
        <v>16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15" t="s">
        <v>21</v>
      </c>
      <c r="B12" s="16">
        <v>5</v>
      </c>
      <c r="C12" s="3" t="s">
        <v>16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15" t="s">
        <v>25</v>
      </c>
      <c r="B13" s="16">
        <v>3</v>
      </c>
      <c r="C13" s="3" t="s">
        <v>16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15" t="s">
        <v>26</v>
      </c>
      <c r="B14" s="16">
        <v>5</v>
      </c>
      <c r="C14" s="3" t="s">
        <v>16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15" t="s">
        <v>28</v>
      </c>
      <c r="B15" s="20">
        <v>0.04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5" t="s">
        <v>30</v>
      </c>
      <c r="B17" s="22" t="s">
        <v>31</v>
      </c>
      <c r="C17" s="23"/>
      <c r="D17" s="23"/>
      <c r="E17" s="23"/>
      <c r="F17" s="23"/>
      <c r="G17" s="2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5" t="s">
        <v>32</v>
      </c>
      <c r="B19" s="26">
        <v>78975</v>
      </c>
      <c r="C19" s="3" t="s">
        <v>33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5" t="s">
        <v>34</v>
      </c>
      <c r="B20" s="26">
        <v>481</v>
      </c>
      <c r="C20" s="3" t="s">
        <v>35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5" t="s">
        <v>36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5" t="s">
        <v>38</v>
      </c>
      <c r="B23" s="26">
        <v>8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5" t="s">
        <v>40</v>
      </c>
      <c r="B24" s="26">
        <v>2</v>
      </c>
      <c r="C24" s="3" t="s">
        <v>39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5" t="s">
        <v>41</v>
      </c>
      <c r="B25" s="26">
        <v>2</v>
      </c>
      <c r="C25" s="3" t="s">
        <v>39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5" t="s">
        <v>42</v>
      </c>
      <c r="B27" s="26">
        <v>270</v>
      </c>
      <c r="C27" s="3" t="s">
        <v>43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5" t="s">
        <v>44</v>
      </c>
      <c r="B28" s="26">
        <v>9</v>
      </c>
      <c r="C28" s="3" t="s">
        <v>45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5" t="s">
        <v>46</v>
      </c>
      <c r="B29" s="26">
        <v>3</v>
      </c>
      <c r="C29" s="3" t="s">
        <v>45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5" t="s">
        <v>47</v>
      </c>
      <c r="B32" s="26">
        <v>18</v>
      </c>
      <c r="C32" s="3" t="s">
        <v>48</v>
      </c>
      <c r="D32" s="26">
        <v>1</v>
      </c>
      <c r="E32" s="3" t="s">
        <v>49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5" t="s">
        <v>52</v>
      </c>
      <c r="B35" s="37">
        <v>28</v>
      </c>
      <c r="C35" s="3" t="s">
        <v>57</v>
      </c>
      <c r="D35" s="3" t="s">
        <v>58</v>
      </c>
      <c r="E35" s="3"/>
      <c r="F35" s="3"/>
      <c r="G35" s="8" t="s">
        <v>59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5" t="s">
        <v>60</v>
      </c>
      <c r="B36" s="214" t="s">
        <v>61</v>
      </c>
      <c r="C36" s="215"/>
      <c r="D36" s="21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5" t="s">
        <v>70</v>
      </c>
      <c r="B37" s="40">
        <v>100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5" t="s">
        <v>74</v>
      </c>
      <c r="B39" s="26">
        <v>60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5" t="s">
        <v>75</v>
      </c>
      <c r="B40" s="26">
        <v>50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5" t="s">
        <v>79</v>
      </c>
      <c r="B41" s="26">
        <v>0</v>
      </c>
      <c r="C41" s="3" t="s">
        <v>57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8" t="s">
        <v>157</v>
      </c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B36:D3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54.42578125" customWidth="1"/>
    <col min="2" max="4" width="14" customWidth="1"/>
    <col min="5" max="16" width="11.42578125" customWidth="1"/>
    <col min="17" max="26" width="10" customWidth="1"/>
  </cols>
  <sheetData>
    <row r="1" spans="1:26" ht="12.75" customHeight="1">
      <c r="A1" s="2" t="s">
        <v>0</v>
      </c>
      <c r="B1" s="3"/>
      <c r="C1" s="3"/>
      <c r="D1" s="3">
        <f>InfoInicial!E1</f>
        <v>7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27" t="s">
        <v>296</v>
      </c>
      <c r="B2" s="9"/>
      <c r="C2" s="9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2" t="s">
        <v>14</v>
      </c>
      <c r="B3" s="190" t="s">
        <v>27</v>
      </c>
      <c r="C3" s="190" t="s">
        <v>15</v>
      </c>
      <c r="D3" s="19" t="s">
        <v>207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32" t="s">
        <v>297</v>
      </c>
      <c r="B4" s="28"/>
      <c r="C4" s="28"/>
      <c r="D4" s="7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8"/>
      <c r="C5" s="28"/>
      <c r="D5" s="7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 t="s">
        <v>298</v>
      </c>
      <c r="B6" s="28"/>
      <c r="C6" s="28"/>
      <c r="D6" s="7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 t="s">
        <v>299</v>
      </c>
      <c r="B7" s="28"/>
      <c r="C7" s="28"/>
      <c r="D7" s="7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32" t="s">
        <v>300</v>
      </c>
      <c r="B8" s="28"/>
      <c r="C8" s="28"/>
      <c r="D8" s="7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88" t="s">
        <v>301</v>
      </c>
      <c r="B9" s="28"/>
      <c r="C9" s="28"/>
      <c r="D9" s="7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32" t="s">
        <v>302</v>
      </c>
      <c r="B10" s="28"/>
      <c r="C10" s="28"/>
      <c r="D10" s="7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2" t="s">
        <v>303</v>
      </c>
      <c r="B11" s="28"/>
      <c r="C11" s="28"/>
      <c r="D11" s="7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88" t="s">
        <v>304</v>
      </c>
      <c r="B12" s="28"/>
      <c r="C12" s="28"/>
      <c r="D12" s="7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 t="s">
        <v>305</v>
      </c>
      <c r="B13" s="28"/>
      <c r="C13" s="28"/>
      <c r="D13" s="7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 t="s">
        <v>306</v>
      </c>
      <c r="B14" s="28"/>
      <c r="C14" s="28"/>
      <c r="D14" s="7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32" t="s">
        <v>307</v>
      </c>
      <c r="B15" s="28"/>
      <c r="C15" s="28"/>
      <c r="D15" s="7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 t="s">
        <v>123</v>
      </c>
      <c r="B16" s="28"/>
      <c r="C16" s="28"/>
      <c r="D16" s="7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 t="s">
        <v>308</v>
      </c>
      <c r="B17" s="28"/>
      <c r="C17" s="28"/>
      <c r="D17" s="7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 t="s">
        <v>309</v>
      </c>
      <c r="B18" s="28"/>
      <c r="C18" s="28"/>
      <c r="D18" s="7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 t="s">
        <v>310</v>
      </c>
      <c r="B19" s="28"/>
      <c r="C19" s="28"/>
      <c r="D19" s="7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32" t="s">
        <v>311</v>
      </c>
      <c r="B20" s="28"/>
      <c r="C20" s="28"/>
      <c r="D20" s="7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 t="s">
        <v>312</v>
      </c>
      <c r="B21" s="28"/>
      <c r="C21" s="28"/>
      <c r="D21" s="7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32" t="s">
        <v>313</v>
      </c>
      <c r="B22" s="28"/>
      <c r="C22" s="28"/>
      <c r="D22" s="7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32" t="s">
        <v>314</v>
      </c>
      <c r="B23" s="28"/>
      <c r="C23" s="28"/>
      <c r="D23" s="7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32" t="s">
        <v>315</v>
      </c>
      <c r="B24" s="28"/>
      <c r="C24" s="28"/>
      <c r="D24" s="7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 t="s">
        <v>316</v>
      </c>
      <c r="B25" s="28"/>
      <c r="C25" s="28"/>
      <c r="D25" s="7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 t="s">
        <v>317</v>
      </c>
      <c r="B26" s="28"/>
      <c r="C26" s="28"/>
      <c r="D26" s="7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32" t="s">
        <v>318</v>
      </c>
      <c r="B27" s="28"/>
      <c r="C27" s="28"/>
      <c r="D27" s="73"/>
      <c r="E27" s="19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32" t="s">
        <v>319</v>
      </c>
      <c r="B28" s="28"/>
      <c r="C28" s="28"/>
      <c r="D28" s="125"/>
      <c r="E28" s="192" t="s">
        <v>320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32" t="s">
        <v>321</v>
      </c>
      <c r="B29" s="28"/>
      <c r="C29" s="28"/>
      <c r="D29" s="125"/>
      <c r="E29" s="15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32" t="s">
        <v>322</v>
      </c>
      <c r="B30" s="28"/>
      <c r="C30" s="28"/>
      <c r="D30" s="125"/>
      <c r="E30" s="15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32" t="s">
        <v>323</v>
      </c>
      <c r="B31" s="28"/>
      <c r="C31" s="28"/>
      <c r="D31" s="125"/>
      <c r="E31" s="15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20" t="s">
        <v>207</v>
      </c>
      <c r="B32" s="178"/>
      <c r="C32" s="178"/>
      <c r="D32" s="189"/>
      <c r="E32" s="9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27" t="s">
        <v>324</v>
      </c>
      <c r="B34" s="9"/>
      <c r="C34" s="9"/>
      <c r="D34" s="9"/>
      <c r="E34" s="9"/>
      <c r="F34" s="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2" t="s">
        <v>14</v>
      </c>
      <c r="B35" s="17" t="s">
        <v>15</v>
      </c>
      <c r="C35" s="17" t="s">
        <v>20</v>
      </c>
      <c r="D35" s="17" t="s">
        <v>22</v>
      </c>
      <c r="E35" s="17" t="s">
        <v>23</v>
      </c>
      <c r="F35" s="17" t="s">
        <v>24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41" t="s">
        <v>168</v>
      </c>
      <c r="B36" s="36"/>
      <c r="C36" s="36"/>
      <c r="D36" s="36"/>
      <c r="E36" s="36"/>
      <c r="F36" s="3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85" t="s">
        <v>167</v>
      </c>
      <c r="B37" s="36"/>
      <c r="C37" s="36"/>
      <c r="D37" s="36"/>
      <c r="E37" s="36"/>
      <c r="F37" s="3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41" t="s">
        <v>170</v>
      </c>
      <c r="B38" s="36"/>
      <c r="C38" s="36"/>
      <c r="D38" s="36"/>
      <c r="E38" s="36"/>
      <c r="F38" s="3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85" t="s">
        <v>169</v>
      </c>
      <c r="B39" s="36"/>
      <c r="C39" s="36"/>
      <c r="D39" s="36"/>
      <c r="E39" s="36"/>
      <c r="F39" s="3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41" t="s">
        <v>172</v>
      </c>
      <c r="B40" s="36"/>
      <c r="C40" s="36"/>
      <c r="D40" s="36"/>
      <c r="E40" s="36"/>
      <c r="F40" s="3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85" t="s">
        <v>171</v>
      </c>
      <c r="B41" s="36"/>
      <c r="C41" s="36"/>
      <c r="D41" s="36"/>
      <c r="E41" s="36"/>
      <c r="F41" s="3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85" t="s">
        <v>325</v>
      </c>
      <c r="B42" s="36"/>
      <c r="C42" s="36"/>
      <c r="D42" s="36"/>
      <c r="E42" s="36"/>
      <c r="F42" s="3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41" t="s">
        <v>173</v>
      </c>
      <c r="B43" s="36"/>
      <c r="C43" s="36"/>
      <c r="D43" s="36"/>
      <c r="E43" s="36"/>
      <c r="F43" s="3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50" t="s">
        <v>174</v>
      </c>
      <c r="B44" s="51"/>
      <c r="C44" s="51"/>
      <c r="D44" s="51"/>
      <c r="E44" s="51"/>
      <c r="F44" s="5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16" t="s">
        <v>326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43" customWidth="1"/>
    <col min="2" max="7" width="14" customWidth="1"/>
    <col min="8" max="8" width="17.42578125" customWidth="1"/>
    <col min="9" max="17" width="11.42578125" customWidth="1"/>
    <col min="18" max="26" width="10" customWidth="1"/>
  </cols>
  <sheetData>
    <row r="1" spans="1:26" ht="12.75" customHeight="1">
      <c r="A1" s="2" t="s">
        <v>0</v>
      </c>
      <c r="B1" s="3"/>
      <c r="C1" s="3"/>
      <c r="D1" s="3"/>
      <c r="E1" s="4">
        <f>InfoInicial!E1</f>
        <v>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27" t="s">
        <v>226</v>
      </c>
      <c r="B2" s="9"/>
      <c r="C2" s="9"/>
      <c r="D2" s="9"/>
      <c r="E2" s="9"/>
      <c r="F2" s="9"/>
      <c r="G2" s="1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28"/>
      <c r="B3" s="129" t="s">
        <v>227</v>
      </c>
      <c r="C3" s="129"/>
      <c r="D3" s="129"/>
      <c r="E3" s="129"/>
      <c r="F3" s="129"/>
      <c r="G3" s="1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31" t="s">
        <v>14</v>
      </c>
      <c r="B4" s="122" t="s">
        <v>27</v>
      </c>
      <c r="C4" s="17" t="s">
        <v>15</v>
      </c>
      <c r="D4" s="17" t="s">
        <v>20</v>
      </c>
      <c r="E4" s="17" t="s">
        <v>22</v>
      </c>
      <c r="F4" s="17" t="s">
        <v>23</v>
      </c>
      <c r="G4" s="19" t="s">
        <v>24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32" t="s">
        <v>327</v>
      </c>
      <c r="B5" s="133"/>
      <c r="C5" s="30"/>
      <c r="D5" s="30"/>
      <c r="E5" s="30"/>
      <c r="F5" s="30"/>
      <c r="G5" s="11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34" t="s">
        <v>328</v>
      </c>
      <c r="B6" s="135"/>
      <c r="C6" s="28"/>
      <c r="D6" s="28"/>
      <c r="E6" s="28"/>
      <c r="F6" s="28"/>
      <c r="G6" s="7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34" t="s">
        <v>329</v>
      </c>
      <c r="B7" s="135"/>
      <c r="C7" s="28"/>
      <c r="D7" s="28"/>
      <c r="E7" s="28"/>
      <c r="F7" s="28"/>
      <c r="G7" s="7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93" t="s">
        <v>330</v>
      </c>
      <c r="B8" s="135"/>
      <c r="C8" s="28"/>
      <c r="D8" s="28"/>
      <c r="E8" s="28"/>
      <c r="F8" s="28"/>
      <c r="G8" s="7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93" t="s">
        <v>331</v>
      </c>
      <c r="B9" s="135"/>
      <c r="C9" s="28"/>
      <c r="D9" s="28"/>
      <c r="E9" s="28"/>
      <c r="F9" s="28"/>
      <c r="G9" s="7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36" t="s">
        <v>332</v>
      </c>
      <c r="B10" s="135"/>
      <c r="C10" s="28"/>
      <c r="D10" s="28"/>
      <c r="E10" s="28"/>
      <c r="F10" s="28"/>
      <c r="G10" s="7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36"/>
      <c r="B11" s="135"/>
      <c r="C11" s="28"/>
      <c r="D11" s="28"/>
      <c r="E11" s="28"/>
      <c r="F11" s="28"/>
      <c r="G11" s="7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34" t="s">
        <v>238</v>
      </c>
      <c r="B12" s="135"/>
      <c r="C12" s="28"/>
      <c r="D12" s="28"/>
      <c r="E12" s="28"/>
      <c r="F12" s="28"/>
      <c r="G12" s="7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34" t="s">
        <v>239</v>
      </c>
      <c r="B13" s="135"/>
      <c r="C13" s="28"/>
      <c r="D13" s="28"/>
      <c r="E13" s="28"/>
      <c r="F13" s="28"/>
      <c r="G13" s="7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36" t="s">
        <v>333</v>
      </c>
      <c r="B14" s="135"/>
      <c r="C14" s="28"/>
      <c r="D14" s="28"/>
      <c r="E14" s="28"/>
      <c r="F14" s="28"/>
      <c r="G14" s="7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34"/>
      <c r="B15" s="135"/>
      <c r="C15" s="28"/>
      <c r="D15" s="28"/>
      <c r="E15" s="28"/>
      <c r="F15" s="28"/>
      <c r="G15" s="7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38" t="s">
        <v>334</v>
      </c>
      <c r="B16" s="135"/>
      <c r="C16" s="28"/>
      <c r="D16" s="28"/>
      <c r="E16" s="28"/>
      <c r="F16" s="28"/>
      <c r="G16" s="7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38" t="s">
        <v>335</v>
      </c>
      <c r="B17" s="135"/>
      <c r="C17" s="28"/>
      <c r="D17" s="28"/>
      <c r="E17" s="28"/>
      <c r="F17" s="28"/>
      <c r="G17" s="7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36" t="s">
        <v>336</v>
      </c>
      <c r="B18" s="135"/>
      <c r="C18" s="28"/>
      <c r="D18" s="28"/>
      <c r="E18" s="28"/>
      <c r="F18" s="28"/>
      <c r="G18" s="7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36" t="s">
        <v>337</v>
      </c>
      <c r="B19" s="135"/>
      <c r="C19" s="28"/>
      <c r="D19" s="28"/>
      <c r="E19" s="28"/>
      <c r="F19" s="28"/>
      <c r="G19" s="7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34"/>
      <c r="B20" s="135"/>
      <c r="C20" s="28"/>
      <c r="D20" s="28"/>
      <c r="E20" s="28"/>
      <c r="F20" s="28"/>
      <c r="G20" s="7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39" t="s">
        <v>245</v>
      </c>
      <c r="B21" s="141"/>
      <c r="C21" s="178"/>
      <c r="D21" s="178"/>
      <c r="E21" s="178"/>
      <c r="F21" s="178"/>
      <c r="G21" s="12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41" customWidth="1"/>
    <col min="2" max="8" width="14.85546875" customWidth="1"/>
    <col min="9" max="9" width="17.42578125" customWidth="1"/>
    <col min="10" max="18" width="11.42578125" customWidth="1"/>
    <col min="19" max="26" width="10" customWidth="1"/>
  </cols>
  <sheetData>
    <row r="1" spans="1:26" ht="12.75" customHeight="1">
      <c r="A1" s="2" t="s">
        <v>0</v>
      </c>
      <c r="B1" s="3"/>
      <c r="C1" s="3"/>
      <c r="D1" s="3"/>
      <c r="E1" s="4">
        <f>InfoInicial!E1</f>
        <v>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57" t="s">
        <v>338</v>
      </c>
      <c r="B3" s="104"/>
      <c r="C3" s="104"/>
      <c r="D3" s="104"/>
      <c r="E3" s="104"/>
      <c r="F3" s="104"/>
      <c r="G3" s="194"/>
      <c r="H3" s="10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33"/>
      <c r="B4" s="13" t="s">
        <v>27</v>
      </c>
      <c r="C4" s="13" t="s">
        <v>15</v>
      </c>
      <c r="D4" s="13" t="s">
        <v>20</v>
      </c>
      <c r="E4" s="13" t="s">
        <v>22</v>
      </c>
      <c r="F4" s="13" t="s">
        <v>23</v>
      </c>
      <c r="G4" s="158" t="s">
        <v>24</v>
      </c>
      <c r="H4" s="14" t="s">
        <v>207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32" t="s">
        <v>340</v>
      </c>
      <c r="B5" s="106"/>
      <c r="C5" s="106"/>
      <c r="D5" s="106"/>
      <c r="E5" s="106"/>
      <c r="F5" s="106"/>
      <c r="G5" s="196"/>
      <c r="H5" s="19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 t="s">
        <v>342</v>
      </c>
      <c r="B6" s="28"/>
      <c r="C6" s="28"/>
      <c r="D6" s="28"/>
      <c r="E6" s="28"/>
      <c r="F6" s="28"/>
      <c r="G6" s="125"/>
      <c r="H6" s="7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 t="s">
        <v>343</v>
      </c>
      <c r="B7" s="201"/>
      <c r="C7" s="201"/>
      <c r="D7" s="201"/>
      <c r="E7" s="201"/>
      <c r="F7" s="201"/>
      <c r="G7" s="202"/>
      <c r="H7" s="20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 t="s">
        <v>346</v>
      </c>
      <c r="B8" s="28"/>
      <c r="C8" s="28"/>
      <c r="D8" s="28"/>
      <c r="E8" s="28"/>
      <c r="F8" s="28"/>
      <c r="G8" s="125"/>
      <c r="H8" s="7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 t="s">
        <v>348</v>
      </c>
      <c r="B9" s="201"/>
      <c r="C9" s="201"/>
      <c r="D9" s="201"/>
      <c r="E9" s="201"/>
      <c r="F9" s="201"/>
      <c r="G9" s="202"/>
      <c r="H9" s="20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 t="s">
        <v>351</v>
      </c>
      <c r="B10" s="28"/>
      <c r="C10" s="28"/>
      <c r="D10" s="28"/>
      <c r="E10" s="28"/>
      <c r="F10" s="28"/>
      <c r="G10" s="125"/>
      <c r="H10" s="7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 t="s">
        <v>353</v>
      </c>
      <c r="B11" s="106"/>
      <c r="C11" s="106"/>
      <c r="D11" s="106"/>
      <c r="E11" s="106"/>
      <c r="F11" s="106"/>
      <c r="G11" s="196"/>
      <c r="H11" s="19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28"/>
      <c r="C12" s="28"/>
      <c r="D12" s="28"/>
      <c r="E12" s="28"/>
      <c r="F12" s="28"/>
      <c r="G12" s="125"/>
      <c r="H12" s="7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32" t="s">
        <v>356</v>
      </c>
      <c r="B13" s="28"/>
      <c r="C13" s="28"/>
      <c r="D13" s="28"/>
      <c r="E13" s="28"/>
      <c r="F13" s="28"/>
      <c r="G13" s="125"/>
      <c r="H13" s="7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 t="s">
        <v>358</v>
      </c>
      <c r="B14" s="201"/>
      <c r="C14" s="201"/>
      <c r="D14" s="201"/>
      <c r="E14" s="201"/>
      <c r="F14" s="201"/>
      <c r="G14" s="202"/>
      <c r="H14" s="20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 t="s">
        <v>270</v>
      </c>
      <c r="B15" s="28"/>
      <c r="C15" s="28"/>
      <c r="D15" s="28"/>
      <c r="E15" s="28"/>
      <c r="F15" s="28"/>
      <c r="G15" s="125"/>
      <c r="H15" s="7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 t="s">
        <v>362</v>
      </c>
      <c r="B16" s="28"/>
      <c r="C16" s="28"/>
      <c r="D16" s="28"/>
      <c r="E16" s="28"/>
      <c r="F16" s="28"/>
      <c r="G16" s="125"/>
      <c r="H16" s="7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 t="s">
        <v>363</v>
      </c>
      <c r="B17" s="28"/>
      <c r="C17" s="28"/>
      <c r="D17" s="28"/>
      <c r="E17" s="28"/>
      <c r="F17" s="28"/>
      <c r="G17" s="125"/>
      <c r="H17" s="7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 t="s">
        <v>365</v>
      </c>
      <c r="B18" s="201"/>
      <c r="C18" s="201"/>
      <c r="D18" s="201"/>
      <c r="E18" s="201"/>
      <c r="F18" s="201"/>
      <c r="G18" s="202"/>
      <c r="H18" s="20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 t="s">
        <v>367</v>
      </c>
      <c r="B19" s="28"/>
      <c r="C19" s="28"/>
      <c r="D19" s="28"/>
      <c r="E19" s="28"/>
      <c r="F19" s="28"/>
      <c r="G19" s="125"/>
      <c r="H19" s="7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 t="s">
        <v>368</v>
      </c>
      <c r="B20" s="201"/>
      <c r="C20" s="201"/>
      <c r="D20" s="201"/>
      <c r="E20" s="201"/>
      <c r="F20" s="201"/>
      <c r="G20" s="202"/>
      <c r="H20" s="20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 t="s">
        <v>370</v>
      </c>
      <c r="B21" s="28"/>
      <c r="C21" s="28"/>
      <c r="D21" s="28"/>
      <c r="E21" s="28"/>
      <c r="F21" s="28"/>
      <c r="G21" s="125"/>
      <c r="H21" s="7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 t="s">
        <v>372</v>
      </c>
      <c r="B22" s="106"/>
      <c r="C22" s="106"/>
      <c r="D22" s="106"/>
      <c r="E22" s="106"/>
      <c r="F22" s="106"/>
      <c r="G22" s="196"/>
      <c r="H22" s="19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28"/>
      <c r="C23" s="28"/>
      <c r="D23" s="28"/>
      <c r="E23" s="28"/>
      <c r="F23" s="28"/>
      <c r="G23" s="125"/>
      <c r="H23" s="7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32" t="s">
        <v>376</v>
      </c>
      <c r="B24" s="28"/>
      <c r="C24" s="28"/>
      <c r="D24" s="28"/>
      <c r="E24" s="28"/>
      <c r="F24" s="28"/>
      <c r="G24" s="125"/>
      <c r="H24" s="7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32" t="s">
        <v>378</v>
      </c>
      <c r="B25" s="28"/>
      <c r="C25" s="28"/>
      <c r="D25" s="28"/>
      <c r="E25" s="28"/>
      <c r="F25" s="28"/>
      <c r="G25" s="125"/>
      <c r="H25" s="7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32"/>
      <c r="B26" s="28"/>
      <c r="C26" s="28"/>
      <c r="D26" s="28"/>
      <c r="E26" s="28"/>
      <c r="F26" s="28"/>
      <c r="G26" s="125"/>
      <c r="H26" s="7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32" t="s">
        <v>381</v>
      </c>
      <c r="B27" s="107"/>
      <c r="C27" s="107"/>
      <c r="D27" s="107"/>
      <c r="E27" s="107"/>
      <c r="F27" s="107"/>
      <c r="G27" s="204"/>
      <c r="H27" s="10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50" t="s">
        <v>384</v>
      </c>
      <c r="B28" s="51"/>
      <c r="C28" s="51"/>
      <c r="D28" s="51"/>
      <c r="E28" s="51"/>
      <c r="F28" s="51"/>
      <c r="G28" s="205"/>
      <c r="H28" s="20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37.7109375" customWidth="1"/>
    <col min="2" max="7" width="14.85546875" customWidth="1"/>
    <col min="8" max="8" width="17.42578125" customWidth="1"/>
    <col min="9" max="17" width="11.42578125" customWidth="1"/>
    <col min="18" max="26" width="10" customWidth="1"/>
  </cols>
  <sheetData>
    <row r="1" spans="1:26" ht="12.75" customHeight="1">
      <c r="A1" s="2" t="s">
        <v>0</v>
      </c>
      <c r="B1" s="3"/>
      <c r="C1" s="3"/>
      <c r="D1" s="3"/>
      <c r="E1" s="4">
        <f>InfoInicial!E1</f>
        <v>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57" t="s">
        <v>339</v>
      </c>
      <c r="B3" s="104"/>
      <c r="C3" s="104"/>
      <c r="D3" s="104"/>
      <c r="E3" s="104"/>
      <c r="F3" s="104"/>
      <c r="G3" s="10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43"/>
      <c r="B4" s="195" t="s">
        <v>27</v>
      </c>
      <c r="C4" s="195" t="s">
        <v>15</v>
      </c>
      <c r="D4" s="195" t="s">
        <v>20</v>
      </c>
      <c r="E4" s="195" t="s">
        <v>22</v>
      </c>
      <c r="F4" s="195" t="s">
        <v>23</v>
      </c>
      <c r="G4" s="197" t="s">
        <v>24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60" t="s">
        <v>341</v>
      </c>
      <c r="B5" s="199"/>
      <c r="C5" s="199"/>
      <c r="D5" s="199"/>
      <c r="E5" s="199"/>
      <c r="F5" s="199"/>
      <c r="G5" s="20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41" t="s">
        <v>344</v>
      </c>
      <c r="B6" s="28"/>
      <c r="C6" s="28"/>
      <c r="D6" s="28"/>
      <c r="E6" s="28"/>
      <c r="F6" s="28"/>
      <c r="G6" s="7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33" t="s">
        <v>345</v>
      </c>
      <c r="B7" s="201"/>
      <c r="C7" s="201"/>
      <c r="D7" s="201"/>
      <c r="E7" s="201"/>
      <c r="F7" s="201"/>
      <c r="G7" s="20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33" t="s">
        <v>347</v>
      </c>
      <c r="B8" s="28"/>
      <c r="C8" s="28"/>
      <c r="D8" s="28"/>
      <c r="E8" s="28"/>
      <c r="F8" s="28"/>
      <c r="G8" s="7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41" t="s">
        <v>349</v>
      </c>
      <c r="B9" s="201"/>
      <c r="C9" s="201"/>
      <c r="D9" s="201"/>
      <c r="E9" s="201"/>
      <c r="F9" s="201"/>
      <c r="G9" s="20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41" t="s">
        <v>350</v>
      </c>
      <c r="B10" s="28"/>
      <c r="C10" s="28"/>
      <c r="D10" s="28"/>
      <c r="E10" s="28"/>
      <c r="F10" s="28"/>
      <c r="G10" s="7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41" t="s">
        <v>352</v>
      </c>
      <c r="B11" s="106"/>
      <c r="C11" s="106"/>
      <c r="D11" s="106"/>
      <c r="E11" s="106"/>
      <c r="F11" s="106"/>
      <c r="G11" s="19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41" t="s">
        <v>354</v>
      </c>
      <c r="B12" s="106"/>
      <c r="C12" s="106"/>
      <c r="D12" s="106"/>
      <c r="E12" s="106"/>
      <c r="F12" s="106"/>
      <c r="G12" s="19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41" t="s">
        <v>355</v>
      </c>
      <c r="B13" s="106"/>
      <c r="C13" s="106"/>
      <c r="D13" s="106"/>
      <c r="E13" s="106"/>
      <c r="F13" s="106"/>
      <c r="G13" s="19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33" t="s">
        <v>357</v>
      </c>
      <c r="B14" s="28"/>
      <c r="C14" s="28"/>
      <c r="D14" s="28"/>
      <c r="E14" s="28"/>
      <c r="F14" s="28"/>
      <c r="G14" s="7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33" t="s">
        <v>359</v>
      </c>
      <c r="B15" s="201"/>
      <c r="C15" s="201"/>
      <c r="D15" s="201"/>
      <c r="E15" s="201"/>
      <c r="F15" s="201"/>
      <c r="G15" s="20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33" t="s">
        <v>360</v>
      </c>
      <c r="B16" s="28"/>
      <c r="C16" s="28"/>
      <c r="D16" s="28"/>
      <c r="E16" s="28"/>
      <c r="F16" s="28"/>
      <c r="G16" s="7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33" t="s">
        <v>361</v>
      </c>
      <c r="B17" s="28"/>
      <c r="C17" s="28"/>
      <c r="D17" s="28"/>
      <c r="E17" s="28"/>
      <c r="F17" s="28"/>
      <c r="G17" s="7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1" t="s">
        <v>104</v>
      </c>
      <c r="B18" s="201"/>
      <c r="C18" s="201"/>
      <c r="D18" s="201"/>
      <c r="E18" s="201"/>
      <c r="F18" s="201"/>
      <c r="G18" s="20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33" t="s">
        <v>357</v>
      </c>
      <c r="B19" s="28"/>
      <c r="C19" s="28"/>
      <c r="D19" s="28"/>
      <c r="E19" s="28"/>
      <c r="F19" s="28"/>
      <c r="G19" s="7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33" t="s">
        <v>364</v>
      </c>
      <c r="B20" s="28"/>
      <c r="C20" s="28"/>
      <c r="D20" s="28"/>
      <c r="E20" s="28"/>
      <c r="F20" s="28"/>
      <c r="G20" s="7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33" t="s">
        <v>366</v>
      </c>
      <c r="B21" s="28"/>
      <c r="C21" s="28"/>
      <c r="D21" s="28"/>
      <c r="E21" s="28"/>
      <c r="F21" s="28"/>
      <c r="G21" s="7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33" t="s">
        <v>361</v>
      </c>
      <c r="B22" s="201"/>
      <c r="C22" s="201"/>
      <c r="D22" s="201"/>
      <c r="E22" s="201"/>
      <c r="F22" s="201"/>
      <c r="G22" s="20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41" t="s">
        <v>369</v>
      </c>
      <c r="B23" s="201"/>
      <c r="C23" s="201"/>
      <c r="D23" s="201"/>
      <c r="E23" s="201"/>
      <c r="F23" s="201"/>
      <c r="G23" s="20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41" t="s">
        <v>371</v>
      </c>
      <c r="B24" s="201"/>
      <c r="C24" s="201"/>
      <c r="D24" s="201"/>
      <c r="E24" s="201"/>
      <c r="F24" s="201"/>
      <c r="G24" s="20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41" t="s">
        <v>373</v>
      </c>
      <c r="B25" s="201"/>
      <c r="C25" s="201"/>
      <c r="D25" s="201"/>
      <c r="E25" s="201"/>
      <c r="F25" s="201"/>
      <c r="G25" s="20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41" t="s">
        <v>374</v>
      </c>
      <c r="B26" s="201"/>
      <c r="C26" s="201"/>
      <c r="D26" s="201"/>
      <c r="E26" s="201"/>
      <c r="F26" s="201"/>
      <c r="G26" s="20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41" t="s">
        <v>375</v>
      </c>
      <c r="B27" s="28"/>
      <c r="C27" s="28"/>
      <c r="D27" s="28"/>
      <c r="E27" s="28"/>
      <c r="F27" s="28"/>
      <c r="G27" s="7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41" t="s">
        <v>377</v>
      </c>
      <c r="B28" s="28"/>
      <c r="C28" s="28"/>
      <c r="D28" s="28"/>
      <c r="E28" s="28"/>
      <c r="F28" s="28"/>
      <c r="G28" s="7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41" t="s">
        <v>375</v>
      </c>
      <c r="B29" s="201"/>
      <c r="C29" s="201"/>
      <c r="D29" s="201"/>
      <c r="E29" s="201"/>
      <c r="F29" s="201"/>
      <c r="G29" s="20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41" t="s">
        <v>379</v>
      </c>
      <c r="B30" s="28"/>
      <c r="C30" s="28"/>
      <c r="D30" s="28"/>
      <c r="E30" s="28"/>
      <c r="F30" s="28"/>
      <c r="G30" s="7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41" t="s">
        <v>380</v>
      </c>
      <c r="B31" s="28"/>
      <c r="C31" s="28"/>
      <c r="D31" s="28"/>
      <c r="E31" s="28"/>
      <c r="F31" s="28"/>
      <c r="G31" s="7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41" t="s">
        <v>382</v>
      </c>
      <c r="B32" s="28"/>
      <c r="C32" s="28"/>
      <c r="D32" s="28"/>
      <c r="E32" s="28"/>
      <c r="F32" s="28"/>
      <c r="G32" s="7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41" t="s">
        <v>383</v>
      </c>
      <c r="B33" s="201"/>
      <c r="C33" s="201"/>
      <c r="D33" s="201"/>
      <c r="E33" s="201"/>
      <c r="F33" s="201"/>
      <c r="G33" s="20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41" t="s">
        <v>385</v>
      </c>
      <c r="B34" s="28"/>
      <c r="C34" s="28"/>
      <c r="D34" s="28"/>
      <c r="E34" s="28"/>
      <c r="F34" s="28"/>
      <c r="G34" s="7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50" t="s">
        <v>386</v>
      </c>
      <c r="B35" s="51"/>
      <c r="C35" s="51"/>
      <c r="D35" s="51"/>
      <c r="E35" s="51"/>
      <c r="F35" s="51"/>
      <c r="G35" s="20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8" customWidth="1"/>
    <col min="2" max="14" width="14.85546875" customWidth="1"/>
    <col min="15" max="15" width="17.42578125" customWidth="1"/>
    <col min="16" max="24" width="11.42578125" customWidth="1"/>
    <col min="25" max="26" width="10" customWidth="1"/>
  </cols>
  <sheetData>
    <row r="1" spans="1:26" ht="12.75" customHeight="1">
      <c r="A1" s="2" t="s">
        <v>0</v>
      </c>
      <c r="B1" s="3"/>
      <c r="C1" s="3"/>
      <c r="D1" s="3"/>
      <c r="E1" s="1"/>
      <c r="F1" s="1"/>
      <c r="G1" s="4">
        <f>InfoInicial!E1</f>
        <v>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27" t="s">
        <v>387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131" t="s">
        <v>247</v>
      </c>
      <c r="B4" s="122" t="s">
        <v>358</v>
      </c>
      <c r="C4" s="122" t="s">
        <v>388</v>
      </c>
      <c r="D4" s="122" t="s">
        <v>250</v>
      </c>
      <c r="E4" s="122" t="s">
        <v>6</v>
      </c>
      <c r="F4" s="122" t="s">
        <v>251</v>
      </c>
      <c r="G4" s="122" t="s">
        <v>252</v>
      </c>
      <c r="H4" s="122" t="s">
        <v>389</v>
      </c>
      <c r="I4" s="122" t="s">
        <v>390</v>
      </c>
      <c r="J4" s="122" t="s">
        <v>53</v>
      </c>
      <c r="K4" s="122" t="s">
        <v>254</v>
      </c>
      <c r="L4" s="122" t="s">
        <v>255</v>
      </c>
      <c r="M4" s="143" t="s">
        <v>256</v>
      </c>
      <c r="N4" s="144" t="s">
        <v>257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45">
        <v>0</v>
      </c>
      <c r="B5" s="133"/>
      <c r="C5" s="30"/>
      <c r="D5" s="30"/>
      <c r="E5" s="30"/>
      <c r="F5" s="30"/>
      <c r="G5" s="30"/>
      <c r="H5" s="30"/>
      <c r="I5" s="30"/>
      <c r="J5" s="30"/>
      <c r="K5" s="30"/>
      <c r="L5" s="30"/>
      <c r="M5" s="124"/>
      <c r="N5" s="11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49">
        <v>1</v>
      </c>
      <c r="B6" s="135"/>
      <c r="C6" s="28"/>
      <c r="D6" s="28"/>
      <c r="E6" s="28"/>
      <c r="F6" s="28"/>
      <c r="G6" s="28"/>
      <c r="H6" s="28"/>
      <c r="I6" s="28"/>
      <c r="J6" s="28"/>
      <c r="K6" s="28"/>
      <c r="L6" s="28"/>
      <c r="M6" s="125"/>
      <c r="N6" s="7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49">
        <v>2</v>
      </c>
      <c r="B7" s="135"/>
      <c r="C7" s="28"/>
      <c r="D7" s="28"/>
      <c r="E7" s="28"/>
      <c r="F7" s="28"/>
      <c r="G7" s="28"/>
      <c r="H7" s="28"/>
      <c r="I7" s="28"/>
      <c r="J7" s="28"/>
      <c r="K7" s="28"/>
      <c r="L7" s="28"/>
      <c r="M7" s="125"/>
      <c r="N7" s="7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49">
        <v>3</v>
      </c>
      <c r="B8" s="135"/>
      <c r="C8" s="28"/>
      <c r="D8" s="28"/>
      <c r="E8" s="28"/>
      <c r="F8" s="28"/>
      <c r="G8" s="28"/>
      <c r="H8" s="28"/>
      <c r="I8" s="28"/>
      <c r="J8" s="28"/>
      <c r="K8" s="28"/>
      <c r="L8" s="28"/>
      <c r="M8" s="125"/>
      <c r="N8" s="7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49">
        <v>4</v>
      </c>
      <c r="B9" s="135"/>
      <c r="C9" s="28"/>
      <c r="D9" s="28"/>
      <c r="E9" s="28"/>
      <c r="F9" s="28"/>
      <c r="G9" s="28"/>
      <c r="H9" s="28"/>
      <c r="I9" s="28"/>
      <c r="J9" s="28"/>
      <c r="K9" s="28"/>
      <c r="L9" s="28"/>
      <c r="M9" s="125"/>
      <c r="N9" s="7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49">
        <v>5</v>
      </c>
      <c r="B10" s="135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125"/>
      <c r="N10" s="7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49"/>
      <c r="B11" s="135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25"/>
      <c r="N11" s="7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51" t="s">
        <v>258</v>
      </c>
      <c r="B12" s="141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89"/>
      <c r="N12" s="12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5" t="s">
        <v>259</v>
      </c>
      <c r="D14" s="20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32"/>
      <c r="B15" s="1"/>
      <c r="C15" s="15" t="s">
        <v>260</v>
      </c>
      <c r="D15" s="155"/>
      <c r="E15" s="1" t="s">
        <v>391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5" t="s">
        <v>392</v>
      </c>
      <c r="D16" s="20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209"/>
      <c r="B17" s="80"/>
      <c r="C17" s="80"/>
      <c r="D17" s="80"/>
      <c r="E17" s="80"/>
      <c r="F17" s="210"/>
      <c r="G17" s="210"/>
      <c r="H17" s="210"/>
      <c r="I17" s="210"/>
      <c r="J17" s="80"/>
      <c r="K17" s="210"/>
      <c r="L17" s="210"/>
      <c r="M17" s="210"/>
      <c r="N17" s="210"/>
      <c r="O17" s="8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11"/>
      <c r="B18" s="210"/>
      <c r="C18" s="212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21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27" t="s">
        <v>393</v>
      </c>
      <c r="B21" s="9"/>
      <c r="C21" s="9"/>
      <c r="D21" s="9"/>
      <c r="E21" s="9"/>
      <c r="F21" s="9"/>
      <c r="G21" s="9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8.25" customHeight="1">
      <c r="A22" s="131" t="s">
        <v>247</v>
      </c>
      <c r="B22" s="122" t="s">
        <v>394</v>
      </c>
      <c r="C22" s="122" t="s">
        <v>252</v>
      </c>
      <c r="D22" s="122" t="s">
        <v>368</v>
      </c>
      <c r="E22" s="122" t="s">
        <v>395</v>
      </c>
      <c r="F22" s="122" t="s">
        <v>255</v>
      </c>
      <c r="G22" s="143" t="s">
        <v>256</v>
      </c>
      <c r="H22" s="144" t="s">
        <v>257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45">
        <v>0</v>
      </c>
      <c r="B23" s="133"/>
      <c r="C23" s="30"/>
      <c r="D23" s="30"/>
      <c r="E23" s="30"/>
      <c r="F23" s="30"/>
      <c r="G23" s="124"/>
      <c r="H23" s="11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49">
        <v>1</v>
      </c>
      <c r="B24" s="135"/>
      <c r="C24" s="28"/>
      <c r="D24" s="28"/>
      <c r="E24" s="28"/>
      <c r="F24" s="28"/>
      <c r="G24" s="125"/>
      <c r="H24" s="7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49">
        <v>2</v>
      </c>
      <c r="B25" s="135"/>
      <c r="C25" s="28"/>
      <c r="D25" s="28"/>
      <c r="E25" s="28"/>
      <c r="F25" s="28"/>
      <c r="G25" s="125"/>
      <c r="H25" s="7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49">
        <v>3</v>
      </c>
      <c r="B26" s="135"/>
      <c r="C26" s="28"/>
      <c r="D26" s="28"/>
      <c r="E26" s="28"/>
      <c r="F26" s="28"/>
      <c r="G26" s="125"/>
      <c r="H26" s="7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49">
        <v>4</v>
      </c>
      <c r="B27" s="135"/>
      <c r="C27" s="28"/>
      <c r="D27" s="28"/>
      <c r="E27" s="28"/>
      <c r="F27" s="28"/>
      <c r="G27" s="125"/>
      <c r="H27" s="7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49">
        <v>5</v>
      </c>
      <c r="B28" s="135"/>
      <c r="C28" s="28"/>
      <c r="D28" s="28"/>
      <c r="E28" s="28"/>
      <c r="F28" s="28"/>
      <c r="G28" s="125"/>
      <c r="H28" s="7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49"/>
      <c r="B29" s="135"/>
      <c r="C29" s="28"/>
      <c r="D29" s="28"/>
      <c r="E29" s="28"/>
      <c r="F29" s="28"/>
      <c r="G29" s="125"/>
      <c r="H29" s="7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51" t="s">
        <v>258</v>
      </c>
      <c r="B30" s="141"/>
      <c r="C30" s="178"/>
      <c r="D30" s="178"/>
      <c r="E30" s="178"/>
      <c r="F30" s="178"/>
      <c r="G30" s="189"/>
      <c r="H30" s="12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5" t="s">
        <v>259</v>
      </c>
      <c r="D33" s="207"/>
      <c r="E33" s="1" t="s">
        <v>396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5" t="s">
        <v>260</v>
      </c>
      <c r="D34" s="155"/>
      <c r="E34" s="1" t="s">
        <v>397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5" t="s">
        <v>398</v>
      </c>
      <c r="D35" s="20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opLeftCell="A38" workbookViewId="0">
      <selection activeCell="J127" sqref="J126:J127"/>
    </sheetView>
  </sheetViews>
  <sheetFormatPr baseColWidth="10" defaultColWidth="14.42578125" defaultRowHeight="15" customHeight="1"/>
  <cols>
    <col min="1" max="1" width="41" customWidth="1"/>
    <col min="2" max="2" width="14.85546875" customWidth="1"/>
    <col min="3" max="6" width="15.85546875" bestFit="1" customWidth="1"/>
    <col min="7" max="7" width="17.42578125" customWidth="1"/>
    <col min="8" max="17" width="11.42578125" customWidth="1"/>
    <col min="18" max="26" width="1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2" t="s">
        <v>0</v>
      </c>
      <c r="B3" s="3"/>
      <c r="C3" s="3"/>
      <c r="D3" s="3"/>
      <c r="E3" s="4">
        <f>InfoInicial!E1</f>
        <v>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7" t="s">
        <v>3</v>
      </c>
      <c r="B4" s="9"/>
      <c r="C4" s="9"/>
      <c r="D4" s="9"/>
      <c r="E4" s="9"/>
      <c r="F4" s="1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2"/>
      <c r="B5" s="13" t="s">
        <v>12</v>
      </c>
      <c r="C5" s="13"/>
      <c r="D5" s="13"/>
      <c r="E5" s="13"/>
      <c r="F5" s="1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2" t="s">
        <v>14</v>
      </c>
      <c r="B6" s="17" t="s">
        <v>15</v>
      </c>
      <c r="C6" s="17" t="s">
        <v>20</v>
      </c>
      <c r="D6" s="17" t="s">
        <v>22</v>
      </c>
      <c r="E6" s="17" t="s">
        <v>23</v>
      </c>
      <c r="F6" s="19" t="s">
        <v>24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21" t="s">
        <v>29</v>
      </c>
      <c r="B7" s="28">
        <f t="shared" ref="B7:C7" si="0">(26098*30+12463*36)+(26135*30+1695*36)</f>
        <v>2076678</v>
      </c>
      <c r="C7" s="30">
        <f t="shared" si="0"/>
        <v>2076678</v>
      </c>
      <c r="D7" s="30">
        <f t="shared" ref="D7:F7" si="1">(40560*30+14537*36)+(40094*30+1653*36)</f>
        <v>3002460</v>
      </c>
      <c r="E7" s="30">
        <f t="shared" si="1"/>
        <v>3002460</v>
      </c>
      <c r="F7" s="30">
        <f t="shared" si="1"/>
        <v>3002460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34" t="s">
        <v>51</v>
      </c>
      <c r="C8" s="28"/>
      <c r="D8" s="28"/>
      <c r="E8" s="28"/>
      <c r="F8" s="3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33" t="s">
        <v>53</v>
      </c>
      <c r="B9" s="28">
        <f>'E-Inv AF y Am'!B8/InfoInicial!B8+'E-Inv AF y Am'!B9/InfoInicial!B9+'E-Inv AF y Am'!B12/InfoInicial!B10+'E-Inv AF y Am'!B15/InfoInicial!B11</f>
        <v>29500</v>
      </c>
      <c r="C9" s="28">
        <f>'E-Inv AF y Am'!B8/InfoInicial!B8+'E-Inv AF y Am'!B9/InfoInicial!B9+'E-Inv AF y Am'!B12/InfoInicial!B10+'E-Inv AF y Am'!B15/InfoInicial!B11</f>
        <v>29500</v>
      </c>
      <c r="D9" s="28">
        <f>'E-Inv AF y Am'!B8/InfoInicial!B8+'E-Inv AF y Am'!B9/InfoInicial!B9+'E-Inv AF y Am'!B12/InfoInicial!B10+'E-Inv AF y Am'!B15/InfoInicial!B11</f>
        <v>29500</v>
      </c>
      <c r="E9" s="28">
        <f>'E-Inv AF y Am'!B8/InfoInicial!B8+'E-Inv AF y Am'!B9/InfoInicial!B9+'E-Inv AF y Am'!B12/InfoInicial!B10+'E-Inv AF y Am'!B15/InfoInicial!B11</f>
        <v>29500</v>
      </c>
      <c r="F9" s="28">
        <f>'E-Inv AF y Am'!B8/InfoInicial!B8+'E-Inv AF y Am'!B9/InfoInicial!B9+'E-Inv AF y Am'!B12/InfoInicial!B10+'E-Inv AF y Am'!B15/InfoInicial!B11</f>
        <v>29500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33" t="s">
        <v>69</v>
      </c>
      <c r="B10" s="28">
        <f t="shared" ref="B10:F10" si="2">2*30000</f>
        <v>60000</v>
      </c>
      <c r="C10" s="28">
        <f t="shared" si="2"/>
        <v>60000</v>
      </c>
      <c r="D10" s="28">
        <f t="shared" si="2"/>
        <v>60000</v>
      </c>
      <c r="E10" s="28">
        <f t="shared" si="2"/>
        <v>60000</v>
      </c>
      <c r="F10" s="28">
        <f t="shared" si="2"/>
        <v>60000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3" t="s">
        <v>71</v>
      </c>
      <c r="B11" s="28">
        <f t="shared" ref="B11:F11" si="3">210000*5</f>
        <v>1050000</v>
      </c>
      <c r="C11" s="28">
        <f t="shared" si="3"/>
        <v>1050000</v>
      </c>
      <c r="D11" s="28">
        <f t="shared" si="3"/>
        <v>1050000</v>
      </c>
      <c r="E11" s="28">
        <f t="shared" si="3"/>
        <v>1050000</v>
      </c>
      <c r="F11" s="28">
        <f t="shared" si="3"/>
        <v>1050000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34" t="s">
        <v>73</v>
      </c>
      <c r="B12" s="28">
        <f t="shared" ref="B12:F12" si="4">3000*12</f>
        <v>36000</v>
      </c>
      <c r="C12" s="28">
        <f t="shared" si="4"/>
        <v>36000</v>
      </c>
      <c r="D12" s="28">
        <f t="shared" si="4"/>
        <v>36000</v>
      </c>
      <c r="E12" s="28">
        <f t="shared" si="4"/>
        <v>36000</v>
      </c>
      <c r="F12" s="28">
        <f t="shared" si="4"/>
        <v>36000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33" t="s">
        <v>76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33" t="s">
        <v>77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33" t="s">
        <v>28</v>
      </c>
      <c r="B15" s="28">
        <v>20000</v>
      </c>
      <c r="C15" s="28">
        <v>20000</v>
      </c>
      <c r="D15" s="28">
        <v>20000</v>
      </c>
      <c r="E15" s="28">
        <v>20000</v>
      </c>
      <c r="F15" s="28">
        <v>20000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41" t="s">
        <v>78</v>
      </c>
      <c r="B16" s="28">
        <f t="shared" ref="B16:F16" si="5">SUM(B7:B15)</f>
        <v>3272178</v>
      </c>
      <c r="C16" s="28">
        <f t="shared" si="5"/>
        <v>3272178</v>
      </c>
      <c r="D16" s="28">
        <f t="shared" si="5"/>
        <v>4197960</v>
      </c>
      <c r="E16" s="28">
        <f t="shared" si="5"/>
        <v>4197960</v>
      </c>
      <c r="F16" s="28">
        <f t="shared" si="5"/>
        <v>4197960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43"/>
      <c r="B17" s="44"/>
      <c r="C17" s="44"/>
      <c r="D17" s="44"/>
      <c r="E17" s="44"/>
      <c r="F17" s="45"/>
      <c r="G17" s="4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7" t="s">
        <v>89</v>
      </c>
      <c r="B18" s="48">
        <f t="shared" ref="B18:F18" si="6">(B9+B10+B11+B12+B13+B14+B15)/B16</f>
        <v>0.36535298507599523</v>
      </c>
      <c r="C18" s="48">
        <f t="shared" si="6"/>
        <v>0.36535298507599523</v>
      </c>
      <c r="D18" s="48">
        <f t="shared" si="6"/>
        <v>0.28478117943000886</v>
      </c>
      <c r="E18" s="48">
        <f t="shared" si="6"/>
        <v>0.28478117943000886</v>
      </c>
      <c r="F18" s="48">
        <f t="shared" si="6"/>
        <v>0.28478117943000886</v>
      </c>
      <c r="G18" s="1"/>
      <c r="H18" s="1"/>
      <c r="I18" s="1"/>
      <c r="J18" s="4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50" t="s">
        <v>92</v>
      </c>
      <c r="B19" s="52">
        <f>(B7+B8)/B16</f>
        <v>0.63464701492400477</v>
      </c>
      <c r="C19" s="52">
        <f t="shared" ref="C19:F19" si="7">(C8+C7)/C16</f>
        <v>0.63464701492400477</v>
      </c>
      <c r="D19" s="52">
        <f t="shared" si="7"/>
        <v>0.71521882056999109</v>
      </c>
      <c r="E19" s="52">
        <f t="shared" si="7"/>
        <v>0.71521882056999109</v>
      </c>
      <c r="F19" s="52">
        <f t="shared" si="7"/>
        <v>0.71521882056999109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55"/>
      <c r="B21" s="54" t="s">
        <v>97</v>
      </c>
      <c r="C21" s="54"/>
      <c r="D21" s="54"/>
      <c r="E21" s="54"/>
      <c r="F21" s="54"/>
      <c r="G21" s="5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2"/>
      <c r="B22" s="13" t="s">
        <v>98</v>
      </c>
      <c r="C22" s="13"/>
      <c r="D22" s="13"/>
      <c r="E22" s="13"/>
      <c r="F22" s="13"/>
      <c r="G22" s="14" t="s">
        <v>99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2" t="s">
        <v>14</v>
      </c>
      <c r="B23" s="57" t="s">
        <v>15</v>
      </c>
      <c r="C23" s="57" t="s">
        <v>20</v>
      </c>
      <c r="D23" s="57" t="s">
        <v>22</v>
      </c>
      <c r="E23" s="57" t="s">
        <v>23</v>
      </c>
      <c r="F23" s="57" t="s">
        <v>24</v>
      </c>
      <c r="G23" s="59" t="s">
        <v>15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25" t="s">
        <v>29</v>
      </c>
      <c r="B24" s="61" t="s">
        <v>105</v>
      </c>
      <c r="C24" s="63" t="s">
        <v>105</v>
      </c>
      <c r="D24" s="63" t="s">
        <v>105</v>
      </c>
      <c r="E24" s="63" t="s">
        <v>105</v>
      </c>
      <c r="F24" s="63" t="s">
        <v>105</v>
      </c>
      <c r="G24" s="65" t="s">
        <v>106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33" t="s">
        <v>107</v>
      </c>
      <c r="B25" s="67" t="s">
        <v>108</v>
      </c>
      <c r="C25" s="69" t="s">
        <v>108</v>
      </c>
      <c r="D25" s="69" t="s">
        <v>108</v>
      </c>
      <c r="E25" s="69" t="s">
        <v>108</v>
      </c>
      <c r="F25" s="69" t="s">
        <v>108</v>
      </c>
      <c r="G25" s="71" t="s">
        <v>109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33" t="s">
        <v>51</v>
      </c>
      <c r="B26" s="36"/>
      <c r="C26" s="36"/>
      <c r="D26" s="36"/>
      <c r="E26" s="36"/>
      <c r="F26" s="36"/>
      <c r="G26" s="3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33" t="s">
        <v>53</v>
      </c>
      <c r="B27" s="67">
        <v>1162.82</v>
      </c>
      <c r="C27" s="69">
        <v>1030.67</v>
      </c>
      <c r="D27" s="69">
        <v>1030.67</v>
      </c>
      <c r="E27" s="69">
        <v>1030.67</v>
      </c>
      <c r="F27" s="69">
        <v>1030.67</v>
      </c>
      <c r="G27" s="72" t="s">
        <v>110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33" t="s">
        <v>69</v>
      </c>
      <c r="B28" s="67" t="s">
        <v>111</v>
      </c>
      <c r="C28" s="69" t="s">
        <v>111</v>
      </c>
      <c r="D28" s="69" t="s">
        <v>111</v>
      </c>
      <c r="E28" s="69" t="s">
        <v>111</v>
      </c>
      <c r="F28" s="69" t="s">
        <v>111</v>
      </c>
      <c r="G28" s="7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33" t="s">
        <v>71</v>
      </c>
      <c r="B29" s="67" t="s">
        <v>112</v>
      </c>
      <c r="C29" s="69" t="s">
        <v>113</v>
      </c>
      <c r="D29" s="69" t="s">
        <v>113</v>
      </c>
      <c r="E29" s="69" t="s">
        <v>113</v>
      </c>
      <c r="F29" s="69" t="s">
        <v>113</v>
      </c>
      <c r="G29" s="71" t="s">
        <v>114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33" t="s">
        <v>115</v>
      </c>
      <c r="B30" s="75">
        <v>400</v>
      </c>
      <c r="C30" s="76" t="s">
        <v>116</v>
      </c>
      <c r="D30" s="67" t="s">
        <v>116</v>
      </c>
      <c r="E30" s="69" t="s">
        <v>116</v>
      </c>
      <c r="F30" s="69" t="s">
        <v>116</v>
      </c>
      <c r="G30" s="7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33" t="s">
        <v>117</v>
      </c>
      <c r="B31" s="75" t="s">
        <v>110</v>
      </c>
      <c r="C31" s="75" t="s">
        <v>110</v>
      </c>
      <c r="D31" s="75" t="s">
        <v>110</v>
      </c>
      <c r="E31" s="75" t="s">
        <v>110</v>
      </c>
      <c r="F31" s="75" t="s">
        <v>110</v>
      </c>
      <c r="G31" s="72" t="s">
        <v>110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33" t="s">
        <v>118</v>
      </c>
      <c r="B32" s="75" t="s">
        <v>110</v>
      </c>
      <c r="C32" s="75" t="s">
        <v>110</v>
      </c>
      <c r="D32" s="75" t="s">
        <v>110</v>
      </c>
      <c r="E32" s="75" t="s">
        <v>110</v>
      </c>
      <c r="F32" s="75" t="s">
        <v>110</v>
      </c>
      <c r="G32" s="72" t="s">
        <v>110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33" t="s">
        <v>119</v>
      </c>
      <c r="B33" s="28">
        <f t="shared" ref="B33:F33" si="8">B15/50</f>
        <v>400</v>
      </c>
      <c r="C33" s="28">
        <f t="shared" si="8"/>
        <v>400</v>
      </c>
      <c r="D33" s="28">
        <f t="shared" si="8"/>
        <v>400</v>
      </c>
      <c r="E33" s="28">
        <f t="shared" si="8"/>
        <v>400</v>
      </c>
      <c r="F33" s="28">
        <f t="shared" si="8"/>
        <v>400</v>
      </c>
      <c r="G33" s="7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50" t="s">
        <v>120</v>
      </c>
      <c r="B34" s="77">
        <v>106792.2</v>
      </c>
      <c r="C34" s="78">
        <v>103596.99</v>
      </c>
      <c r="D34" s="78">
        <v>103596.99</v>
      </c>
      <c r="E34" s="78">
        <v>103596.99</v>
      </c>
      <c r="F34" s="78">
        <v>103596.99</v>
      </c>
      <c r="G34" s="78" t="s">
        <v>121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32"/>
      <c r="B35" s="80"/>
      <c r="C35" s="80"/>
      <c r="D35" s="80"/>
      <c r="E35" s="80"/>
      <c r="F35" s="80"/>
      <c r="G35" s="8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60"/>
      <c r="B36" s="81" t="s">
        <v>122</v>
      </c>
      <c r="C36" s="81"/>
      <c r="D36" s="81"/>
      <c r="E36" s="81"/>
      <c r="F36" s="8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50"/>
      <c r="B37" s="57" t="s">
        <v>15</v>
      </c>
      <c r="C37" s="57" t="s">
        <v>20</v>
      </c>
      <c r="D37" s="57" t="s">
        <v>22</v>
      </c>
      <c r="E37" s="57" t="s">
        <v>23</v>
      </c>
      <c r="F37" s="19" t="s">
        <v>24</v>
      </c>
      <c r="G37" s="8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66" t="s">
        <v>78</v>
      </c>
      <c r="B38" s="30">
        <f t="shared" ref="B38:F38" si="9">B16+B34</f>
        <v>3378970.2</v>
      </c>
      <c r="C38" s="30">
        <f t="shared" si="9"/>
        <v>3375774.99</v>
      </c>
      <c r="D38" s="30">
        <f t="shared" si="9"/>
        <v>4301556.99</v>
      </c>
      <c r="E38" s="30">
        <f t="shared" si="9"/>
        <v>4301556.99</v>
      </c>
      <c r="F38" s="30">
        <f t="shared" si="9"/>
        <v>4301556.99</v>
      </c>
      <c r="G38" s="8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33" t="s">
        <v>123</v>
      </c>
      <c r="B39" s="28"/>
      <c r="C39" s="28"/>
      <c r="D39" s="28"/>
      <c r="E39" s="28"/>
      <c r="F39" s="35"/>
      <c r="G39" s="8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33" t="s">
        <v>124</v>
      </c>
      <c r="B40" s="28"/>
      <c r="C40" s="28"/>
      <c r="D40" s="28"/>
      <c r="E40" s="28"/>
      <c r="F40" s="35"/>
      <c r="G40" s="8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33" t="s">
        <v>125</v>
      </c>
      <c r="B41" s="28"/>
      <c r="C41" s="28"/>
      <c r="D41" s="28"/>
      <c r="E41" s="28"/>
      <c r="F41" s="73"/>
      <c r="G41" s="8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41" t="s">
        <v>126</v>
      </c>
      <c r="B42" s="83">
        <f t="shared" ref="B42:F42" si="10">B38-B40-B41</f>
        <v>3378970.2</v>
      </c>
      <c r="C42" s="83">
        <f t="shared" si="10"/>
        <v>3375774.99</v>
      </c>
      <c r="D42" s="83">
        <f t="shared" si="10"/>
        <v>4301556.99</v>
      </c>
      <c r="E42" s="83">
        <f t="shared" si="10"/>
        <v>4301556.99</v>
      </c>
      <c r="F42" s="83">
        <f t="shared" si="10"/>
        <v>4301556.99</v>
      </c>
      <c r="G42" s="8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47" t="s">
        <v>127</v>
      </c>
      <c r="B43" s="83">
        <f>B42/(70000+140000)</f>
        <v>16.090334285714288</v>
      </c>
      <c r="C43" s="83">
        <f t="shared" ref="C43:F43" si="11">C42/(78975+157950)</f>
        <v>14.248285280151947</v>
      </c>
      <c r="D43" s="83">
        <f t="shared" si="11"/>
        <v>18.155774992086105</v>
      </c>
      <c r="E43" s="83">
        <f t="shared" si="11"/>
        <v>18.155774992086105</v>
      </c>
      <c r="F43" s="83">
        <f t="shared" si="11"/>
        <v>18.155774992086105</v>
      </c>
      <c r="G43" s="8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47"/>
      <c r="B44" s="83"/>
      <c r="C44" s="83"/>
      <c r="D44" s="83"/>
      <c r="E44" s="83"/>
      <c r="F44" s="84"/>
      <c r="G44" s="8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47" t="s">
        <v>89</v>
      </c>
      <c r="B45" s="86"/>
      <c r="C45" s="87"/>
      <c r="D45" s="87"/>
      <c r="E45" s="87"/>
      <c r="F45" s="88"/>
      <c r="G45" s="8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50" t="s">
        <v>92</v>
      </c>
      <c r="B46" s="92"/>
      <c r="C46" s="92"/>
      <c r="D46" s="92"/>
      <c r="E46" s="92"/>
      <c r="F46" s="93"/>
      <c r="G46" s="8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53"/>
      <c r="B49" s="54" t="s">
        <v>131</v>
      </c>
      <c r="C49" s="54"/>
      <c r="D49" s="54"/>
      <c r="E49" s="54"/>
      <c r="F49" s="5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94" t="s">
        <v>14</v>
      </c>
      <c r="B50" s="17" t="s">
        <v>15</v>
      </c>
      <c r="C50" s="17" t="s">
        <v>20</v>
      </c>
      <c r="D50" s="17" t="s">
        <v>22</v>
      </c>
      <c r="E50" s="17" t="s">
        <v>23</v>
      </c>
      <c r="F50" s="19" t="s">
        <v>24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55" t="s">
        <v>132</v>
      </c>
      <c r="B51" s="98">
        <f t="shared" ref="B51:F51" si="12">2*20000</f>
        <v>40000</v>
      </c>
      <c r="C51" s="98">
        <f t="shared" si="12"/>
        <v>40000</v>
      </c>
      <c r="D51" s="98">
        <f t="shared" si="12"/>
        <v>40000</v>
      </c>
      <c r="E51" s="98">
        <f t="shared" si="12"/>
        <v>40000</v>
      </c>
      <c r="F51" s="98">
        <f t="shared" si="12"/>
        <v>40000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33" t="s">
        <v>134</v>
      </c>
      <c r="B52" s="1">
        <f>'E-Inv AF y Am'!$B$16/InfoInicial!$B$12</f>
        <v>80000</v>
      </c>
      <c r="C52" s="1">
        <f>'E-Inv AF y Am'!$B$16/InfoInicial!$B$12</f>
        <v>80000</v>
      </c>
      <c r="D52" s="1">
        <f>'E-Inv AF y Am'!$B$16/InfoInicial!$B$12</f>
        <v>80000</v>
      </c>
      <c r="E52" s="1">
        <f>'E-Inv AF y Am'!$B$16/InfoInicial!$B$12</f>
        <v>80000</v>
      </c>
      <c r="F52" s="1">
        <f>'E-Inv AF y Am'!$B$16/InfoInicial!$B$12</f>
        <v>80000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33" t="s">
        <v>71</v>
      </c>
      <c r="B53" s="28">
        <v>10000</v>
      </c>
      <c r="C53" s="28">
        <v>10000</v>
      </c>
      <c r="D53" s="28">
        <v>10000</v>
      </c>
      <c r="E53" s="28">
        <v>10000</v>
      </c>
      <c r="F53" s="28">
        <v>10000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33" t="s">
        <v>135</v>
      </c>
      <c r="B54" s="75">
        <v>12000</v>
      </c>
      <c r="C54" s="75">
        <v>12000</v>
      </c>
      <c r="D54" s="75">
        <v>12000</v>
      </c>
      <c r="E54" s="75">
        <v>12000</v>
      </c>
      <c r="F54" s="75">
        <v>12000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33" t="s">
        <v>136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33" t="s">
        <v>137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33" t="s">
        <v>77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33" t="s">
        <v>28</v>
      </c>
      <c r="B58" s="28">
        <v>10000</v>
      </c>
      <c r="C58" s="28">
        <v>10000</v>
      </c>
      <c r="D58" s="28">
        <v>10000</v>
      </c>
      <c r="E58" s="28">
        <v>10000</v>
      </c>
      <c r="F58" s="28">
        <v>10000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33"/>
      <c r="B59" s="89"/>
      <c r="C59" s="89"/>
      <c r="D59" s="89"/>
      <c r="E59" s="89"/>
      <c r="F59" s="10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41" t="s">
        <v>138</v>
      </c>
      <c r="B60" s="28">
        <f t="shared" ref="B60:F60" si="13">SUM(B51:B58)</f>
        <v>152000</v>
      </c>
      <c r="C60" s="28">
        <f t="shared" si="13"/>
        <v>152000</v>
      </c>
      <c r="D60" s="28">
        <f t="shared" si="13"/>
        <v>152000</v>
      </c>
      <c r="E60" s="28">
        <f t="shared" si="13"/>
        <v>152000</v>
      </c>
      <c r="F60" s="28">
        <f t="shared" si="13"/>
        <v>152000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41"/>
      <c r="B61" s="28"/>
      <c r="C61" s="28"/>
      <c r="D61" s="28"/>
      <c r="E61" s="28"/>
      <c r="F61" s="73"/>
      <c r="G61" s="80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47" t="s">
        <v>89</v>
      </c>
      <c r="B62" s="101">
        <f t="shared" ref="B62:F62" si="14">SUM(B51:B58)/B60</f>
        <v>1</v>
      </c>
      <c r="C62" s="101">
        <f t="shared" si="14"/>
        <v>1</v>
      </c>
      <c r="D62" s="101">
        <f t="shared" si="14"/>
        <v>1</v>
      </c>
      <c r="E62" s="101">
        <f t="shared" si="14"/>
        <v>1</v>
      </c>
      <c r="F62" s="101">
        <f t="shared" si="14"/>
        <v>1</v>
      </c>
      <c r="G62" s="80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50" t="s">
        <v>92</v>
      </c>
      <c r="B63" s="102">
        <v>0</v>
      </c>
      <c r="C63" s="102">
        <v>0</v>
      </c>
      <c r="D63" s="102">
        <v>0</v>
      </c>
      <c r="E63" s="102">
        <v>0</v>
      </c>
      <c r="F63" s="102">
        <v>0</v>
      </c>
      <c r="G63" s="8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53"/>
      <c r="B66" s="54" t="s">
        <v>139</v>
      </c>
      <c r="C66" s="54"/>
      <c r="D66" s="54"/>
      <c r="E66" s="54"/>
      <c r="F66" s="5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94" t="s">
        <v>14</v>
      </c>
      <c r="B67" s="17" t="s">
        <v>15</v>
      </c>
      <c r="C67" s="17" t="s">
        <v>20</v>
      </c>
      <c r="D67" s="17" t="s">
        <v>22</v>
      </c>
      <c r="E67" s="17" t="s">
        <v>23</v>
      </c>
      <c r="F67" s="19" t="s">
        <v>24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25" t="s">
        <v>132</v>
      </c>
      <c r="B68" s="30">
        <f t="shared" ref="B68:F68" si="15">2*20000</f>
        <v>40000</v>
      </c>
      <c r="C68" s="30">
        <f t="shared" si="15"/>
        <v>40000</v>
      </c>
      <c r="D68" s="30">
        <f t="shared" si="15"/>
        <v>40000</v>
      </c>
      <c r="E68" s="30">
        <f t="shared" si="15"/>
        <v>40000</v>
      </c>
      <c r="F68" s="30">
        <f t="shared" si="15"/>
        <v>40000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33" t="s">
        <v>134</v>
      </c>
      <c r="B69" s="28"/>
      <c r="C69" s="28"/>
      <c r="D69" s="28"/>
      <c r="E69" s="28"/>
      <c r="F69" s="3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33" t="s">
        <v>71</v>
      </c>
      <c r="B70" s="28">
        <v>10000</v>
      </c>
      <c r="C70" s="28">
        <v>10000</v>
      </c>
      <c r="D70" s="28">
        <v>10000</v>
      </c>
      <c r="E70" s="28">
        <v>10000</v>
      </c>
      <c r="F70" s="28">
        <v>10000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33" t="s">
        <v>140</v>
      </c>
      <c r="B71" s="28"/>
      <c r="C71" s="28"/>
      <c r="D71" s="28"/>
      <c r="E71" s="28"/>
      <c r="F71" s="7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33" t="s">
        <v>136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33" t="s">
        <v>137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33" t="s">
        <v>77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33" t="s">
        <v>28</v>
      </c>
      <c r="B75" s="28">
        <v>10000</v>
      </c>
      <c r="C75" s="28">
        <v>10000</v>
      </c>
      <c r="D75" s="28">
        <v>10000</v>
      </c>
      <c r="E75" s="28">
        <v>10000</v>
      </c>
      <c r="F75" s="28">
        <v>10000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33"/>
      <c r="B76" s="89"/>
      <c r="C76" s="89"/>
      <c r="D76" s="89"/>
      <c r="E76" s="89"/>
      <c r="F76" s="10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41" t="s">
        <v>141</v>
      </c>
      <c r="B77" s="28">
        <f t="shared" ref="B77:F77" si="16">SUM(B68:B75)</f>
        <v>60000</v>
      </c>
      <c r="C77" s="28">
        <f t="shared" si="16"/>
        <v>60000</v>
      </c>
      <c r="D77" s="28">
        <f t="shared" si="16"/>
        <v>60000</v>
      </c>
      <c r="E77" s="28">
        <f t="shared" si="16"/>
        <v>60000</v>
      </c>
      <c r="F77" s="28">
        <f t="shared" si="16"/>
        <v>60000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41"/>
      <c r="B78" s="28"/>
      <c r="C78" s="28"/>
      <c r="D78" s="28"/>
      <c r="E78" s="28"/>
      <c r="F78" s="7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47" t="s">
        <v>89</v>
      </c>
      <c r="B79" s="101">
        <f t="shared" ref="B79:F79" si="17">SUM(B68:B75)/B77</f>
        <v>1</v>
      </c>
      <c r="C79" s="101">
        <f t="shared" si="17"/>
        <v>1</v>
      </c>
      <c r="D79" s="101">
        <f t="shared" si="17"/>
        <v>1</v>
      </c>
      <c r="E79" s="101">
        <f t="shared" si="17"/>
        <v>1</v>
      </c>
      <c r="F79" s="101">
        <f t="shared" si="17"/>
        <v>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50" t="s">
        <v>92</v>
      </c>
      <c r="B80" s="102">
        <v>0</v>
      </c>
      <c r="C80" s="102">
        <v>0</v>
      </c>
      <c r="D80" s="102">
        <v>0</v>
      </c>
      <c r="E80" s="102">
        <v>0</v>
      </c>
      <c r="F80" s="102"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03" t="s">
        <v>142</v>
      </c>
      <c r="B83" s="104"/>
      <c r="C83" s="104"/>
      <c r="D83" s="104"/>
      <c r="E83" s="104"/>
      <c r="F83" s="10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33"/>
      <c r="B84" s="13" t="s">
        <v>15</v>
      </c>
      <c r="C84" s="13" t="s">
        <v>20</v>
      </c>
      <c r="D84" s="13" t="s">
        <v>22</v>
      </c>
      <c r="E84" s="13" t="s">
        <v>23</v>
      </c>
      <c r="F84" s="19" t="s">
        <v>24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33" t="s">
        <v>143</v>
      </c>
      <c r="B85" s="106">
        <f>(70000+140000)</f>
        <v>210000</v>
      </c>
      <c r="C85" s="106">
        <f t="shared" ref="C85:F85" si="18">(78975+157950)</f>
        <v>236925</v>
      </c>
      <c r="D85" s="106">
        <f t="shared" si="18"/>
        <v>236925</v>
      </c>
      <c r="E85" s="106">
        <f t="shared" si="18"/>
        <v>236925</v>
      </c>
      <c r="F85" s="106">
        <f t="shared" si="18"/>
        <v>236925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33" t="s">
        <v>144</v>
      </c>
      <c r="B86" s="75">
        <v>481</v>
      </c>
      <c r="C86" s="75">
        <v>481</v>
      </c>
      <c r="D86" s="75">
        <v>481</v>
      </c>
      <c r="E86" s="75">
        <v>481</v>
      </c>
      <c r="F86" s="75">
        <v>481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41" t="s">
        <v>145</v>
      </c>
      <c r="B87" s="28">
        <f t="shared" ref="B87:F87" si="19">B85*B86</f>
        <v>101010000</v>
      </c>
      <c r="C87" s="28">
        <f t="shared" si="19"/>
        <v>113960925</v>
      </c>
      <c r="D87" s="28">
        <f t="shared" si="19"/>
        <v>113960925</v>
      </c>
      <c r="E87" s="28">
        <f t="shared" si="19"/>
        <v>113960925</v>
      </c>
      <c r="F87" s="28">
        <f t="shared" si="19"/>
        <v>113960925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33"/>
      <c r="B88" s="28"/>
      <c r="C88" s="28"/>
      <c r="D88" s="28"/>
      <c r="E88" s="28"/>
      <c r="F88" s="7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33" t="s">
        <v>146</v>
      </c>
      <c r="B89" s="28">
        <f t="shared" ref="B89:F89" si="20">B7</f>
        <v>2076678</v>
      </c>
      <c r="C89" s="28">
        <f t="shared" si="20"/>
        <v>2076678</v>
      </c>
      <c r="D89" s="28">
        <f t="shared" si="20"/>
        <v>3002460</v>
      </c>
      <c r="E89" s="28">
        <f t="shared" si="20"/>
        <v>3002460</v>
      </c>
      <c r="F89" s="73">
        <f t="shared" si="20"/>
        <v>3002460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33" t="s">
        <v>107</v>
      </c>
      <c r="B90" s="28" t="str">
        <f t="shared" ref="B90:F90" si="21">B25</f>
        <v>$ 20.306,07</v>
      </c>
      <c r="C90" s="28" t="str">
        <f t="shared" si="21"/>
        <v>$ 20.306,07</v>
      </c>
      <c r="D90" s="28" t="str">
        <f t="shared" si="21"/>
        <v>$ 20.306,07</v>
      </c>
      <c r="E90" s="28" t="str">
        <f t="shared" si="21"/>
        <v>$ 20.306,07</v>
      </c>
      <c r="F90" s="73" t="str">
        <f t="shared" si="21"/>
        <v>$ 20.306,07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33" t="s">
        <v>147</v>
      </c>
      <c r="B91" s="28">
        <f>B8</f>
        <v>0</v>
      </c>
      <c r="C91" s="28"/>
      <c r="D91" s="28"/>
      <c r="E91" s="28"/>
      <c r="F91" s="7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33"/>
      <c r="B92" s="28"/>
      <c r="C92" s="28"/>
      <c r="D92" s="28"/>
      <c r="E92" s="28"/>
      <c r="F92" s="7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33" t="s">
        <v>148</v>
      </c>
      <c r="B93" s="107">
        <f t="shared" ref="B93:F93" si="22">B16</f>
        <v>3272178</v>
      </c>
      <c r="C93" s="107">
        <f t="shared" si="22"/>
        <v>3272178</v>
      </c>
      <c r="D93" s="107">
        <f t="shared" si="22"/>
        <v>4197960</v>
      </c>
      <c r="E93" s="107">
        <f t="shared" si="22"/>
        <v>4197960</v>
      </c>
      <c r="F93" s="108">
        <f t="shared" si="22"/>
        <v>4197960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33"/>
      <c r="B94" s="28"/>
      <c r="C94" s="28"/>
      <c r="D94" s="28"/>
      <c r="E94" s="28"/>
      <c r="F94" s="7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33" t="s">
        <v>123</v>
      </c>
      <c r="B95" s="28"/>
      <c r="C95" s="28"/>
      <c r="D95" s="28"/>
      <c r="E95" s="28"/>
      <c r="F95" s="7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38" t="s">
        <v>99</v>
      </c>
      <c r="B96" s="28"/>
      <c r="C96" s="28"/>
      <c r="D96" s="28"/>
      <c r="E96" s="28"/>
      <c r="F96" s="7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38" t="s">
        <v>125</v>
      </c>
      <c r="B97" s="28"/>
      <c r="C97" s="28"/>
      <c r="D97" s="28"/>
      <c r="E97" s="28"/>
      <c r="F97" s="7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33"/>
      <c r="B98" s="28"/>
      <c r="C98" s="28"/>
      <c r="D98" s="28"/>
      <c r="E98" s="28"/>
      <c r="F98" s="7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41" t="s">
        <v>149</v>
      </c>
      <c r="B99" s="28">
        <f t="shared" ref="B99:F99" si="23">B42</f>
        <v>3378970.2</v>
      </c>
      <c r="C99" s="28">
        <f t="shared" si="23"/>
        <v>3375774.99</v>
      </c>
      <c r="D99" s="28">
        <f t="shared" si="23"/>
        <v>4301556.99</v>
      </c>
      <c r="E99" s="28">
        <f t="shared" si="23"/>
        <v>4301556.99</v>
      </c>
      <c r="F99" s="28">
        <f t="shared" si="23"/>
        <v>4301556.99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38" t="s">
        <v>150</v>
      </c>
      <c r="B100" s="107">
        <f>70790+1141580</f>
        <v>1212370</v>
      </c>
      <c r="C100" s="107">
        <f t="shared" ref="C100:F100" si="24">(78975+157950)</f>
        <v>236925</v>
      </c>
      <c r="D100" s="107">
        <f t="shared" si="24"/>
        <v>236925</v>
      </c>
      <c r="E100" s="107">
        <f t="shared" si="24"/>
        <v>236925</v>
      </c>
      <c r="F100" s="107">
        <f t="shared" si="24"/>
        <v>236925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33" t="s">
        <v>151</v>
      </c>
      <c r="B101" s="28">
        <f t="shared" ref="B101:F101" si="25">B99/B100</f>
        <v>2.7870783671651393</v>
      </c>
      <c r="C101" s="28">
        <f t="shared" si="25"/>
        <v>14.248285280151947</v>
      </c>
      <c r="D101" s="28">
        <f t="shared" si="25"/>
        <v>18.155774992086105</v>
      </c>
      <c r="E101" s="28">
        <f t="shared" si="25"/>
        <v>18.155774992086105</v>
      </c>
      <c r="F101" s="28">
        <f t="shared" si="25"/>
        <v>18.155774992086105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33"/>
      <c r="B102" s="107"/>
      <c r="C102" s="107"/>
      <c r="D102" s="107"/>
      <c r="E102" s="107"/>
      <c r="F102" s="108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33" t="s">
        <v>123</v>
      </c>
      <c r="B103" s="107"/>
      <c r="C103" s="107"/>
      <c r="D103" s="107"/>
      <c r="E103" s="107"/>
      <c r="F103" s="108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33" t="s">
        <v>152</v>
      </c>
      <c r="B104" s="28"/>
      <c r="C104" s="28"/>
      <c r="D104" s="28"/>
      <c r="E104" s="28"/>
      <c r="F104" s="7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33"/>
      <c r="B105" s="107"/>
      <c r="C105" s="107"/>
      <c r="D105" s="107"/>
      <c r="E105" s="107"/>
      <c r="F105" s="108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41" t="s">
        <v>153</v>
      </c>
      <c r="B106" s="28">
        <f t="shared" ref="B106:F106" si="26">B99-B104</f>
        <v>3378970.2</v>
      </c>
      <c r="C106" s="28">
        <f t="shared" si="26"/>
        <v>3375774.99</v>
      </c>
      <c r="D106" s="28">
        <f t="shared" si="26"/>
        <v>4301556.99</v>
      </c>
      <c r="E106" s="28">
        <f t="shared" si="26"/>
        <v>4301556.99</v>
      </c>
      <c r="F106" s="28">
        <f t="shared" si="26"/>
        <v>4301556.99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33"/>
      <c r="B107" s="28"/>
      <c r="C107" s="28"/>
      <c r="D107" s="28"/>
      <c r="E107" s="28"/>
      <c r="F107" s="7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41" t="s">
        <v>154</v>
      </c>
      <c r="B108" s="28">
        <f t="shared" ref="B108:F108" si="27">B60</f>
        <v>152000</v>
      </c>
      <c r="C108" s="28">
        <f t="shared" si="27"/>
        <v>152000</v>
      </c>
      <c r="D108" s="28">
        <f t="shared" si="27"/>
        <v>152000</v>
      </c>
      <c r="E108" s="28">
        <f t="shared" si="27"/>
        <v>152000</v>
      </c>
      <c r="F108" s="28">
        <f t="shared" si="27"/>
        <v>152000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41" t="s">
        <v>155</v>
      </c>
      <c r="B109" s="107">
        <f t="shared" ref="B109:F109" si="28">B77</f>
        <v>60000</v>
      </c>
      <c r="C109" s="107">
        <f t="shared" si="28"/>
        <v>60000</v>
      </c>
      <c r="D109" s="107">
        <f t="shared" si="28"/>
        <v>60000</v>
      </c>
      <c r="E109" s="107">
        <f t="shared" si="28"/>
        <v>60000</v>
      </c>
      <c r="F109" s="107">
        <f t="shared" si="28"/>
        <v>60000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33"/>
      <c r="B110" s="107"/>
      <c r="C110" s="107"/>
      <c r="D110" s="107"/>
      <c r="E110" s="107"/>
      <c r="F110" s="10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41" t="s">
        <v>156</v>
      </c>
      <c r="B111" s="107">
        <f t="shared" ref="B111:F111" si="29">B106+B108+B109</f>
        <v>3590970.2</v>
      </c>
      <c r="C111" s="107">
        <f t="shared" si="29"/>
        <v>3587774.99</v>
      </c>
      <c r="D111" s="107">
        <f t="shared" si="29"/>
        <v>4513556.99</v>
      </c>
      <c r="E111" s="107">
        <f t="shared" si="29"/>
        <v>4513556.99</v>
      </c>
      <c r="F111" s="107">
        <f t="shared" si="29"/>
        <v>4513556.99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33"/>
      <c r="B112" s="107"/>
      <c r="C112" s="107"/>
      <c r="D112" s="107"/>
      <c r="E112" s="107"/>
      <c r="F112" s="108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41" t="s">
        <v>158</v>
      </c>
      <c r="B113" s="107">
        <f t="shared" ref="B113:F113" si="30">B111/B100</f>
        <v>2.9619424763067381</v>
      </c>
      <c r="C113" s="107">
        <f t="shared" si="30"/>
        <v>15.143083211986916</v>
      </c>
      <c r="D113" s="107">
        <f t="shared" si="30"/>
        <v>19.050572923921074</v>
      </c>
      <c r="E113" s="107">
        <f t="shared" si="30"/>
        <v>19.050572923921074</v>
      </c>
      <c r="F113" s="107">
        <f t="shared" si="30"/>
        <v>19.050572923921074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33"/>
      <c r="B114" s="107"/>
      <c r="C114" s="107"/>
      <c r="D114" s="107"/>
      <c r="E114" s="107"/>
      <c r="F114" s="108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41" t="s">
        <v>159</v>
      </c>
      <c r="B115" s="107">
        <f t="shared" ref="B115:F115" si="31">B87-B111</f>
        <v>97419029.799999997</v>
      </c>
      <c r="C115" s="107">
        <f t="shared" si="31"/>
        <v>110373150.01000001</v>
      </c>
      <c r="D115" s="107">
        <f t="shared" si="31"/>
        <v>109447368.01000001</v>
      </c>
      <c r="E115" s="107">
        <f t="shared" si="31"/>
        <v>109447368.01000001</v>
      </c>
      <c r="F115" s="107">
        <f t="shared" si="31"/>
        <v>109447368.01000001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41" t="s">
        <v>6</v>
      </c>
      <c r="B116" s="107">
        <f t="shared" ref="B116:F116" si="32">B115*0.3</f>
        <v>29225708.939999998</v>
      </c>
      <c r="C116" s="107">
        <f t="shared" si="32"/>
        <v>33111945.002999999</v>
      </c>
      <c r="D116" s="107">
        <f t="shared" si="32"/>
        <v>32834210.403000001</v>
      </c>
      <c r="E116" s="107">
        <f t="shared" si="32"/>
        <v>32834210.403000001</v>
      </c>
      <c r="F116" s="107">
        <f t="shared" si="32"/>
        <v>32834210.403000001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85" t="s">
        <v>160</v>
      </c>
      <c r="B117" s="107">
        <f t="shared" ref="B117:F117" si="33">(B115-B116)*0.35</f>
        <v>23867662.300999999</v>
      </c>
      <c r="C117" s="107">
        <f t="shared" si="33"/>
        <v>27041421.752449997</v>
      </c>
      <c r="D117" s="107">
        <f t="shared" si="33"/>
        <v>26814605.162450001</v>
      </c>
      <c r="E117" s="107">
        <f t="shared" si="33"/>
        <v>26814605.162450001</v>
      </c>
      <c r="F117" s="107">
        <f t="shared" si="33"/>
        <v>26814605.162450001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41"/>
      <c r="B118" s="107"/>
      <c r="C118" s="107"/>
      <c r="D118" s="107"/>
      <c r="E118" s="107"/>
      <c r="F118" s="10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85" t="s">
        <v>161</v>
      </c>
      <c r="B119" s="107">
        <f t="shared" ref="B119:F119" si="34">B115-B116-B117</f>
        <v>44325658.559</v>
      </c>
      <c r="C119" s="107">
        <f t="shared" si="34"/>
        <v>50219783.254550003</v>
      </c>
      <c r="D119" s="107">
        <f t="shared" si="34"/>
        <v>49798552.444550008</v>
      </c>
      <c r="E119" s="107">
        <f t="shared" si="34"/>
        <v>49798552.444550008</v>
      </c>
      <c r="F119" s="107">
        <f t="shared" si="34"/>
        <v>49798552.444550008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41" t="s">
        <v>162</v>
      </c>
      <c r="B120" s="109">
        <f t="shared" ref="B120:F120" si="35">(B119/B87)</f>
        <v>0.43882445855855856</v>
      </c>
      <c r="C120" s="109">
        <f t="shared" si="35"/>
        <v>0.44067546182649886</v>
      </c>
      <c r="D120" s="109">
        <f t="shared" si="35"/>
        <v>0.43697918777466932</v>
      </c>
      <c r="E120" s="109">
        <f t="shared" si="35"/>
        <v>0.43697918777466932</v>
      </c>
      <c r="F120" s="109">
        <f t="shared" si="35"/>
        <v>0.43697918777466932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41"/>
      <c r="B121" s="109"/>
      <c r="C121" s="109"/>
      <c r="D121" s="109"/>
      <c r="E121" s="109"/>
      <c r="F121" s="11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41" t="s">
        <v>163</v>
      </c>
      <c r="B122" s="109"/>
      <c r="C122" s="109"/>
      <c r="D122" s="109"/>
      <c r="E122" s="109"/>
      <c r="F122" s="11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85" t="s">
        <v>164</v>
      </c>
      <c r="B123" s="107">
        <f t="shared" ref="B123:F123" si="36">B119</f>
        <v>44325658.559</v>
      </c>
      <c r="C123" s="107">
        <f t="shared" si="36"/>
        <v>50219783.254550003</v>
      </c>
      <c r="D123" s="107">
        <f t="shared" si="36"/>
        <v>49798552.444550008</v>
      </c>
      <c r="E123" s="107">
        <f t="shared" si="36"/>
        <v>49798552.444550008</v>
      </c>
      <c r="F123" s="107">
        <f t="shared" si="36"/>
        <v>49798552.444550008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224" t="s">
        <v>165</v>
      </c>
      <c r="B124" s="225">
        <f t="shared" ref="B124:F124" si="37">B9+B27+B52+B69</f>
        <v>110662.82</v>
      </c>
      <c r="C124" s="225">
        <f t="shared" si="37"/>
        <v>110530.67</v>
      </c>
      <c r="D124" s="225">
        <f t="shared" si="37"/>
        <v>110530.67</v>
      </c>
      <c r="E124" s="225">
        <f t="shared" si="37"/>
        <v>110530.67</v>
      </c>
      <c r="F124" s="225">
        <f t="shared" si="37"/>
        <v>110530.67</v>
      </c>
      <c r="G124" s="1"/>
      <c r="H124" s="11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50" t="s">
        <v>166</v>
      </c>
      <c r="B125" s="107">
        <f t="shared" ref="B125:F125" si="38">B123+B124</f>
        <v>44436321.379000001</v>
      </c>
      <c r="C125" s="107">
        <f t="shared" si="38"/>
        <v>50330313.924550004</v>
      </c>
      <c r="D125" s="107">
        <f t="shared" si="38"/>
        <v>49909083.114550009</v>
      </c>
      <c r="E125" s="107">
        <f t="shared" si="38"/>
        <v>49909083.114550009</v>
      </c>
      <c r="F125" s="107">
        <f t="shared" si="38"/>
        <v>49909083.114550009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41"/>
      <c r="B126" s="36"/>
      <c r="C126" s="36"/>
      <c r="D126" s="36"/>
      <c r="E126" s="36"/>
      <c r="F126" s="3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41" t="s">
        <v>167</v>
      </c>
      <c r="B127" s="36">
        <f t="shared" ref="B127:F127" si="39">(B9+B10+B11+B12+B13+B14+B15)</f>
        <v>1195500</v>
      </c>
      <c r="C127" s="36">
        <f t="shared" si="39"/>
        <v>1195500</v>
      </c>
      <c r="D127" s="36">
        <f t="shared" si="39"/>
        <v>1195500</v>
      </c>
      <c r="E127" s="36">
        <f t="shared" si="39"/>
        <v>1195500</v>
      </c>
      <c r="F127" s="36">
        <f t="shared" si="39"/>
        <v>1195500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85" t="s">
        <v>168</v>
      </c>
      <c r="B128" s="112">
        <f t="shared" ref="B128:F128" si="40">(B7+B8)</f>
        <v>2076678</v>
      </c>
      <c r="C128" s="112">
        <f t="shared" si="40"/>
        <v>2076678</v>
      </c>
      <c r="D128" s="112">
        <f t="shared" si="40"/>
        <v>3002460</v>
      </c>
      <c r="E128" s="112">
        <f t="shared" si="40"/>
        <v>3002460</v>
      </c>
      <c r="F128" s="112">
        <f t="shared" si="40"/>
        <v>3002460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41" t="s">
        <v>169</v>
      </c>
      <c r="B129" s="112">
        <f t="shared" ref="B129:F129" si="41">SUM(B51:B58)</f>
        <v>152000</v>
      </c>
      <c r="C129" s="112">
        <f t="shared" si="41"/>
        <v>152000</v>
      </c>
      <c r="D129" s="112">
        <f t="shared" si="41"/>
        <v>152000</v>
      </c>
      <c r="E129" s="112">
        <f t="shared" si="41"/>
        <v>152000</v>
      </c>
      <c r="F129" s="112">
        <f t="shared" si="41"/>
        <v>152000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85" t="s">
        <v>170</v>
      </c>
      <c r="B130" s="39">
        <v>0</v>
      </c>
      <c r="C130" s="39">
        <v>0</v>
      </c>
      <c r="D130" s="39">
        <v>0</v>
      </c>
      <c r="E130" s="39">
        <v>0</v>
      </c>
      <c r="F130" s="39">
        <v>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41" t="s">
        <v>171</v>
      </c>
      <c r="B131" s="112">
        <f t="shared" ref="B131:F131" si="42">SUM(B68:B75)</f>
        <v>60000</v>
      </c>
      <c r="C131" s="112">
        <f t="shared" si="42"/>
        <v>60000</v>
      </c>
      <c r="D131" s="112">
        <f t="shared" si="42"/>
        <v>60000</v>
      </c>
      <c r="E131" s="112">
        <f t="shared" si="42"/>
        <v>60000</v>
      </c>
      <c r="F131" s="112">
        <f t="shared" si="42"/>
        <v>60000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85" t="s">
        <v>172</v>
      </c>
      <c r="B132" s="39">
        <v>0</v>
      </c>
      <c r="C132" s="39">
        <v>0</v>
      </c>
      <c r="D132" s="39">
        <v>0</v>
      </c>
      <c r="E132" s="39">
        <v>0</v>
      </c>
      <c r="F132" s="39">
        <v>0</v>
      </c>
      <c r="G132" s="113">
        <f t="shared" ref="G132:G133" si="43">B127+B129+B131</f>
        <v>1407500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41" t="s">
        <v>173</v>
      </c>
      <c r="B133" s="36">
        <f t="shared" ref="B133:F133" si="44">B87-(B128+B130+B131)</f>
        <v>98873322</v>
      </c>
      <c r="C133" s="36">
        <f t="shared" si="44"/>
        <v>111824247</v>
      </c>
      <c r="D133" s="36">
        <f t="shared" si="44"/>
        <v>110898465</v>
      </c>
      <c r="E133" s="36">
        <f t="shared" si="44"/>
        <v>110898465</v>
      </c>
      <c r="F133" s="36">
        <f t="shared" si="44"/>
        <v>110898465</v>
      </c>
      <c r="G133" s="113">
        <f t="shared" si="43"/>
        <v>2076678</v>
      </c>
      <c r="H133" s="11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50" t="s">
        <v>174</v>
      </c>
      <c r="B134" s="115">
        <f t="shared" ref="B134:F134" si="45">(B127+B129+B131)/(B87-(B127+B128+B129+B130+B131+B132))</f>
        <v>1.4432075230291316E-2</v>
      </c>
      <c r="C134" s="115">
        <f t="shared" si="45"/>
        <v>1.2740237545191296E-2</v>
      </c>
      <c r="D134" s="115">
        <f t="shared" si="45"/>
        <v>1.2847901431082784E-2</v>
      </c>
      <c r="E134" s="115">
        <f t="shared" si="45"/>
        <v>1.2847901431082784E-2</v>
      </c>
      <c r="F134" s="115">
        <f t="shared" si="45"/>
        <v>1.2847901431082784E-2</v>
      </c>
      <c r="G134" s="1"/>
      <c r="H134" s="11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16" t="s">
        <v>175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Z1000"/>
  <sheetViews>
    <sheetView topLeftCell="A34" workbookViewId="0">
      <selection activeCell="C26" sqref="C26"/>
    </sheetView>
  </sheetViews>
  <sheetFormatPr baseColWidth="10" defaultColWidth="14.42578125" defaultRowHeight="15" customHeight="1"/>
  <cols>
    <col min="1" max="1" width="45.42578125" customWidth="1"/>
    <col min="2" max="6" width="14.85546875" customWidth="1"/>
    <col min="7" max="7" width="17.5703125" customWidth="1"/>
    <col min="8" max="15" width="11.42578125" customWidth="1"/>
    <col min="16" max="26" width="10" customWidth="1"/>
  </cols>
  <sheetData>
    <row r="1" spans="1:26" ht="12.75" customHeight="1">
      <c r="A1" s="2" t="s">
        <v>1</v>
      </c>
      <c r="B1" s="3"/>
      <c r="C1" s="3"/>
      <c r="D1" s="3"/>
      <c r="E1" s="4">
        <f>InfoInicial!E1</f>
        <v>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0" t="s">
        <v>4</v>
      </c>
      <c r="B3" s="217" t="s">
        <v>11</v>
      </c>
      <c r="C3" s="218"/>
      <c r="D3" s="217" t="s">
        <v>13</v>
      </c>
      <c r="E3" s="2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8"/>
      <c r="B4" s="17" t="s">
        <v>27</v>
      </c>
      <c r="C4" s="17" t="s">
        <v>15</v>
      </c>
      <c r="D4" s="17" t="s">
        <v>27</v>
      </c>
      <c r="E4" s="19" t="s">
        <v>15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25"/>
      <c r="B5" s="27"/>
      <c r="C5" s="27"/>
      <c r="D5" s="27"/>
      <c r="E5" s="2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29" t="s">
        <v>37</v>
      </c>
      <c r="B6" s="31"/>
      <c r="C6" s="31"/>
      <c r="D6" s="31"/>
      <c r="E6" s="3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33" t="s">
        <v>50</v>
      </c>
      <c r="B7" s="36">
        <v>0</v>
      </c>
      <c r="C7" s="36">
        <v>0</v>
      </c>
      <c r="D7" s="36"/>
      <c r="E7" s="3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33" t="s">
        <v>54</v>
      </c>
      <c r="B8" s="36">
        <v>30000</v>
      </c>
      <c r="C8" s="36">
        <v>10000</v>
      </c>
      <c r="D8" s="36"/>
      <c r="E8" s="3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33" t="s">
        <v>55</v>
      </c>
      <c r="B9" s="36">
        <v>0</v>
      </c>
      <c r="C9" s="36">
        <v>0</v>
      </c>
      <c r="D9" s="36"/>
      <c r="E9" s="3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33" t="s">
        <v>56</v>
      </c>
      <c r="B10" s="1"/>
      <c r="C10" s="36"/>
      <c r="D10" s="36"/>
      <c r="E10" s="3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3" t="s">
        <v>62</v>
      </c>
      <c r="B11" s="36">
        <v>0</v>
      </c>
      <c r="C11" s="36">
        <v>0</v>
      </c>
      <c r="D11" s="36"/>
      <c r="E11" s="3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33" t="s">
        <v>63</v>
      </c>
      <c r="B12" s="36">
        <f>80000+110000+95000</f>
        <v>285000</v>
      </c>
      <c r="C12" s="36">
        <v>0</v>
      </c>
      <c r="D12" s="36"/>
      <c r="E12" s="3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38" t="s">
        <v>64</v>
      </c>
      <c r="B13" s="36">
        <v>0</v>
      </c>
      <c r="C13" s="36">
        <v>0</v>
      </c>
      <c r="D13" s="36"/>
      <c r="E13" s="3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33" t="s">
        <v>65</v>
      </c>
      <c r="B14" s="36">
        <v>20000</v>
      </c>
      <c r="C14" s="36">
        <v>0</v>
      </c>
      <c r="D14" s="36"/>
      <c r="E14" s="3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33" t="s">
        <v>66</v>
      </c>
      <c r="B15" s="36">
        <v>0</v>
      </c>
      <c r="C15" s="36">
        <v>0</v>
      </c>
      <c r="D15" s="36"/>
      <c r="E15" s="3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33" t="s">
        <v>67</v>
      </c>
      <c r="B16" s="36">
        <v>400000</v>
      </c>
      <c r="C16" s="36">
        <v>50000</v>
      </c>
      <c r="D16" s="36"/>
      <c r="E16" s="3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33" t="s">
        <v>68</v>
      </c>
      <c r="B17" s="36">
        <v>0</v>
      </c>
      <c r="C17" s="36">
        <v>0</v>
      </c>
      <c r="D17" s="36"/>
      <c r="E17" s="3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33" t="s">
        <v>28</v>
      </c>
      <c r="B18" s="39">
        <v>10000</v>
      </c>
      <c r="C18" s="39">
        <v>10000</v>
      </c>
      <c r="D18" s="36"/>
      <c r="E18" s="3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33"/>
      <c r="B19" s="36"/>
      <c r="C19" s="36"/>
      <c r="D19" s="36"/>
      <c r="E19" s="3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41" t="s">
        <v>72</v>
      </c>
      <c r="B20" s="36">
        <f t="shared" ref="B20:C20" si="0">SUM(B7:B18)</f>
        <v>745000</v>
      </c>
      <c r="C20" s="36">
        <f t="shared" si="0"/>
        <v>70000</v>
      </c>
      <c r="D20" s="36"/>
      <c r="E20" s="3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33"/>
      <c r="B21" s="36"/>
      <c r="C21" s="36"/>
      <c r="D21" s="36"/>
      <c r="E21" s="3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41" t="s">
        <v>80</v>
      </c>
      <c r="B22" s="36"/>
      <c r="C22" s="36"/>
      <c r="D22" s="36"/>
      <c r="E22" s="3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33" t="s">
        <v>81</v>
      </c>
      <c r="B23" s="39">
        <v>2000</v>
      </c>
      <c r="C23" s="39">
        <v>2000</v>
      </c>
      <c r="D23" s="36"/>
      <c r="E23" s="3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33" t="s">
        <v>82</v>
      </c>
      <c r="B24" s="39">
        <v>50000</v>
      </c>
      <c r="C24" s="36">
        <v>0</v>
      </c>
      <c r="D24" s="36"/>
      <c r="E24" s="3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33" t="s">
        <v>83</v>
      </c>
      <c r="B25" s="36"/>
      <c r="C25" s="36"/>
      <c r="D25" s="36"/>
      <c r="E25" s="3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38" t="s">
        <v>84</v>
      </c>
      <c r="B26" s="39">
        <v>0</v>
      </c>
      <c r="C26" s="42">
        <v>245000</v>
      </c>
      <c r="D26" s="36"/>
      <c r="E26" s="3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38" t="s">
        <v>85</v>
      </c>
      <c r="B27" s="36">
        <v>0</v>
      </c>
      <c r="C27" s="36">
        <v>0</v>
      </c>
      <c r="D27" s="36"/>
      <c r="E27" s="3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38" t="s">
        <v>86</v>
      </c>
      <c r="B28" s="36">
        <v>0</v>
      </c>
      <c r="C28" s="36">
        <v>0</v>
      </c>
      <c r="D28" s="36"/>
      <c r="E28" s="3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33" t="s">
        <v>28</v>
      </c>
      <c r="B29" s="39">
        <v>10000</v>
      </c>
      <c r="C29" s="39">
        <v>10000</v>
      </c>
      <c r="D29" s="36"/>
      <c r="E29" s="3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33"/>
      <c r="B30" s="36"/>
      <c r="C30" s="36"/>
      <c r="D30" s="36"/>
      <c r="E30" s="3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41" t="s">
        <v>87</v>
      </c>
      <c r="B31" s="36">
        <f t="shared" ref="B31:C31" si="1">SUM(B22:B29)</f>
        <v>62000</v>
      </c>
      <c r="C31" s="36">
        <f t="shared" si="1"/>
        <v>257000</v>
      </c>
      <c r="D31" s="36"/>
      <c r="E31" s="3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33"/>
      <c r="B32" s="36"/>
      <c r="C32" s="36"/>
      <c r="D32" s="36"/>
      <c r="E32" s="3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41" t="s">
        <v>88</v>
      </c>
      <c r="B33" s="36">
        <f t="shared" ref="B33:C33" si="2">B20+B31</f>
        <v>807000</v>
      </c>
      <c r="C33" s="36">
        <f t="shared" si="2"/>
        <v>327000</v>
      </c>
      <c r="D33" s="36"/>
      <c r="E33" s="3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41" t="s">
        <v>90</v>
      </c>
      <c r="B34" s="36">
        <f t="shared" ref="B34:C34" si="3">B33*0.21</f>
        <v>169470</v>
      </c>
      <c r="C34" s="36">
        <f t="shared" si="3"/>
        <v>68670</v>
      </c>
      <c r="D34" s="36"/>
      <c r="E34" s="3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33"/>
      <c r="B35" s="36"/>
      <c r="C35" s="36"/>
      <c r="D35" s="36"/>
      <c r="E35" s="3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49" t="s">
        <v>91</v>
      </c>
      <c r="B36" s="51">
        <f t="shared" ref="B36:C36" si="4">B33+B34</f>
        <v>976470</v>
      </c>
      <c r="C36" s="51">
        <f t="shared" si="4"/>
        <v>395670</v>
      </c>
      <c r="D36" s="51"/>
      <c r="E36" s="5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53" t="s">
        <v>93</v>
      </c>
      <c r="B39" s="54" t="s">
        <v>94</v>
      </c>
      <c r="C39" s="54" t="s">
        <v>95</v>
      </c>
      <c r="D39" s="217" t="s">
        <v>96</v>
      </c>
      <c r="E39" s="220"/>
      <c r="F39" s="21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50"/>
      <c r="B40" s="17" t="s">
        <v>100</v>
      </c>
      <c r="C40" s="17"/>
      <c r="D40" s="17" t="s">
        <v>101</v>
      </c>
      <c r="E40" s="17" t="s">
        <v>102</v>
      </c>
      <c r="F40" s="58" t="s">
        <v>103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60" t="s">
        <v>104</v>
      </c>
      <c r="B41" s="62"/>
      <c r="C41" s="62"/>
      <c r="D41" s="62"/>
      <c r="E41" s="62"/>
      <c r="F41" s="6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66"/>
      <c r="B42" s="68"/>
      <c r="C42" s="68"/>
      <c r="D42" s="68"/>
      <c r="E42" s="68"/>
      <c r="F42" s="7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33" t="s">
        <v>50</v>
      </c>
      <c r="B43" s="36">
        <v>0</v>
      </c>
      <c r="C43" s="36"/>
      <c r="D43" s="36"/>
      <c r="E43" s="36"/>
      <c r="F43" s="3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33" t="s">
        <v>54</v>
      </c>
      <c r="B44" s="36">
        <f>B8+C8</f>
        <v>40000</v>
      </c>
      <c r="C44" s="74">
        <f>1/InfoInicial!B8</f>
        <v>3.3333333333333333E-2</v>
      </c>
      <c r="D44" s="39">
        <f>C44*B44</f>
        <v>1333.3333333333333</v>
      </c>
      <c r="E44" s="39">
        <f>C44*B44</f>
        <v>1333.3333333333333</v>
      </c>
      <c r="F44" s="39">
        <f t="shared" ref="F44:F50" si="5">B44-D44*3-E44*2</f>
        <v>33333.333333333336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33" t="s">
        <v>55</v>
      </c>
      <c r="B45" s="36">
        <v>0</v>
      </c>
      <c r="C45" s="79">
        <f>1/InfoInicial!B9</f>
        <v>0.1</v>
      </c>
      <c r="D45" s="36"/>
      <c r="E45" s="36"/>
      <c r="F45" s="39">
        <f t="shared" si="5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38" t="s">
        <v>56</v>
      </c>
      <c r="B46" s="36">
        <f>B12+B14</f>
        <v>305000</v>
      </c>
      <c r="C46" s="74">
        <f>1/InfoInicial!B10</f>
        <v>0.1</v>
      </c>
      <c r="D46" s="36">
        <f t="shared" ref="D46:D50" si="6">C46*B46</f>
        <v>30500</v>
      </c>
      <c r="E46" s="36">
        <f t="shared" ref="E46:E50" si="7">C46*B46</f>
        <v>30500</v>
      </c>
      <c r="F46" s="39">
        <f t="shared" si="5"/>
        <v>152500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38" t="s">
        <v>66</v>
      </c>
      <c r="B47" s="36">
        <v>0</v>
      </c>
      <c r="C47" s="79">
        <f>1/InfoInicial!B11</f>
        <v>0.2</v>
      </c>
      <c r="D47" s="36">
        <f t="shared" si="6"/>
        <v>0</v>
      </c>
      <c r="E47" s="36">
        <f t="shared" si="7"/>
        <v>0</v>
      </c>
      <c r="F47" s="39">
        <f t="shared" si="5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38" t="s">
        <v>67</v>
      </c>
      <c r="B48" s="36">
        <f>B16+C16</f>
        <v>450000</v>
      </c>
      <c r="C48" s="74">
        <f>1/InfoInicial!B12</f>
        <v>0.2</v>
      </c>
      <c r="D48" s="36">
        <f t="shared" si="6"/>
        <v>90000</v>
      </c>
      <c r="E48" s="36">
        <f t="shared" si="7"/>
        <v>90000</v>
      </c>
      <c r="F48" s="39">
        <f t="shared" si="5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38" t="s">
        <v>28</v>
      </c>
      <c r="B49" s="36">
        <f>B18+C29</f>
        <v>20000</v>
      </c>
      <c r="C49" s="74">
        <f>1/5</f>
        <v>0.2</v>
      </c>
      <c r="D49" s="36">
        <f t="shared" si="6"/>
        <v>4000</v>
      </c>
      <c r="E49" s="36">
        <f t="shared" si="7"/>
        <v>4000</v>
      </c>
      <c r="F49" s="39">
        <f t="shared" si="5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38" t="s">
        <v>128</v>
      </c>
      <c r="B50" s="36">
        <v>0</v>
      </c>
      <c r="C50" s="79">
        <f>1/InfoInicial!B13</f>
        <v>0.33333333333333331</v>
      </c>
      <c r="D50" s="36">
        <f t="shared" si="6"/>
        <v>0</v>
      </c>
      <c r="E50" s="36">
        <f t="shared" si="7"/>
        <v>0</v>
      </c>
      <c r="F50" s="39">
        <f t="shared" si="5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85" t="s">
        <v>129</v>
      </c>
      <c r="B51" s="36">
        <f>SUM(B43:B50)</f>
        <v>815000</v>
      </c>
      <c r="C51" s="74"/>
      <c r="D51" s="39">
        <f t="shared" ref="D51:F51" si="8">SUM(D44:D50)</f>
        <v>125833.33333333333</v>
      </c>
      <c r="E51" s="39">
        <f t="shared" si="8"/>
        <v>125833.33333333333</v>
      </c>
      <c r="F51" s="39">
        <f t="shared" si="8"/>
        <v>185833.33333333334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41"/>
      <c r="B52" s="89"/>
      <c r="C52" s="90"/>
      <c r="D52" s="91"/>
      <c r="E52" s="91"/>
      <c r="F52" s="3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85" t="s">
        <v>130</v>
      </c>
      <c r="B53" s="36">
        <f>B31+C31</f>
        <v>319000</v>
      </c>
      <c r="C53" s="36">
        <f>1/InfoInicial!B14</f>
        <v>0.2</v>
      </c>
      <c r="D53" s="36">
        <f>C53*B53</f>
        <v>63800</v>
      </c>
      <c r="E53" s="36">
        <f>C53*B53</f>
        <v>63800</v>
      </c>
      <c r="F53" s="39">
        <f>B53-D53*3-E53*2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85"/>
      <c r="B54" s="36"/>
      <c r="C54" s="36"/>
      <c r="D54" s="36"/>
      <c r="E54" s="36"/>
      <c r="F54" s="3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41"/>
      <c r="B55" s="31"/>
      <c r="C55" s="31"/>
      <c r="D55" s="95"/>
      <c r="E55" s="96"/>
      <c r="F55" s="96"/>
      <c r="G55" s="1"/>
      <c r="H55" s="97"/>
      <c r="I55" s="9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49" t="s">
        <v>133</v>
      </c>
      <c r="B56" s="51">
        <f>SUM(B53,B51)</f>
        <v>1134000</v>
      </c>
      <c r="C56" s="51"/>
      <c r="D56" s="51">
        <f>D53+D51</f>
        <v>189633.33333333331</v>
      </c>
      <c r="E56" s="51">
        <f>SUM(E53,E51)</f>
        <v>189633.33333333331</v>
      </c>
      <c r="F56" s="51">
        <f>F53+F51</f>
        <v>185833.33333333334</v>
      </c>
      <c r="G56" s="1"/>
      <c r="H56" s="99"/>
      <c r="I56" s="9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3:C3"/>
    <mergeCell ref="D3:E3"/>
    <mergeCell ref="D39:F3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2" workbookViewId="0">
      <selection activeCell="B38" sqref="B38"/>
    </sheetView>
  </sheetViews>
  <sheetFormatPr baseColWidth="10" defaultColWidth="14.42578125" defaultRowHeight="15" customHeight="1"/>
  <cols>
    <col min="1" max="1" width="45.5703125" customWidth="1"/>
    <col min="2" max="2" width="16.7109375" customWidth="1"/>
    <col min="3" max="7" width="14.85546875" customWidth="1"/>
    <col min="8" max="8" width="17.42578125" customWidth="1"/>
    <col min="9" max="17" width="11.42578125" customWidth="1"/>
    <col min="18" max="26" width="10" customWidth="1"/>
  </cols>
  <sheetData>
    <row r="1" spans="1:26" ht="12.75" customHeight="1">
      <c r="A1" s="2" t="s">
        <v>0</v>
      </c>
      <c r="B1" s="3"/>
      <c r="C1" s="3"/>
      <c r="D1" s="3"/>
      <c r="E1" s="4">
        <f>InfoInicial!E1</f>
        <v>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2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7" t="s">
        <v>176</v>
      </c>
      <c r="B3" s="9"/>
      <c r="C3" s="9"/>
      <c r="D3" s="9"/>
      <c r="E3" s="9"/>
      <c r="F3" s="9"/>
      <c r="G3" s="1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2" t="s">
        <v>14</v>
      </c>
      <c r="B4" s="17" t="s">
        <v>27</v>
      </c>
      <c r="C4" s="17" t="s">
        <v>15</v>
      </c>
      <c r="D4" s="17" t="s">
        <v>20</v>
      </c>
      <c r="E4" s="17" t="s">
        <v>22</v>
      </c>
      <c r="F4" s="17" t="s">
        <v>23</v>
      </c>
      <c r="G4" s="19" t="s">
        <v>24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17" t="s">
        <v>177</v>
      </c>
      <c r="B5" s="30"/>
      <c r="C5" s="30"/>
      <c r="D5" s="30"/>
      <c r="E5" s="30"/>
      <c r="F5" s="30"/>
      <c r="G5" s="11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17" t="s">
        <v>178</v>
      </c>
      <c r="B6" s="28"/>
      <c r="C6" s="28">
        <f>'E-Costos'!B87*0.02</f>
        <v>2020200</v>
      </c>
      <c r="D6" s="28">
        <f>'E-Costos'!C87*0.02</f>
        <v>2279218.5</v>
      </c>
      <c r="E6" s="28">
        <f>'E-Costos'!D87*0.02</f>
        <v>2279218.5</v>
      </c>
      <c r="F6" s="28">
        <f>'E-Costos'!E87*0.02</f>
        <v>2279218.5</v>
      </c>
      <c r="G6" s="28">
        <f>'E-Costos'!F87*0.02</f>
        <v>2279218.5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17" t="s">
        <v>179</v>
      </c>
      <c r="B7" s="28"/>
      <c r="C7" s="28">
        <f>(30/365)*'E-Costos'!B87</f>
        <v>8302191.7808219176</v>
      </c>
      <c r="D7" s="28">
        <f>(30/365)*'E-Costos'!C87</f>
        <v>9366651.3698630128</v>
      </c>
      <c r="E7" s="28">
        <f>(30/365)*'E-Costos'!D87</f>
        <v>9366651.3698630128</v>
      </c>
      <c r="F7" s="28">
        <f>(30/365)*'E-Costos'!E87</f>
        <v>9366651.3698630128</v>
      </c>
      <c r="G7" s="28">
        <f>(30/365)*'E-Costos'!F87</f>
        <v>9366651.3698630128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19"/>
      <c r="B8" s="28"/>
      <c r="C8" s="28"/>
      <c r="D8" s="28"/>
      <c r="E8" s="28"/>
      <c r="F8" s="28"/>
      <c r="G8" s="7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17" t="s">
        <v>180</v>
      </c>
      <c r="B9" s="28"/>
      <c r="C9" s="28"/>
      <c r="D9" s="28"/>
      <c r="E9" s="28"/>
      <c r="F9" s="28"/>
      <c r="G9" s="7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19" t="s">
        <v>181</v>
      </c>
      <c r="B10" s="28">
        <f>(7005*36+273*30)+7005*36+2471*30</f>
        <v>586680</v>
      </c>
      <c r="C10" s="28">
        <f>(1874+1876)*36+(748+102)*30</f>
        <v>160500</v>
      </c>
      <c r="D10" s="75">
        <v>0</v>
      </c>
      <c r="E10" s="75">
        <v>0</v>
      </c>
      <c r="F10" s="75">
        <v>0</v>
      </c>
      <c r="G10" s="75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19" t="s">
        <v>182</v>
      </c>
      <c r="B11" s="75"/>
      <c r="C11" s="75">
        <f>(70000+140000)*2</f>
        <v>420000</v>
      </c>
      <c r="D11" s="75">
        <v>0</v>
      </c>
      <c r="E11" s="75">
        <v>0</v>
      </c>
      <c r="F11" s="75">
        <v>0</v>
      </c>
      <c r="G11" s="75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226" t="s">
        <v>183</v>
      </c>
      <c r="B12" s="227" t="s">
        <v>110</v>
      </c>
      <c r="C12" s="228">
        <f>'E-Costos'!B43*845.75</f>
        <v>13608.40022214286</v>
      </c>
      <c r="D12" s="228">
        <f>'E-Costos'!C43*845.75</f>
        <v>12050.487275688509</v>
      </c>
      <c r="E12" s="228">
        <f>'E-Costos'!D43*845.75</f>
        <v>15355.246699556823</v>
      </c>
      <c r="F12" s="228">
        <f>'E-Costos'!E43*845.75</f>
        <v>15355.246699556823</v>
      </c>
      <c r="G12" s="228">
        <f>'E-Costos'!F43*845.75</f>
        <v>15355.246699556823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229" t="s">
        <v>184</v>
      </c>
      <c r="B13" s="230"/>
      <c r="C13" s="230">
        <f>(790+1580)*481</f>
        <v>1139970</v>
      </c>
      <c r="D13" s="230">
        <v>0</v>
      </c>
      <c r="E13" s="230">
        <v>0</v>
      </c>
      <c r="F13" s="230">
        <v>0</v>
      </c>
      <c r="G13" s="230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229"/>
      <c r="B14" s="230"/>
      <c r="C14" s="230"/>
      <c r="D14" s="230"/>
      <c r="E14" s="230"/>
      <c r="F14" s="230"/>
      <c r="G14" s="23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232" t="s">
        <v>185</v>
      </c>
      <c r="B15" s="230">
        <f t="shared" ref="B15:C15" si="0">SUM(B6:B7,B10:B13)</f>
        <v>586680</v>
      </c>
      <c r="C15" s="230">
        <f t="shared" si="0"/>
        <v>12056470.181044061</v>
      </c>
      <c r="D15" s="230">
        <v>0</v>
      </c>
      <c r="E15" s="230">
        <v>0</v>
      </c>
      <c r="F15" s="230">
        <v>0</v>
      </c>
      <c r="G15" s="230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232" t="s">
        <v>186</v>
      </c>
      <c r="B16" s="230"/>
      <c r="C16" s="230"/>
      <c r="D16" s="230"/>
      <c r="E16" s="230"/>
      <c r="F16" s="230"/>
      <c r="G16" s="23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226" t="s">
        <v>187</v>
      </c>
      <c r="B17" s="230"/>
      <c r="C17" s="233">
        <v>1162.82</v>
      </c>
      <c r="D17" s="234">
        <v>1030.67</v>
      </c>
      <c r="E17" s="234">
        <v>1030.67</v>
      </c>
      <c r="F17" s="234">
        <v>1030.67</v>
      </c>
      <c r="G17" s="234">
        <v>1030.67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226" t="s">
        <v>188</v>
      </c>
      <c r="B18" s="230"/>
      <c r="C18" s="227">
        <f>('E-Costos'!B9-'E-Costos'!B27)*0.02231</f>
        <v>632.20248579999998</v>
      </c>
      <c r="D18" s="227">
        <f>('E-Costos'!D9-'E-Costos'!D27)*0.011156</f>
        <v>317.60384548000002</v>
      </c>
      <c r="E18" s="227">
        <f>('E-Costos'!E9-'E-Costos'!E27)*0.011156</f>
        <v>317.60384548000002</v>
      </c>
      <c r="F18" s="227">
        <f>('E-Costos'!F9-'E-Costos'!F27)*0.011156</f>
        <v>317.60384548000002</v>
      </c>
      <c r="G18" s="227">
        <f>F18</f>
        <v>317.60384548000002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226" t="s">
        <v>189</v>
      </c>
      <c r="B19" s="227"/>
      <c r="C19" s="227"/>
      <c r="D19" s="227"/>
      <c r="E19" s="227"/>
      <c r="F19" s="227"/>
      <c r="G19" s="23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226" t="s">
        <v>190</v>
      </c>
      <c r="B20" s="227"/>
      <c r="C20" s="227"/>
      <c r="D20" s="227"/>
      <c r="E20" s="227"/>
      <c r="F20" s="227"/>
      <c r="G20" s="23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229"/>
      <c r="B21" s="230"/>
      <c r="C21" s="230"/>
      <c r="D21" s="230"/>
      <c r="E21" s="230"/>
      <c r="F21" s="230"/>
      <c r="G21" s="231"/>
      <c r="H21" s="11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232" t="s">
        <v>191</v>
      </c>
      <c r="B22" s="230">
        <f t="shared" ref="B22:G22" si="1">B15-SUM(B17:B20)</f>
        <v>586680</v>
      </c>
      <c r="C22" s="230">
        <f t="shared" si="1"/>
        <v>12054675.158558261</v>
      </c>
      <c r="D22" s="230">
        <f t="shared" si="1"/>
        <v>-1348.2738454800001</v>
      </c>
      <c r="E22" s="230">
        <f t="shared" si="1"/>
        <v>-1348.2738454800001</v>
      </c>
      <c r="F22" s="230">
        <f t="shared" si="1"/>
        <v>-1348.2738454800001</v>
      </c>
      <c r="G22" s="230">
        <f t="shared" si="1"/>
        <v>-1348.2738454800001</v>
      </c>
      <c r="H22" s="1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229"/>
      <c r="B23" s="230"/>
      <c r="C23" s="230"/>
      <c r="D23" s="230"/>
      <c r="E23" s="230"/>
      <c r="F23" s="230"/>
      <c r="G23" s="231"/>
      <c r="H23" s="11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232" t="s">
        <v>192</v>
      </c>
      <c r="B24" s="230">
        <v>0</v>
      </c>
      <c r="C24" s="230">
        <v>0</v>
      </c>
      <c r="D24" s="230">
        <v>0</v>
      </c>
      <c r="E24" s="230">
        <v>0</v>
      </c>
      <c r="F24" s="230">
        <v>0</v>
      </c>
      <c r="G24" s="230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17" t="s">
        <v>193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19"/>
      <c r="B26" s="28"/>
      <c r="C26" s="28"/>
      <c r="D26" s="28"/>
      <c r="E26" s="28"/>
      <c r="F26" s="28"/>
      <c r="G26" s="7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17" t="s">
        <v>194</v>
      </c>
      <c r="B27" s="75"/>
      <c r="C27" s="28"/>
      <c r="D27" s="28"/>
      <c r="E27" s="28"/>
      <c r="F27" s="28"/>
      <c r="G27" s="73"/>
      <c r="H27" s="236" t="s">
        <v>195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19" t="s">
        <v>196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19" t="s">
        <v>197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19" t="s">
        <v>198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19" t="s">
        <v>199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19" t="s">
        <v>200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19" t="s">
        <v>201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17" t="s">
        <v>202</v>
      </c>
      <c r="B34" s="44"/>
      <c r="C34" s="44"/>
      <c r="D34" s="44"/>
      <c r="E34" s="44"/>
      <c r="F34" s="44"/>
      <c r="G34" s="4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19"/>
      <c r="B35" s="44"/>
      <c r="C35" s="44"/>
      <c r="D35" s="44"/>
      <c r="E35" s="44"/>
      <c r="F35" s="44"/>
      <c r="G35" s="4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20" t="s">
        <v>203</v>
      </c>
      <c r="B36" s="121">
        <v>0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>
      <selection activeCell="I18" sqref="I18"/>
    </sheetView>
  </sheetViews>
  <sheetFormatPr baseColWidth="10" defaultColWidth="14.42578125" defaultRowHeight="15" customHeight="1"/>
  <cols>
    <col min="1" max="1" width="28.140625" customWidth="1"/>
    <col min="2" max="2" width="14" customWidth="1"/>
    <col min="3" max="3" width="13.85546875" bestFit="1" customWidth="1"/>
    <col min="4" max="8" width="14.85546875" bestFit="1" customWidth="1"/>
    <col min="9" max="9" width="15.85546875" bestFit="1" customWidth="1"/>
    <col min="10" max="10" width="17.42578125" customWidth="1"/>
    <col min="11" max="19" width="11.42578125" customWidth="1"/>
    <col min="20" max="26" width="10" customWidth="1"/>
  </cols>
  <sheetData>
    <row r="1" spans="1:26" ht="12.75" customHeight="1">
      <c r="A1" s="2" t="s">
        <v>0</v>
      </c>
      <c r="B1" s="3"/>
      <c r="C1" s="3"/>
      <c r="D1" s="3"/>
      <c r="E1" s="1"/>
      <c r="F1" s="1"/>
      <c r="G1" s="4">
        <f>InfoInicial!E1</f>
        <v>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7" t="s">
        <v>204</v>
      </c>
      <c r="B3" s="9"/>
      <c r="C3" s="9"/>
      <c r="D3" s="9"/>
      <c r="E3" s="9"/>
      <c r="F3" s="9"/>
      <c r="G3" s="9"/>
      <c r="H3" s="9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12" t="s">
        <v>14</v>
      </c>
      <c r="B4" s="122" t="s">
        <v>205</v>
      </c>
      <c r="C4" s="122" t="s">
        <v>206</v>
      </c>
      <c r="D4" s="17" t="s">
        <v>15</v>
      </c>
      <c r="E4" s="17" t="s">
        <v>20</v>
      </c>
      <c r="F4" s="17" t="s">
        <v>22</v>
      </c>
      <c r="G4" s="17" t="s">
        <v>23</v>
      </c>
      <c r="H4" s="123" t="s">
        <v>24</v>
      </c>
      <c r="I4" s="19" t="s">
        <v>207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17" t="s">
        <v>208</v>
      </c>
      <c r="B5" s="30"/>
      <c r="C5" s="30"/>
      <c r="D5" s="30"/>
      <c r="E5" s="30"/>
      <c r="F5" s="30"/>
      <c r="G5" s="30"/>
      <c r="H5" s="124"/>
      <c r="I5" s="11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19" t="s">
        <v>209</v>
      </c>
      <c r="B6" s="28"/>
      <c r="C6" s="28">
        <f>'E-Inv AF y Am'!B20</f>
        <v>745000</v>
      </c>
      <c r="D6" s="28">
        <f>'E-Inv AF y Am'!C20</f>
        <v>70000</v>
      </c>
      <c r="E6" s="28"/>
      <c r="F6" s="28"/>
      <c r="G6" s="28"/>
      <c r="H6" s="125"/>
      <c r="I6" s="73">
        <f t="shared" ref="I6:I8" si="0">SUM(B6:H6)</f>
        <v>815000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19" t="s">
        <v>210</v>
      </c>
      <c r="B7" s="28"/>
      <c r="C7" s="28">
        <f>'E-Inv AF y Am'!B31</f>
        <v>62000</v>
      </c>
      <c r="D7" s="28">
        <f>'E-Inv AF y Am'!C31</f>
        <v>257000</v>
      </c>
      <c r="E7" s="28"/>
      <c r="F7" s="28"/>
      <c r="G7" s="28"/>
      <c r="H7" s="125"/>
      <c r="I7" s="73">
        <f t="shared" si="0"/>
        <v>319000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17" t="s">
        <v>211</v>
      </c>
      <c r="B8" s="28"/>
      <c r="C8" s="28">
        <f t="shared" ref="C8:D8" si="1">SUM(C6:C7)</f>
        <v>807000</v>
      </c>
      <c r="D8" s="28">
        <f t="shared" si="1"/>
        <v>327000</v>
      </c>
      <c r="E8" s="28"/>
      <c r="F8" s="28"/>
      <c r="G8" s="28"/>
      <c r="H8" s="125"/>
      <c r="I8" s="73">
        <f t="shared" si="0"/>
        <v>1134000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19"/>
      <c r="B9" s="28"/>
      <c r="C9" s="28"/>
      <c r="D9" s="28"/>
      <c r="E9" s="28"/>
      <c r="F9" s="28"/>
      <c r="G9" s="28"/>
      <c r="H9" s="125"/>
      <c r="I9" s="7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17" t="s">
        <v>212</v>
      </c>
      <c r="B10" s="28"/>
      <c r="C10" s="28"/>
      <c r="D10" s="28">
        <f>'E-InvAT'!D5</f>
        <v>0</v>
      </c>
      <c r="E10" s="28"/>
      <c r="F10" s="28"/>
      <c r="G10" s="28"/>
      <c r="H10" s="125"/>
      <c r="I10" s="7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19" t="s">
        <v>213</v>
      </c>
      <c r="B11" s="28"/>
      <c r="C11" s="28"/>
      <c r="D11" s="28">
        <f>'E-InvAT'!C6</f>
        <v>2020200</v>
      </c>
      <c r="E11" s="28">
        <f>'E-InvAT'!D6</f>
        <v>2279218.5</v>
      </c>
      <c r="F11" s="28">
        <f>'E-InvAT'!E6</f>
        <v>2279218.5</v>
      </c>
      <c r="G11" s="28">
        <f>'E-InvAT'!F6</f>
        <v>2279218.5</v>
      </c>
      <c r="H11" s="28">
        <f>'E-InvAT'!G6</f>
        <v>2279218.5</v>
      </c>
      <c r="I11" s="73">
        <f t="shared" ref="I11:I12" si="2">SUM(B11:H11)</f>
        <v>11137074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19" t="s">
        <v>214</v>
      </c>
      <c r="B12" s="28"/>
      <c r="C12" s="28"/>
      <c r="D12" s="28">
        <f>'E-InvAT'!C7</f>
        <v>8302191.7808219176</v>
      </c>
      <c r="E12" s="28">
        <f>'E-InvAT'!D7</f>
        <v>9366651.3698630128</v>
      </c>
      <c r="F12" s="28">
        <f>'E-InvAT'!E7</f>
        <v>9366651.3698630128</v>
      </c>
      <c r="G12" s="28">
        <f>'E-InvAT'!F7</f>
        <v>9366651.3698630128</v>
      </c>
      <c r="H12" s="28">
        <f>'E-InvAT'!G7</f>
        <v>9366651.3698630128</v>
      </c>
      <c r="I12" s="73">
        <f t="shared" si="2"/>
        <v>45768797.260273963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17" t="s">
        <v>215</v>
      </c>
      <c r="B13" s="28"/>
      <c r="C13" s="28"/>
      <c r="D13" s="28"/>
      <c r="E13" s="28"/>
      <c r="F13" s="28"/>
      <c r="G13" s="28"/>
      <c r="H13" s="125"/>
      <c r="I13" s="7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19" t="s">
        <v>216</v>
      </c>
      <c r="B14" s="28"/>
      <c r="C14" s="28">
        <f>'E-InvAT'!B10</f>
        <v>586680</v>
      </c>
      <c r="D14" s="28">
        <f>'E-InvAT'!C10</f>
        <v>160500</v>
      </c>
      <c r="E14" s="28">
        <f>'E-InvAT'!D10</f>
        <v>0</v>
      </c>
      <c r="F14" s="28">
        <f>'E-InvAT'!E10</f>
        <v>0</v>
      </c>
      <c r="G14" s="28">
        <f>'E-InvAT'!F10</f>
        <v>0</v>
      </c>
      <c r="H14" s="28">
        <f>'E-InvAT'!G10</f>
        <v>0</v>
      </c>
      <c r="I14" s="73">
        <f t="shared" ref="I14:I18" si="3">SUM(B14:H14)</f>
        <v>747180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19" t="s">
        <v>217</v>
      </c>
      <c r="B15" s="28"/>
      <c r="C15" s="28"/>
      <c r="D15" s="28">
        <f>'E-InvAT'!C11</f>
        <v>420000</v>
      </c>
      <c r="E15" s="28">
        <f>'E-InvAT'!D11</f>
        <v>0</v>
      </c>
      <c r="F15" s="28">
        <f>'E-InvAT'!E11</f>
        <v>0</v>
      </c>
      <c r="G15" s="28">
        <f>'E-InvAT'!F11</f>
        <v>0</v>
      </c>
      <c r="H15" s="28">
        <f>'E-InvAT'!G11</f>
        <v>0</v>
      </c>
      <c r="I15" s="73">
        <f t="shared" si="3"/>
        <v>420000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238" t="s">
        <v>218</v>
      </c>
      <c r="B16" s="239"/>
      <c r="C16" s="239"/>
      <c r="D16" s="239">
        <f>'E-InvAT'!C12</f>
        <v>13608.40022214286</v>
      </c>
      <c r="E16" s="239">
        <f>'E-InvAT'!D12</f>
        <v>12050.487275688509</v>
      </c>
      <c r="F16" s="239">
        <f>'E-InvAT'!E12</f>
        <v>15355.246699556823</v>
      </c>
      <c r="G16" s="239">
        <f>'E-InvAT'!F12</f>
        <v>15355.246699556823</v>
      </c>
      <c r="H16" s="239">
        <f>'E-InvAT'!G12</f>
        <v>15355.246699556823</v>
      </c>
      <c r="I16" s="240">
        <f t="shared" si="3"/>
        <v>71724.627596501843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19" t="s">
        <v>219</v>
      </c>
      <c r="B17" s="28"/>
      <c r="C17" s="28"/>
      <c r="D17" s="28">
        <f>'E-InvAT'!C13</f>
        <v>1139970</v>
      </c>
      <c r="E17" s="28">
        <f>'E-InvAT'!D13</f>
        <v>0</v>
      </c>
      <c r="F17" s="28">
        <f>'E-InvAT'!E13</f>
        <v>0</v>
      </c>
      <c r="G17" s="28">
        <f>'E-InvAT'!F13</f>
        <v>0</v>
      </c>
      <c r="H17" s="28">
        <f>'E-InvAT'!G13</f>
        <v>0</v>
      </c>
      <c r="I17" s="73">
        <f t="shared" si="3"/>
        <v>1139970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17" t="s">
        <v>220</v>
      </c>
      <c r="B18" s="28"/>
      <c r="C18" s="28">
        <f t="shared" ref="C18:H18" si="4">SUM(C11:C12,C14:C17)</f>
        <v>586680</v>
      </c>
      <c r="D18" s="28">
        <f t="shared" si="4"/>
        <v>12056470.181044061</v>
      </c>
      <c r="E18" s="28">
        <f t="shared" si="4"/>
        <v>11657920.357138701</v>
      </c>
      <c r="F18" s="28">
        <f t="shared" si="4"/>
        <v>11661225.11656257</v>
      </c>
      <c r="G18" s="28">
        <f t="shared" si="4"/>
        <v>11661225.11656257</v>
      </c>
      <c r="H18" s="28">
        <f t="shared" si="4"/>
        <v>11661225.11656257</v>
      </c>
      <c r="I18" s="73">
        <f t="shared" si="3"/>
        <v>59284745.887870468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19"/>
      <c r="B19" s="28"/>
      <c r="C19" s="28"/>
      <c r="D19" s="28"/>
      <c r="E19" s="28"/>
      <c r="F19" s="28"/>
      <c r="G19" s="28"/>
      <c r="H19" s="125"/>
      <c r="I19" s="7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17" t="s">
        <v>221</v>
      </c>
      <c r="B20" s="28"/>
      <c r="C20" s="28"/>
      <c r="D20" s="28"/>
      <c r="E20" s="28"/>
      <c r="F20" s="28"/>
      <c r="G20" s="28"/>
      <c r="H20" s="125"/>
      <c r="I20" s="7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19" t="s">
        <v>222</v>
      </c>
      <c r="B21" s="28"/>
      <c r="C21" s="28">
        <f t="shared" ref="C21:H21" si="5">C8*0.21</f>
        <v>169470</v>
      </c>
      <c r="D21" s="28">
        <f t="shared" si="5"/>
        <v>68670</v>
      </c>
      <c r="E21" s="28">
        <f t="shared" si="5"/>
        <v>0</v>
      </c>
      <c r="F21" s="28">
        <f t="shared" si="5"/>
        <v>0</v>
      </c>
      <c r="G21" s="28">
        <f t="shared" si="5"/>
        <v>0</v>
      </c>
      <c r="H21" s="28">
        <f t="shared" si="5"/>
        <v>0</v>
      </c>
      <c r="I21" s="73">
        <f t="shared" ref="I21:I23" si="6">SUM(B21:H21)</f>
        <v>238140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19" t="s">
        <v>223</v>
      </c>
      <c r="B22" s="28"/>
      <c r="C22" s="28">
        <f t="shared" ref="C22:H22" si="7">C18*0.21</f>
        <v>123202.79999999999</v>
      </c>
      <c r="D22" s="28">
        <f t="shared" si="7"/>
        <v>2531858.7380192527</v>
      </c>
      <c r="E22" s="28">
        <f t="shared" si="7"/>
        <v>2448163.2749991273</v>
      </c>
      <c r="F22" s="28">
        <f t="shared" si="7"/>
        <v>2448857.2744781394</v>
      </c>
      <c r="G22" s="28">
        <f t="shared" si="7"/>
        <v>2448857.2744781394</v>
      </c>
      <c r="H22" s="28">
        <f t="shared" si="7"/>
        <v>2448857.2744781394</v>
      </c>
      <c r="I22" s="73">
        <f t="shared" si="6"/>
        <v>12449796.636452798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17" t="s">
        <v>224</v>
      </c>
      <c r="B23" s="28"/>
      <c r="C23" s="28">
        <f t="shared" ref="C23:H23" si="8">SUM(C21:C22)</f>
        <v>292672.8</v>
      </c>
      <c r="D23" s="28">
        <f t="shared" si="8"/>
        <v>2600528.7380192527</v>
      </c>
      <c r="E23" s="28">
        <f t="shared" si="8"/>
        <v>2448163.2749991273</v>
      </c>
      <c r="F23" s="28">
        <f t="shared" si="8"/>
        <v>2448857.2744781394</v>
      </c>
      <c r="G23" s="28">
        <f t="shared" si="8"/>
        <v>2448857.2744781394</v>
      </c>
      <c r="H23" s="28">
        <f t="shared" si="8"/>
        <v>2448857.2744781394</v>
      </c>
      <c r="I23" s="73">
        <f t="shared" si="6"/>
        <v>12687936.636452798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17"/>
      <c r="B24" s="28"/>
      <c r="C24" s="28"/>
      <c r="D24" s="28"/>
      <c r="E24" s="28"/>
      <c r="F24" s="28"/>
      <c r="G24" s="28"/>
      <c r="H24" s="125"/>
      <c r="I24" s="7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20" t="s">
        <v>225</v>
      </c>
      <c r="B25" s="126">
        <f t="shared" ref="B25:I25" si="9">SUM(B6:B23)</f>
        <v>0</v>
      </c>
      <c r="C25" s="126">
        <f t="shared" si="9"/>
        <v>3372705.5999999996</v>
      </c>
      <c r="D25" s="126">
        <f t="shared" si="9"/>
        <v>29967997.83812663</v>
      </c>
      <c r="E25" s="126">
        <f t="shared" si="9"/>
        <v>28212167.264275655</v>
      </c>
      <c r="F25" s="126">
        <f t="shared" si="9"/>
        <v>28220164.782081418</v>
      </c>
      <c r="G25" s="126">
        <f t="shared" si="9"/>
        <v>28220164.782081418</v>
      </c>
      <c r="H25" s="126">
        <f t="shared" si="9"/>
        <v>28220164.782081418</v>
      </c>
      <c r="I25" s="126">
        <f t="shared" si="9"/>
        <v>146213365.04864654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30" sqref="B30"/>
    </sheetView>
  </sheetViews>
  <sheetFormatPr baseColWidth="10" defaultColWidth="14.42578125" defaultRowHeight="15" customHeight="1"/>
  <cols>
    <col min="1" max="1" width="28.140625" customWidth="1"/>
    <col min="2" max="2" width="14" customWidth="1"/>
    <col min="3" max="6" width="15.42578125" bestFit="1" customWidth="1"/>
    <col min="7" max="7" width="15.5703125" customWidth="1"/>
    <col min="8" max="8" width="17.42578125" customWidth="1"/>
    <col min="9" max="17" width="11.42578125" customWidth="1"/>
    <col min="18" max="26" width="10" customWidth="1"/>
  </cols>
  <sheetData>
    <row r="1" spans="1:26" ht="12.75" customHeight="1">
      <c r="A1" s="2" t="s">
        <v>0</v>
      </c>
      <c r="B1" s="3"/>
      <c r="C1" s="3"/>
      <c r="D1" s="3"/>
      <c r="E1" s="1"/>
      <c r="F1" s="1"/>
      <c r="G1" s="4">
        <f>InfoInicial!E1</f>
        <v>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27" t="s">
        <v>226</v>
      </c>
      <c r="B2" s="9"/>
      <c r="C2" s="9"/>
      <c r="D2" s="9"/>
      <c r="E2" s="9"/>
      <c r="F2" s="9"/>
      <c r="G2" s="1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28"/>
      <c r="B3" s="129" t="s">
        <v>227</v>
      </c>
      <c r="C3" s="129"/>
      <c r="D3" s="129"/>
      <c r="E3" s="129"/>
      <c r="F3" s="129"/>
      <c r="G3" s="1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31" t="s">
        <v>14</v>
      </c>
      <c r="B4" s="122" t="s">
        <v>27</v>
      </c>
      <c r="C4" s="17" t="s">
        <v>15</v>
      </c>
      <c r="D4" s="17" t="s">
        <v>20</v>
      </c>
      <c r="E4" s="17" t="s">
        <v>22</v>
      </c>
      <c r="F4" s="17" t="s">
        <v>23</v>
      </c>
      <c r="G4" s="19" t="s">
        <v>24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32" t="s">
        <v>228</v>
      </c>
      <c r="B5" s="133"/>
      <c r="C5" s="30"/>
      <c r="D5" s="30"/>
      <c r="E5" s="30"/>
      <c r="F5" s="30"/>
      <c r="G5" s="11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34" t="s">
        <v>229</v>
      </c>
      <c r="C6" s="135">
        <f>'E-Costos'!B11*0.21</f>
        <v>220500</v>
      </c>
      <c r="D6" s="135">
        <f>'E-Costos'!C11*0.21</f>
        <v>220500</v>
      </c>
      <c r="E6" s="135">
        <f>'E-Costos'!D11*0.21</f>
        <v>220500</v>
      </c>
      <c r="F6" s="135">
        <f>'E-Costos'!E11*0.21</f>
        <v>220500</v>
      </c>
      <c r="G6" s="135">
        <f>'E-Costos'!F11*0.21</f>
        <v>220500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34" t="s">
        <v>71</v>
      </c>
      <c r="B7" s="135"/>
      <c r="C7" s="28">
        <f>'E-Costos'!B11*0.21</f>
        <v>220500</v>
      </c>
      <c r="D7" s="28">
        <f>'E-Costos'!C11*0.21</f>
        <v>220500</v>
      </c>
      <c r="E7" s="28">
        <f>'E-Costos'!D11*0.21</f>
        <v>220500</v>
      </c>
      <c r="F7" s="28">
        <f>'E-Costos'!E11*0.21</f>
        <v>220500</v>
      </c>
      <c r="G7" s="28">
        <f>'E-Costos'!F11*0.21</f>
        <v>220500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34" t="s">
        <v>73</v>
      </c>
      <c r="B8" s="135"/>
      <c r="C8" s="28">
        <f>'E-Costos'!B12*0.21</f>
        <v>7560</v>
      </c>
      <c r="D8" s="28">
        <f>'E-Costos'!C12*0.21</f>
        <v>7560</v>
      </c>
      <c r="E8" s="28">
        <f>'E-Costos'!D12*0.21</f>
        <v>7560</v>
      </c>
      <c r="F8" s="28">
        <f>'E-Costos'!E12*0.21</f>
        <v>7560</v>
      </c>
      <c r="G8" s="28">
        <f>'E-Costos'!F12*0.21</f>
        <v>7560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34" t="s">
        <v>76</v>
      </c>
      <c r="B9" s="135"/>
      <c r="C9" s="75">
        <v>0</v>
      </c>
      <c r="D9" s="75">
        <v>0</v>
      </c>
      <c r="E9" s="75">
        <v>0</v>
      </c>
      <c r="F9" s="75">
        <v>0</v>
      </c>
      <c r="G9" s="72"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34" t="s">
        <v>230</v>
      </c>
      <c r="B10" s="135"/>
      <c r="C10" s="75">
        <v>0</v>
      </c>
      <c r="D10" s="75">
        <v>0</v>
      </c>
      <c r="E10" s="75">
        <v>0</v>
      </c>
      <c r="F10" s="75">
        <v>0</v>
      </c>
      <c r="G10" s="72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34" t="s">
        <v>137</v>
      </c>
      <c r="B11" s="135"/>
      <c r="C11" s="28"/>
      <c r="D11" s="28"/>
      <c r="E11" s="28"/>
      <c r="F11" s="28"/>
      <c r="G11" s="7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36" t="s">
        <v>129</v>
      </c>
      <c r="B12" s="135"/>
      <c r="C12" s="28">
        <f t="shared" ref="C12:G12" si="0">SUM(C6:C11)</f>
        <v>448560</v>
      </c>
      <c r="D12" s="28">
        <f t="shared" si="0"/>
        <v>448560</v>
      </c>
      <c r="E12" s="28">
        <f t="shared" si="0"/>
        <v>448560</v>
      </c>
      <c r="F12" s="28">
        <f t="shared" si="0"/>
        <v>448560</v>
      </c>
      <c r="G12" s="28">
        <f t="shared" si="0"/>
        <v>448560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34" t="s">
        <v>231</v>
      </c>
      <c r="B13" s="135"/>
      <c r="C13" s="28"/>
      <c r="D13" s="28"/>
      <c r="E13" s="28"/>
      <c r="F13" s="28"/>
      <c r="G13" s="7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34" t="s">
        <v>232</v>
      </c>
      <c r="B14" s="135"/>
      <c r="C14" s="28"/>
      <c r="D14" s="28"/>
      <c r="E14" s="28"/>
      <c r="F14" s="28"/>
      <c r="G14" s="7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34" t="s">
        <v>233</v>
      </c>
      <c r="B15" s="135"/>
      <c r="C15" s="28"/>
      <c r="D15" s="28"/>
      <c r="E15" s="28"/>
      <c r="F15" s="28"/>
      <c r="G15" s="7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34" t="s">
        <v>234</v>
      </c>
      <c r="B16" s="135"/>
      <c r="C16" s="28"/>
      <c r="D16" s="28"/>
      <c r="E16" s="28"/>
      <c r="F16" s="28"/>
      <c r="G16" s="7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36" t="s">
        <v>235</v>
      </c>
      <c r="C17" s="137">
        <f>'E-Costos'!B16</f>
        <v>3272178</v>
      </c>
      <c r="D17" s="135">
        <f>'E-Costos'!C16</f>
        <v>3272178</v>
      </c>
      <c r="E17" s="135">
        <f>'E-Costos'!D16</f>
        <v>4197960</v>
      </c>
      <c r="F17" s="135">
        <f>'E-Costos'!E16</f>
        <v>4197960</v>
      </c>
      <c r="G17" s="135">
        <f>'E-Costos'!F16</f>
        <v>4197960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36" t="s">
        <v>236</v>
      </c>
      <c r="B18" s="135"/>
      <c r="C18" s="28">
        <f>'E-Costos'!B108*0.21</f>
        <v>31920</v>
      </c>
      <c r="D18" s="28">
        <f>'E-Costos'!C108*0.21</f>
        <v>31920</v>
      </c>
      <c r="E18" s="28">
        <f>'E-Costos'!D108*0.21</f>
        <v>31920</v>
      </c>
      <c r="F18" s="28">
        <f>'E-Costos'!E108*0.21</f>
        <v>31920</v>
      </c>
      <c r="G18" s="28">
        <f>'E-Costos'!F108*0.21</f>
        <v>31920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36" t="s">
        <v>237</v>
      </c>
      <c r="B19" s="135"/>
      <c r="C19" s="28">
        <f>'E-Costos'!B109*0.21</f>
        <v>12600</v>
      </c>
      <c r="D19" s="28">
        <f>'E-Costos'!C109*0.21</f>
        <v>12600</v>
      </c>
      <c r="E19" s="28">
        <f>'E-Costos'!D109*0.21</f>
        <v>12600</v>
      </c>
      <c r="F19" s="28">
        <f>'E-Costos'!E109*0.21</f>
        <v>12600</v>
      </c>
      <c r="G19" s="28">
        <f>'E-Costos'!F109*0.21</f>
        <v>12600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36"/>
      <c r="B20" s="135"/>
      <c r="C20" s="28"/>
      <c r="D20" s="28"/>
      <c r="E20" s="28"/>
      <c r="F20" s="28"/>
      <c r="G20" s="7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34" t="s">
        <v>238</v>
      </c>
      <c r="B21" s="135"/>
      <c r="C21" s="28">
        <f t="shared" ref="C21:G21" si="1">SUM(C17:C19)*0.21</f>
        <v>696506.58</v>
      </c>
      <c r="D21" s="28">
        <f t="shared" si="1"/>
        <v>696506.58</v>
      </c>
      <c r="E21" s="28">
        <f t="shared" si="1"/>
        <v>890920.79999999993</v>
      </c>
      <c r="F21" s="28">
        <f t="shared" si="1"/>
        <v>890920.79999999993</v>
      </c>
      <c r="G21" s="28">
        <f t="shared" si="1"/>
        <v>890920.79999999993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34" t="s">
        <v>239</v>
      </c>
      <c r="B22" s="135"/>
      <c r="C22" s="28">
        <f>'E-Costos'!B87*0.21</f>
        <v>21212100</v>
      </c>
      <c r="D22" s="28">
        <f>'E-Costos'!C87*0.21</f>
        <v>23931794.25</v>
      </c>
      <c r="E22" s="28">
        <f>'E-Costos'!D87*0.21</f>
        <v>23931794.25</v>
      </c>
      <c r="F22" s="28">
        <f>'E-Costos'!E87*0.21</f>
        <v>23931794.25</v>
      </c>
      <c r="G22" s="28">
        <f>'E-Costos'!F87*0.21</f>
        <v>23931794.25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36" t="s">
        <v>240</v>
      </c>
      <c r="B23" s="135"/>
      <c r="C23" s="28">
        <f t="shared" ref="C23:G23" si="2">C22-C21</f>
        <v>20515593.420000002</v>
      </c>
      <c r="D23" s="28">
        <f t="shared" si="2"/>
        <v>23235287.670000002</v>
      </c>
      <c r="E23" s="28">
        <f t="shared" si="2"/>
        <v>23040873.449999999</v>
      </c>
      <c r="F23" s="28">
        <f t="shared" si="2"/>
        <v>23040873.449999999</v>
      </c>
      <c r="G23" s="28">
        <f t="shared" si="2"/>
        <v>23040873.449999999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34"/>
      <c r="B24" s="135"/>
      <c r="C24" s="28"/>
      <c r="D24" s="28"/>
      <c r="E24" s="28"/>
      <c r="F24" s="28"/>
      <c r="G24" s="7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38" t="s">
        <v>241</v>
      </c>
      <c r="B25" s="135"/>
      <c r="C25" s="28">
        <f t="shared" ref="C25:G25" si="3">B27</f>
        <v>292672.8</v>
      </c>
      <c r="D25" s="28">
        <f t="shared" si="3"/>
        <v>-17622391.881980751</v>
      </c>
      <c r="E25" s="28">
        <f t="shared" si="3"/>
        <v>-38409516.276981622</v>
      </c>
      <c r="F25" s="28">
        <f t="shared" si="3"/>
        <v>-59001532.452503487</v>
      </c>
      <c r="G25" s="28">
        <f t="shared" si="3"/>
        <v>-79593548.628025353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38" t="s">
        <v>242</v>
      </c>
      <c r="B26" s="135">
        <f>'E-Cal Inv.'!C23</f>
        <v>292672.8</v>
      </c>
      <c r="C26" s="28">
        <f>'E-Cal Inv.'!D23</f>
        <v>2600528.7380192527</v>
      </c>
      <c r="D26" s="28">
        <f>'E-Cal Inv.'!E23</f>
        <v>2448163.2749991273</v>
      </c>
      <c r="E26" s="28">
        <f>'E-Cal Inv.'!F23</f>
        <v>2448857.2744781394</v>
      </c>
      <c r="F26" s="28">
        <f>'E-Cal Inv.'!G23</f>
        <v>2448857.2744781394</v>
      </c>
      <c r="G26" s="28">
        <f>'E-Cal Inv.'!H23</f>
        <v>2448857.2744781394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36" t="s">
        <v>243</v>
      </c>
      <c r="B27" s="135">
        <f t="shared" ref="B27:G27" si="4">B25+B26-B23</f>
        <v>292672.8</v>
      </c>
      <c r="C27" s="135">
        <f t="shared" si="4"/>
        <v>-17622391.881980751</v>
      </c>
      <c r="D27" s="135">
        <f t="shared" si="4"/>
        <v>-38409516.276981622</v>
      </c>
      <c r="E27" s="135">
        <f t="shared" si="4"/>
        <v>-59001532.452503487</v>
      </c>
      <c r="F27" s="135">
        <f t="shared" si="4"/>
        <v>-79593548.628025353</v>
      </c>
      <c r="G27" s="135">
        <f t="shared" si="4"/>
        <v>-100185564.80354722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36" t="s">
        <v>244</v>
      </c>
      <c r="B28" s="135">
        <f t="shared" ref="B28:G28" si="5">B25+B26-B27</f>
        <v>0</v>
      </c>
      <c r="C28" s="135">
        <f t="shared" si="5"/>
        <v>20515593.420000002</v>
      </c>
      <c r="D28" s="135">
        <f t="shared" si="5"/>
        <v>23235287.669999998</v>
      </c>
      <c r="E28" s="135">
        <f t="shared" si="5"/>
        <v>23040873.450000003</v>
      </c>
      <c r="F28" s="135">
        <f t="shared" si="5"/>
        <v>23040873.450000003</v>
      </c>
      <c r="G28" s="135">
        <f t="shared" si="5"/>
        <v>23040873.450000003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34"/>
      <c r="B29" s="135"/>
      <c r="C29" s="28"/>
      <c r="D29" s="28"/>
      <c r="E29" s="28"/>
      <c r="F29" s="28"/>
      <c r="G29" s="7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39" t="s">
        <v>245</v>
      </c>
      <c r="B30" s="141">
        <f t="shared" ref="B30:G30" si="6">B23-B28</f>
        <v>0</v>
      </c>
      <c r="C30" s="141">
        <f t="shared" si="6"/>
        <v>0</v>
      </c>
      <c r="D30" s="141">
        <f t="shared" si="6"/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I18" sqref="I18"/>
    </sheetView>
  </sheetViews>
  <sheetFormatPr baseColWidth="10" defaultColWidth="14.42578125" defaultRowHeight="15" customHeight="1"/>
  <cols>
    <col min="1" max="1" width="8" customWidth="1"/>
    <col min="2" max="2" width="12.85546875" bestFit="1" customWidth="1"/>
    <col min="3" max="3" width="19.85546875" customWidth="1"/>
    <col min="4" max="8" width="15.85546875" bestFit="1" customWidth="1"/>
    <col min="9" max="9" width="14.140625" bestFit="1" customWidth="1"/>
    <col min="10" max="13" width="15.85546875" bestFit="1" customWidth="1"/>
    <col min="14" max="14" width="17.42578125" customWidth="1"/>
    <col min="15" max="23" width="11.42578125" customWidth="1"/>
    <col min="24" max="26" width="10" customWidth="1"/>
  </cols>
  <sheetData>
    <row r="1" spans="1:26" ht="12.75" customHeight="1">
      <c r="A1" s="2" t="s">
        <v>0</v>
      </c>
      <c r="B1" s="3"/>
      <c r="C1" s="3"/>
      <c r="D1" s="3"/>
      <c r="E1" s="1"/>
      <c r="F1" s="1"/>
      <c r="G1" s="1">
        <f>InfoInicial!E1</f>
        <v>7</v>
      </c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27" t="s">
        <v>246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>
      <c r="A3" s="131" t="s">
        <v>247</v>
      </c>
      <c r="B3" s="122" t="s">
        <v>248</v>
      </c>
      <c r="C3" s="122" t="s">
        <v>249</v>
      </c>
      <c r="D3" s="122" t="s">
        <v>250</v>
      </c>
      <c r="E3" s="122" t="s">
        <v>6</v>
      </c>
      <c r="F3" s="122" t="s">
        <v>251</v>
      </c>
      <c r="G3" s="140" t="s">
        <v>252</v>
      </c>
      <c r="H3" s="122" t="s">
        <v>253</v>
      </c>
      <c r="I3" s="122" t="s">
        <v>53</v>
      </c>
      <c r="J3" s="122" t="s">
        <v>254</v>
      </c>
      <c r="K3" s="142" t="s">
        <v>255</v>
      </c>
      <c r="L3" s="143" t="s">
        <v>256</v>
      </c>
      <c r="M3" s="144" t="s">
        <v>257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45">
        <v>0</v>
      </c>
      <c r="B4" s="133">
        <f>'E-Inv AF y Am'!B33</f>
        <v>807000</v>
      </c>
      <c r="C4" s="30">
        <f>'E-InvAT'!B15</f>
        <v>586680</v>
      </c>
      <c r="D4" s="30">
        <f>'E-IVA '!B26</f>
        <v>292672.8</v>
      </c>
      <c r="E4" s="146">
        <v>0</v>
      </c>
      <c r="F4" s="146">
        <v>0</v>
      </c>
      <c r="G4" s="147">
        <f t="shared" ref="G4:G9" si="0">SUM(B4:F4)</f>
        <v>1686352.8</v>
      </c>
      <c r="H4" s="146">
        <v>0</v>
      </c>
      <c r="I4" s="146">
        <v>0</v>
      </c>
      <c r="J4" s="30">
        <f>'E-IVA '!B28</f>
        <v>0</v>
      </c>
      <c r="K4" s="148">
        <f t="shared" ref="K4:K9" si="1">SUM(H4:J4)</f>
        <v>0</v>
      </c>
      <c r="L4" s="124">
        <f t="shared" ref="L4:L9" si="2">K4-G4</f>
        <v>-1686352.8</v>
      </c>
      <c r="M4" s="118">
        <f>L4</f>
        <v>-1686352.8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49">
        <v>1</v>
      </c>
      <c r="B5" s="135">
        <f>'E-Inv AF y Am'!C33</f>
        <v>327000</v>
      </c>
      <c r="C5" s="28">
        <f>'E-InvAT'!C15</f>
        <v>12056470.181044061</v>
      </c>
      <c r="D5" s="28">
        <f>'E-IVA '!C26</f>
        <v>2600528.7380192527</v>
      </c>
      <c r="E5" s="28">
        <f>'E-Costos'!B116</f>
        <v>29225708.939999998</v>
      </c>
      <c r="F5" s="28">
        <f>'E-Costos'!B117</f>
        <v>23867662.300999999</v>
      </c>
      <c r="G5" s="147">
        <f t="shared" si="0"/>
        <v>68077370.160063311</v>
      </c>
      <c r="H5" s="28">
        <f>'E-Costos'!B115</f>
        <v>97419029.799999997</v>
      </c>
      <c r="I5" s="28">
        <f>'E-Inv AF y Am'!D56</f>
        <v>189633.33333333331</v>
      </c>
      <c r="J5" s="28">
        <f>'E-IVA '!C28</f>
        <v>20515593.420000002</v>
      </c>
      <c r="K5" s="148">
        <f t="shared" si="1"/>
        <v>118124256.55333333</v>
      </c>
      <c r="L5" s="124">
        <f t="shared" si="2"/>
        <v>50046886.393270016</v>
      </c>
      <c r="M5" s="118">
        <f t="shared" ref="M5:M9" si="3">M4+L5</f>
        <v>48360533.593270019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49">
        <v>2</v>
      </c>
      <c r="B6" s="150">
        <v>0</v>
      </c>
      <c r="C6" s="75">
        <v>0</v>
      </c>
      <c r="D6" s="30">
        <f>'E-IVA '!D26</f>
        <v>2448163.2749991273</v>
      </c>
      <c r="E6" s="28">
        <f>'E-Costos'!C116</f>
        <v>33111945.002999999</v>
      </c>
      <c r="F6" s="28">
        <f>'E-Costos'!C117</f>
        <v>27041421.752449997</v>
      </c>
      <c r="G6" s="147">
        <f t="shared" si="0"/>
        <v>62601530.030449122</v>
      </c>
      <c r="H6" s="28">
        <f>'E-Costos'!C115</f>
        <v>110373150.01000001</v>
      </c>
      <c r="I6" s="28">
        <f>'E-Inv AF y Am'!D56</f>
        <v>189633.33333333331</v>
      </c>
      <c r="J6" s="28">
        <f>'E-IVA '!D28</f>
        <v>23235287.669999998</v>
      </c>
      <c r="K6" s="148">
        <f t="shared" si="1"/>
        <v>133798071.01333334</v>
      </c>
      <c r="L6" s="124">
        <f t="shared" si="2"/>
        <v>71196540.982884213</v>
      </c>
      <c r="M6" s="118">
        <f t="shared" si="3"/>
        <v>119557074.57615423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49">
        <v>3</v>
      </c>
      <c r="B7" s="150">
        <v>0</v>
      </c>
      <c r="C7" s="75">
        <v>0</v>
      </c>
      <c r="D7" s="28">
        <f>'E-IVA '!E26</f>
        <v>2448857.2744781394</v>
      </c>
      <c r="E7" s="28">
        <f>'E-Costos'!D116</f>
        <v>32834210.403000001</v>
      </c>
      <c r="F7" s="28">
        <f>'E-Costos'!D117</f>
        <v>26814605.162450001</v>
      </c>
      <c r="G7" s="147">
        <f t="shared" si="0"/>
        <v>62097672.839928143</v>
      </c>
      <c r="H7" s="28">
        <f>'E-Costos'!D115</f>
        <v>109447368.01000001</v>
      </c>
      <c r="I7" s="28">
        <f>'E-Inv AF y Am'!D56</f>
        <v>189633.33333333331</v>
      </c>
      <c r="J7" s="28">
        <f>'E-IVA '!E28</f>
        <v>23040873.450000003</v>
      </c>
      <c r="K7" s="148">
        <f t="shared" si="1"/>
        <v>132677874.79333334</v>
      </c>
      <c r="L7" s="124">
        <f t="shared" si="2"/>
        <v>70580201.953405201</v>
      </c>
      <c r="M7" s="118">
        <f t="shared" si="3"/>
        <v>190137276.52955943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49">
        <v>4</v>
      </c>
      <c r="B8" s="150">
        <v>0</v>
      </c>
      <c r="C8" s="75">
        <v>0</v>
      </c>
      <c r="D8" s="30">
        <f>'E-IVA '!F26</f>
        <v>2448857.2744781394</v>
      </c>
      <c r="E8" s="28">
        <f>'E-Costos'!E116</f>
        <v>32834210.403000001</v>
      </c>
      <c r="F8" s="28">
        <f>'E-Costos'!E117</f>
        <v>26814605.162450001</v>
      </c>
      <c r="G8" s="147">
        <f t="shared" si="0"/>
        <v>62097672.839928143</v>
      </c>
      <c r="H8" s="28">
        <f>'E-Costos'!E115</f>
        <v>109447368.01000001</v>
      </c>
      <c r="I8" s="28">
        <f>'E-Inv AF y Am'!E56</f>
        <v>189633.33333333331</v>
      </c>
      <c r="J8" s="28">
        <f>'E-IVA '!F28</f>
        <v>23040873.450000003</v>
      </c>
      <c r="K8" s="148">
        <f t="shared" si="1"/>
        <v>132677874.79333334</v>
      </c>
      <c r="L8" s="124">
        <f t="shared" si="2"/>
        <v>70580201.953405201</v>
      </c>
      <c r="M8" s="118">
        <f t="shared" si="3"/>
        <v>260717478.48296463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49">
        <v>5</v>
      </c>
      <c r="B9" s="150">
        <f>-'E-Inv AF y Am'!F56</f>
        <v>-185833.33333333334</v>
      </c>
      <c r="C9" s="75">
        <v>-12629541.779999999</v>
      </c>
      <c r="D9" s="28">
        <f>'E-IVA '!G26</f>
        <v>2448857.2744781394</v>
      </c>
      <c r="E9" s="28">
        <f>'E-Costos'!F116</f>
        <v>32834210.403000001</v>
      </c>
      <c r="F9" s="28">
        <f>'E-Costos'!F117</f>
        <v>26814605.162450001</v>
      </c>
      <c r="G9" s="147">
        <f t="shared" si="0"/>
        <v>49282297.726594806</v>
      </c>
      <c r="H9" s="28">
        <f>'E-Costos'!F115</f>
        <v>109447368.01000001</v>
      </c>
      <c r="I9" s="28">
        <f>'E-Inv AF y Am'!E56</f>
        <v>189633.33333333331</v>
      </c>
      <c r="J9" s="28">
        <f>'E-IVA '!G28</f>
        <v>23040873.450000003</v>
      </c>
      <c r="K9" s="148">
        <f t="shared" si="1"/>
        <v>132677874.79333334</v>
      </c>
      <c r="L9" s="124">
        <f t="shared" si="2"/>
        <v>83395577.066738531</v>
      </c>
      <c r="M9" s="118">
        <f t="shared" si="3"/>
        <v>344113055.54970318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49"/>
      <c r="B10" s="135"/>
      <c r="C10" s="28"/>
      <c r="D10" s="28"/>
      <c r="E10" s="28"/>
      <c r="F10" s="28"/>
      <c r="G10" s="147"/>
      <c r="H10" s="28"/>
      <c r="I10" s="28"/>
      <c r="J10" s="28"/>
      <c r="K10" s="148"/>
      <c r="L10" s="125"/>
      <c r="M10" s="11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51" t="s">
        <v>258</v>
      </c>
      <c r="B11" s="141">
        <f t="shared" ref="B11:L11" si="4">SUM(B4:B9)</f>
        <v>948166.66666666663</v>
      </c>
      <c r="C11" s="141">
        <f t="shared" si="4"/>
        <v>13608.401044061407</v>
      </c>
      <c r="D11" s="141">
        <f t="shared" si="4"/>
        <v>12687936.636452798</v>
      </c>
      <c r="E11" s="141">
        <f t="shared" si="4"/>
        <v>160840285.15200001</v>
      </c>
      <c r="F11" s="141">
        <f t="shared" si="4"/>
        <v>131352899.54080001</v>
      </c>
      <c r="G11" s="152">
        <f t="shared" si="4"/>
        <v>305842896.39696354</v>
      </c>
      <c r="H11" s="141">
        <f t="shared" si="4"/>
        <v>536134283.83999997</v>
      </c>
      <c r="I11" s="141">
        <f t="shared" si="4"/>
        <v>948166.66666666651</v>
      </c>
      <c r="J11" s="141">
        <f t="shared" si="4"/>
        <v>112873501.44000001</v>
      </c>
      <c r="K11" s="153">
        <f t="shared" si="4"/>
        <v>649955951.94666672</v>
      </c>
      <c r="L11" s="141">
        <f t="shared" si="4"/>
        <v>344113055.54970318</v>
      </c>
      <c r="M11" s="14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5" t="s">
        <v>259</v>
      </c>
      <c r="D13" s="154">
        <f>H11-E11-F11</f>
        <v>243941099.14719996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32"/>
      <c r="B14" s="1"/>
      <c r="C14" s="15" t="s">
        <v>260</v>
      </c>
      <c r="D14" s="237" t="s">
        <v>261</v>
      </c>
      <c r="E14" s="1"/>
      <c r="F14" s="155">
        <f>A4+(-M4/L5)*365</f>
        <v>12.29884247270118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5" t="s">
        <v>262</v>
      </c>
      <c r="D15" s="15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27.28515625" customWidth="1"/>
    <col min="2" max="9" width="15.140625" customWidth="1"/>
    <col min="10" max="19" width="11.42578125" customWidth="1"/>
    <col min="20" max="26" width="10" customWidth="1"/>
  </cols>
  <sheetData>
    <row r="1" spans="1:26" ht="12.75" customHeight="1">
      <c r="A1" s="2" t="s">
        <v>0</v>
      </c>
      <c r="B1" s="3"/>
      <c r="C1" s="3"/>
      <c r="D1" s="3"/>
      <c r="E1" s="1"/>
      <c r="F1" s="155">
        <f>InfoInicial!E1</f>
        <v>7</v>
      </c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57" t="s">
        <v>263</v>
      </c>
      <c r="B2" s="104"/>
      <c r="C2" s="104"/>
      <c r="D2" s="104"/>
      <c r="E2" s="104"/>
      <c r="F2" s="104"/>
      <c r="G2" s="10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2" t="s">
        <v>14</v>
      </c>
      <c r="B3" s="221" t="s">
        <v>264</v>
      </c>
      <c r="C3" s="222"/>
      <c r="D3" s="221" t="s">
        <v>265</v>
      </c>
      <c r="E3" s="222"/>
      <c r="F3" s="221" t="s">
        <v>266</v>
      </c>
      <c r="G3" s="22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2" t="s">
        <v>94</v>
      </c>
      <c r="B4" s="13" t="s">
        <v>267</v>
      </c>
      <c r="C4" s="13" t="s">
        <v>268</v>
      </c>
      <c r="D4" s="13" t="s">
        <v>267</v>
      </c>
      <c r="E4" s="13" t="s">
        <v>268</v>
      </c>
      <c r="F4" s="13" t="s">
        <v>267</v>
      </c>
      <c r="G4" s="14" t="s">
        <v>268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38" t="s">
        <v>269</v>
      </c>
      <c r="B5" s="28"/>
      <c r="C5" s="101"/>
      <c r="D5" s="28"/>
      <c r="E5" s="101"/>
      <c r="F5" s="28"/>
      <c r="G5" s="15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33" t="s">
        <v>270</v>
      </c>
      <c r="B6" s="28"/>
      <c r="C6" s="101"/>
      <c r="D6" s="28"/>
      <c r="E6" s="101"/>
      <c r="F6" s="28"/>
      <c r="G6" s="15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33" t="s">
        <v>271</v>
      </c>
      <c r="B7" s="28"/>
      <c r="C7" s="101"/>
      <c r="D7" s="28"/>
      <c r="E7" s="109"/>
      <c r="F7" s="28"/>
      <c r="G7" s="15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50" t="s">
        <v>207</v>
      </c>
      <c r="B8" s="160"/>
      <c r="C8" s="161"/>
      <c r="D8" s="160"/>
      <c r="E8" s="161"/>
      <c r="F8" s="160"/>
      <c r="G8" s="16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32"/>
      <c r="B9" s="99"/>
      <c r="C9" s="163"/>
      <c r="D9" s="99"/>
      <c r="E9" s="99"/>
      <c r="F9" s="99"/>
      <c r="G9" s="9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64" t="s">
        <v>272</v>
      </c>
      <c r="B10" s="165"/>
      <c r="C10" s="165"/>
      <c r="D10" s="165"/>
      <c r="E10" s="165"/>
      <c r="F10" s="165"/>
      <c r="G10" s="165"/>
      <c r="H10" s="165"/>
      <c r="I10" s="16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67" t="s">
        <v>273</v>
      </c>
      <c r="B11" s="168" t="s">
        <v>274</v>
      </c>
      <c r="C11" s="168" t="s">
        <v>275</v>
      </c>
      <c r="D11" s="168" t="s">
        <v>276</v>
      </c>
      <c r="E11" s="168" t="s">
        <v>275</v>
      </c>
      <c r="F11" s="168" t="s">
        <v>277</v>
      </c>
      <c r="G11" s="168" t="s">
        <v>276</v>
      </c>
      <c r="H11" s="168"/>
      <c r="I11" s="169" t="s">
        <v>278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70"/>
      <c r="B12" s="171"/>
      <c r="C12" s="171" t="s">
        <v>279</v>
      </c>
      <c r="D12" s="171" t="s">
        <v>279</v>
      </c>
      <c r="E12" s="171" t="s">
        <v>57</v>
      </c>
      <c r="F12" s="171" t="s">
        <v>280</v>
      </c>
      <c r="G12" s="171" t="s">
        <v>57</v>
      </c>
      <c r="H12" s="171" t="s">
        <v>281</v>
      </c>
      <c r="I12" s="172" t="s">
        <v>282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73"/>
      <c r="B13" s="98"/>
      <c r="C13" s="98"/>
      <c r="D13" s="98"/>
      <c r="E13" s="98"/>
      <c r="F13" s="62"/>
      <c r="G13" s="98"/>
      <c r="H13" s="174"/>
      <c r="I13" s="17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76"/>
      <c r="B14" s="28"/>
      <c r="C14" s="28"/>
      <c r="D14" s="28"/>
      <c r="E14" s="28"/>
      <c r="F14" s="36"/>
      <c r="G14" s="28"/>
      <c r="H14" s="109"/>
      <c r="I14" s="7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76"/>
      <c r="B15" s="28"/>
      <c r="C15" s="28"/>
      <c r="D15" s="28"/>
      <c r="E15" s="28"/>
      <c r="F15" s="36"/>
      <c r="G15" s="28"/>
      <c r="H15" s="109"/>
      <c r="I15" s="7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76"/>
      <c r="B16" s="28"/>
      <c r="C16" s="28"/>
      <c r="D16" s="28"/>
      <c r="E16" s="28"/>
      <c r="F16" s="36"/>
      <c r="G16" s="28"/>
      <c r="H16" s="109"/>
      <c r="I16" s="7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76"/>
      <c r="B17" s="28"/>
      <c r="C17" s="28"/>
      <c r="D17" s="28"/>
      <c r="E17" s="28"/>
      <c r="F17" s="36"/>
      <c r="G17" s="28"/>
      <c r="H17" s="109"/>
      <c r="I17" s="7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76"/>
      <c r="B18" s="28"/>
      <c r="C18" s="28"/>
      <c r="D18" s="28"/>
      <c r="E18" s="28"/>
      <c r="F18" s="36"/>
      <c r="G18" s="28"/>
      <c r="H18" s="109"/>
      <c r="I18" s="7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76"/>
      <c r="B19" s="28"/>
      <c r="C19" s="28"/>
      <c r="D19" s="28"/>
      <c r="E19" s="28"/>
      <c r="F19" s="36"/>
      <c r="G19" s="28"/>
      <c r="H19" s="109"/>
      <c r="I19" s="7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77"/>
      <c r="B20" s="178"/>
      <c r="C20" s="178"/>
      <c r="D20" s="83"/>
      <c r="E20" s="178"/>
      <c r="F20" s="51"/>
      <c r="G20" s="83"/>
      <c r="H20" s="179"/>
      <c r="I20" s="8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5" t="s">
        <v>283</v>
      </c>
      <c r="B21" s="180"/>
      <c r="C21" s="180"/>
      <c r="D21" s="181"/>
      <c r="E21" s="180"/>
      <c r="F21" s="182"/>
      <c r="G21" s="181"/>
      <c r="H21" s="183"/>
      <c r="I21" s="18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73"/>
      <c r="B22" s="98"/>
      <c r="C22" s="98"/>
      <c r="D22" s="30"/>
      <c r="E22" s="98"/>
      <c r="F22" s="62"/>
      <c r="G22" s="30"/>
      <c r="H22" s="174"/>
      <c r="I22" s="11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76"/>
      <c r="B23" s="28"/>
      <c r="C23" s="28"/>
      <c r="D23" s="28"/>
      <c r="E23" s="28"/>
      <c r="F23" s="36"/>
      <c r="G23" s="28"/>
      <c r="H23" s="109"/>
      <c r="I23" s="7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84"/>
      <c r="B24" s="28"/>
      <c r="C24" s="28"/>
      <c r="D24" s="28"/>
      <c r="E24" s="28"/>
      <c r="F24" s="28"/>
      <c r="G24" s="28"/>
      <c r="H24" s="101"/>
      <c r="I24" s="7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84"/>
      <c r="B25" s="28"/>
      <c r="C25" s="28"/>
      <c r="D25" s="28"/>
      <c r="E25" s="28"/>
      <c r="F25" s="28"/>
      <c r="G25" s="28"/>
      <c r="H25" s="101"/>
      <c r="I25" s="7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84"/>
      <c r="B26" s="28"/>
      <c r="C26" s="28"/>
      <c r="D26" s="28"/>
      <c r="E26" s="28"/>
      <c r="F26" s="28"/>
      <c r="G26" s="28"/>
      <c r="H26" s="101"/>
      <c r="I26" s="7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84"/>
      <c r="B27" s="28"/>
      <c r="C27" s="28"/>
      <c r="D27" s="28"/>
      <c r="E27" s="28"/>
      <c r="F27" s="28"/>
      <c r="G27" s="28"/>
      <c r="H27" s="101"/>
      <c r="I27" s="7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84"/>
      <c r="B28" s="28"/>
      <c r="C28" s="28"/>
      <c r="D28" s="28"/>
      <c r="E28" s="28"/>
      <c r="F28" s="28"/>
      <c r="G28" s="28"/>
      <c r="H28" s="101"/>
      <c r="I28" s="7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84"/>
      <c r="B29" s="28"/>
      <c r="C29" s="28"/>
      <c r="D29" s="28"/>
      <c r="E29" s="28"/>
      <c r="F29" s="28"/>
      <c r="G29" s="28"/>
      <c r="H29" s="101"/>
      <c r="I29" s="7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84"/>
      <c r="B30" s="28"/>
      <c r="C30" s="28"/>
      <c r="D30" s="28"/>
      <c r="E30" s="28"/>
      <c r="F30" s="28"/>
      <c r="G30" s="28"/>
      <c r="H30" s="101"/>
      <c r="I30" s="7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84"/>
      <c r="B31" s="28"/>
      <c r="C31" s="28"/>
      <c r="D31" s="28"/>
      <c r="E31" s="28"/>
      <c r="F31" s="28"/>
      <c r="G31" s="28"/>
      <c r="H31" s="101"/>
      <c r="I31" s="7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84"/>
      <c r="B32" s="28"/>
      <c r="C32" s="28"/>
      <c r="D32" s="28"/>
      <c r="E32" s="28"/>
      <c r="F32" s="28"/>
      <c r="G32" s="28"/>
      <c r="H32" s="101"/>
      <c r="I32" s="7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84"/>
      <c r="B33" s="28"/>
      <c r="C33" s="28"/>
      <c r="D33" s="28"/>
      <c r="E33" s="28"/>
      <c r="F33" s="28"/>
      <c r="G33" s="28"/>
      <c r="H33" s="101"/>
      <c r="I33" s="7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84"/>
      <c r="B34" s="28"/>
      <c r="C34" s="28"/>
      <c r="D34" s="28"/>
      <c r="E34" s="28"/>
      <c r="F34" s="28"/>
      <c r="G34" s="28"/>
      <c r="H34" s="101"/>
      <c r="I34" s="7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84"/>
      <c r="B35" s="28"/>
      <c r="C35" s="28"/>
      <c r="D35" s="28"/>
      <c r="E35" s="28"/>
      <c r="F35" s="36"/>
      <c r="G35" s="28"/>
      <c r="H35" s="109"/>
      <c r="I35" s="7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84"/>
      <c r="B36" s="28"/>
      <c r="C36" s="28"/>
      <c r="D36" s="28"/>
      <c r="E36" s="28"/>
      <c r="F36" s="28"/>
      <c r="G36" s="28"/>
      <c r="H36" s="101"/>
      <c r="I36" s="7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84"/>
      <c r="B37" s="28"/>
      <c r="C37" s="28"/>
      <c r="D37" s="28"/>
      <c r="E37" s="28"/>
      <c r="F37" s="36"/>
      <c r="G37" s="28"/>
      <c r="H37" s="109"/>
      <c r="I37" s="7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84"/>
      <c r="B38" s="28"/>
      <c r="C38" s="28"/>
      <c r="D38" s="28"/>
      <c r="E38" s="28"/>
      <c r="F38" s="28"/>
      <c r="G38" s="28"/>
      <c r="H38" s="101"/>
      <c r="I38" s="7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84"/>
      <c r="B39" s="28"/>
      <c r="C39" s="28"/>
      <c r="D39" s="28"/>
      <c r="E39" s="28"/>
      <c r="F39" s="36"/>
      <c r="G39" s="28"/>
      <c r="H39" s="109"/>
      <c r="I39" s="7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84"/>
      <c r="B40" s="28"/>
      <c r="C40" s="28"/>
      <c r="D40" s="28"/>
      <c r="E40" s="28"/>
      <c r="F40" s="28"/>
      <c r="G40" s="28"/>
      <c r="H40" s="101"/>
      <c r="I40" s="7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84"/>
      <c r="B41" s="28"/>
      <c r="C41" s="28"/>
      <c r="D41" s="28"/>
      <c r="E41" s="28"/>
      <c r="F41" s="36"/>
      <c r="G41" s="28"/>
      <c r="H41" s="109"/>
      <c r="I41" s="7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84"/>
      <c r="B42" s="28"/>
      <c r="C42" s="28"/>
      <c r="D42" s="28"/>
      <c r="E42" s="28"/>
      <c r="F42" s="28"/>
      <c r="G42" s="28"/>
      <c r="H42" s="101"/>
      <c r="I42" s="7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84"/>
      <c r="B43" s="28"/>
      <c r="C43" s="28"/>
      <c r="D43" s="28"/>
      <c r="E43" s="28"/>
      <c r="F43" s="36"/>
      <c r="G43" s="28"/>
      <c r="H43" s="109"/>
      <c r="I43" s="7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84"/>
      <c r="B44" s="28"/>
      <c r="C44" s="28"/>
      <c r="D44" s="28"/>
      <c r="E44" s="28"/>
      <c r="F44" s="28"/>
      <c r="G44" s="28"/>
      <c r="H44" s="101"/>
      <c r="I44" s="7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84"/>
      <c r="B45" s="28"/>
      <c r="C45" s="28"/>
      <c r="D45" s="28"/>
      <c r="E45" s="28"/>
      <c r="F45" s="36"/>
      <c r="G45" s="28"/>
      <c r="H45" s="109"/>
      <c r="I45" s="7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84"/>
      <c r="B46" s="28"/>
      <c r="C46" s="28"/>
      <c r="D46" s="28"/>
      <c r="E46" s="28"/>
      <c r="F46" s="28"/>
      <c r="G46" s="28"/>
      <c r="H46" s="101"/>
      <c r="I46" s="7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84"/>
      <c r="B47" s="28"/>
      <c r="C47" s="28"/>
      <c r="D47" s="28"/>
      <c r="E47" s="28"/>
      <c r="F47" s="36"/>
      <c r="G47" s="28"/>
      <c r="H47" s="109"/>
      <c r="I47" s="7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84"/>
      <c r="B48" s="28"/>
      <c r="C48" s="28"/>
      <c r="D48" s="28"/>
      <c r="E48" s="28"/>
      <c r="F48" s="28"/>
      <c r="G48" s="28"/>
      <c r="H48" s="101"/>
      <c r="I48" s="7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84"/>
      <c r="B49" s="28"/>
      <c r="C49" s="28"/>
      <c r="D49" s="28"/>
      <c r="E49" s="28"/>
      <c r="F49" s="36"/>
      <c r="G49" s="28"/>
      <c r="H49" s="109"/>
      <c r="I49" s="7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84"/>
      <c r="B50" s="28"/>
      <c r="C50" s="28"/>
      <c r="D50" s="28"/>
      <c r="E50" s="28"/>
      <c r="F50" s="28"/>
      <c r="G50" s="28"/>
      <c r="H50" s="101"/>
      <c r="I50" s="7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84"/>
      <c r="B51" s="28"/>
      <c r="C51" s="28"/>
      <c r="D51" s="28"/>
      <c r="E51" s="28"/>
      <c r="F51" s="36"/>
      <c r="G51" s="28"/>
      <c r="H51" s="109"/>
      <c r="I51" s="7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84"/>
      <c r="B52" s="28"/>
      <c r="C52" s="28"/>
      <c r="D52" s="28"/>
      <c r="E52" s="28"/>
      <c r="F52" s="28"/>
      <c r="G52" s="28"/>
      <c r="H52" s="101"/>
      <c r="I52" s="7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76"/>
      <c r="B53" s="28"/>
      <c r="C53" s="28"/>
      <c r="D53" s="28"/>
      <c r="E53" s="28"/>
      <c r="F53" s="36"/>
      <c r="G53" s="28"/>
      <c r="H53" s="109"/>
      <c r="I53" s="7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94" t="s">
        <v>284</v>
      </c>
      <c r="B54" s="160"/>
      <c r="C54" s="160"/>
      <c r="D54" s="160"/>
      <c r="E54" s="160"/>
      <c r="F54" s="185"/>
      <c r="G54" s="160"/>
      <c r="H54" s="186"/>
      <c r="I54" s="18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3:C3"/>
    <mergeCell ref="D3:E3"/>
    <mergeCell ref="F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32.140625" customWidth="1"/>
    <col min="2" max="7" width="14" customWidth="1"/>
    <col min="8" max="8" width="17.42578125" customWidth="1"/>
    <col min="9" max="17" width="11.42578125" customWidth="1"/>
    <col min="18" max="26" width="10" customWidth="1"/>
  </cols>
  <sheetData>
    <row r="1" spans="1:26" ht="12.75" customHeight="1">
      <c r="A1" s="2" t="s">
        <v>0</v>
      </c>
      <c r="B1" s="3"/>
      <c r="C1" s="3"/>
      <c r="D1" s="3"/>
      <c r="E1" s="155"/>
      <c r="F1" s="4">
        <f>InfoInicial!E1</f>
        <v>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27" t="s">
        <v>285</v>
      </c>
      <c r="B2" s="9"/>
      <c r="C2" s="9"/>
      <c r="D2" s="9"/>
      <c r="E2" s="9"/>
      <c r="F2" s="9"/>
      <c r="G2" s="1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2" t="s">
        <v>14</v>
      </c>
      <c r="B3" s="17" t="s">
        <v>15</v>
      </c>
      <c r="C3" s="17" t="s">
        <v>20</v>
      </c>
      <c r="D3" s="17" t="s">
        <v>22</v>
      </c>
      <c r="E3" s="17" t="s">
        <v>23</v>
      </c>
      <c r="F3" s="123" t="s">
        <v>24</v>
      </c>
      <c r="G3" s="19" t="s">
        <v>207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 t="s">
        <v>286</v>
      </c>
      <c r="B4" s="28"/>
      <c r="C4" s="28"/>
      <c r="D4" s="28"/>
      <c r="E4" s="28"/>
      <c r="F4" s="125"/>
      <c r="G4" s="7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 t="s">
        <v>287</v>
      </c>
      <c r="B5" s="28"/>
      <c r="C5" s="28"/>
      <c r="D5" s="28"/>
      <c r="E5" s="28"/>
      <c r="F5" s="125"/>
      <c r="G5" s="7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 t="s">
        <v>288</v>
      </c>
      <c r="B6" s="28"/>
      <c r="C6" s="28"/>
      <c r="D6" s="28"/>
      <c r="E6" s="28"/>
      <c r="F6" s="125"/>
      <c r="G6" s="7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 t="s">
        <v>123</v>
      </c>
      <c r="B7" s="28"/>
      <c r="C7" s="28"/>
      <c r="D7" s="28"/>
      <c r="E7" s="28"/>
      <c r="F7" s="125"/>
      <c r="G7" s="7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 t="s">
        <v>289</v>
      </c>
      <c r="B8" s="28"/>
      <c r="C8" s="28"/>
      <c r="D8" s="28"/>
      <c r="E8" s="28"/>
      <c r="F8" s="125"/>
      <c r="G8" s="7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 t="s">
        <v>290</v>
      </c>
      <c r="B9" s="28"/>
      <c r="C9" s="28"/>
      <c r="D9" s="28"/>
      <c r="E9" s="28"/>
      <c r="F9" s="125"/>
      <c r="G9" s="7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 t="s">
        <v>291</v>
      </c>
      <c r="B10" s="28"/>
      <c r="C10" s="28"/>
      <c r="D10" s="28"/>
      <c r="E10" s="28"/>
      <c r="F10" s="125"/>
      <c r="G10" s="7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2" t="s">
        <v>292</v>
      </c>
      <c r="B11" s="28"/>
      <c r="C11" s="28"/>
      <c r="D11" s="28"/>
      <c r="E11" s="28"/>
      <c r="F11" s="125"/>
      <c r="G11" s="7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 t="s">
        <v>293</v>
      </c>
      <c r="B12" s="28"/>
      <c r="C12" s="28"/>
      <c r="D12" s="28"/>
      <c r="E12" s="28"/>
      <c r="F12" s="125"/>
      <c r="G12" s="7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88" t="s">
        <v>294</v>
      </c>
      <c r="B13" s="28"/>
      <c r="C13" s="28"/>
      <c r="D13" s="28"/>
      <c r="E13" s="28"/>
      <c r="F13" s="125"/>
      <c r="G13" s="7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20" t="s">
        <v>295</v>
      </c>
      <c r="B14" s="178"/>
      <c r="C14" s="178"/>
      <c r="D14" s="178"/>
      <c r="E14" s="178"/>
      <c r="F14" s="189"/>
      <c r="G14" s="12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InfoInicial</vt:lpstr>
      <vt:lpstr>E-Costos</vt:lpstr>
      <vt:lpstr>E-Inv AF y Am</vt:lpstr>
      <vt:lpstr>E-InvAT</vt:lpstr>
      <vt:lpstr>E-Cal Inv.</vt:lpstr>
      <vt:lpstr>E-IVA </vt:lpstr>
      <vt:lpstr>E-Form</vt:lpstr>
      <vt:lpstr>F-Cred</vt:lpstr>
      <vt:lpstr>F-CRes</vt:lpstr>
      <vt:lpstr>F-2 Estructura</vt:lpstr>
      <vt:lpstr>F-IVA</vt:lpstr>
      <vt:lpstr>F- CFyU</vt:lpstr>
      <vt:lpstr>F-Balance</vt:lpstr>
      <vt:lpstr>F-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francisco romero</cp:lastModifiedBy>
  <dcterms:modified xsi:type="dcterms:W3CDTF">2017-09-01T22:35:59Z</dcterms:modified>
</cp:coreProperties>
</file>