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dmoriano\Desktop\"/>
    </mc:Choice>
  </mc:AlternateContent>
  <bookViews>
    <workbookView xWindow="0" yWindow="0" windowWidth="20490" windowHeight="7755" activeTab="5"/>
  </bookViews>
  <sheets>
    <sheet name="Ev de prod" sheetId="1" r:id="rId1"/>
    <sheet name="Stock" sheetId="2" r:id="rId2"/>
    <sheet name="Ventas" sheetId="3" r:id="rId3"/>
    <sheet name="Consumo de MP" sheetId="5" r:id="rId4"/>
    <sheet name="Stock Prom MT" sheetId="4" r:id="rId5"/>
    <sheet name="Cuadro de Evolución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6" l="1"/>
  <c r="D46" i="6" s="1"/>
  <c r="D11" i="6"/>
  <c r="D39" i="6"/>
  <c r="D41" i="6" s="1"/>
  <c r="C39" i="6"/>
  <c r="D29" i="6"/>
  <c r="D31" i="6" s="1"/>
  <c r="D26" i="6"/>
  <c r="D24" i="6"/>
  <c r="B20" i="6"/>
  <c r="D19" i="6"/>
  <c r="D21" i="6" s="1"/>
  <c r="S18" i="6"/>
  <c r="S17" i="6"/>
  <c r="S16" i="6"/>
  <c r="S15" i="6"/>
  <c r="S13" i="6"/>
  <c r="C44" i="6" s="1"/>
  <c r="S12" i="6"/>
  <c r="S11" i="6"/>
  <c r="S10" i="6"/>
  <c r="C29" i="6" s="1"/>
  <c r="S9" i="6"/>
  <c r="S8" i="6"/>
  <c r="S6" i="6"/>
  <c r="C24" i="6" s="1"/>
  <c r="D9" i="6"/>
  <c r="M6" i="6" l="1"/>
  <c r="D15" i="6" s="1"/>
  <c r="K7" i="6"/>
  <c r="M8" i="6"/>
  <c r="M9" i="6"/>
  <c r="M10" i="6"/>
  <c r="C30" i="6" s="1"/>
  <c r="C31" i="6" s="1"/>
  <c r="M11" i="6"/>
  <c r="M12" i="6"/>
  <c r="C40" i="6" s="1"/>
  <c r="C41" i="6" s="1"/>
  <c r="M13" i="6"/>
  <c r="C45" i="6" s="1"/>
  <c r="C46" i="6" s="1"/>
  <c r="M15" i="6"/>
  <c r="M16" i="6"/>
  <c r="M17" i="6"/>
  <c r="M18" i="6"/>
  <c r="B21" i="6"/>
  <c r="M7" i="6" l="1"/>
  <c r="S7" i="6"/>
  <c r="C19" i="6" s="1"/>
  <c r="D25" i="6"/>
  <c r="C25" i="6"/>
  <c r="C26" i="6" s="1"/>
  <c r="C15" i="6"/>
  <c r="D16" i="6"/>
  <c r="C6" i="6"/>
  <c r="C16" i="6" l="1"/>
  <c r="C9" i="6"/>
  <c r="C11" i="6" s="1"/>
  <c r="D20" i="6"/>
  <c r="C20" i="6"/>
  <c r="C21" i="6" s="1"/>
  <c r="K42" i="5"/>
  <c r="K41" i="5"/>
  <c r="K40" i="5"/>
  <c r="K39" i="5"/>
  <c r="K38" i="5"/>
  <c r="K37" i="5"/>
  <c r="K36" i="5"/>
  <c r="K35" i="5"/>
  <c r="K34" i="5"/>
  <c r="K33" i="5"/>
  <c r="K32" i="5"/>
  <c r="K31" i="5"/>
  <c r="I42" i="5"/>
  <c r="I41" i="5"/>
  <c r="I40" i="5"/>
  <c r="I39" i="5"/>
  <c r="I38" i="5"/>
  <c r="I37" i="5"/>
  <c r="I36" i="5"/>
  <c r="I35" i="5"/>
  <c r="I34" i="5"/>
  <c r="I33" i="5"/>
  <c r="I32" i="5"/>
  <c r="I31" i="5"/>
  <c r="F15" i="5" l="1"/>
  <c r="E20" i="4" l="1"/>
  <c r="K20" i="4" l="1"/>
  <c r="J20" i="4"/>
  <c r="F20" i="4"/>
  <c r="G13" i="1"/>
  <c r="I13" i="1" s="1"/>
  <c r="M13" i="1" l="1"/>
  <c r="E14" i="1"/>
  <c r="G14" i="1" l="1"/>
  <c r="E15" i="1" s="1"/>
  <c r="G15" i="1" l="1"/>
  <c r="I15" i="1"/>
  <c r="M15" i="1" s="1"/>
  <c r="I14" i="1"/>
  <c r="M14" i="1" s="1"/>
  <c r="M16" i="1" s="1"/>
</calcChain>
</file>

<file path=xl/sharedStrings.xml><?xml version="1.0" encoding="utf-8"?>
<sst xmlns="http://schemas.openxmlformats.org/spreadsheetml/2006/main" count="245" uniqueCount="140">
  <si>
    <t>Mes</t>
  </si>
  <si>
    <t>Ritmo de producción al inicio (%)</t>
  </si>
  <si>
    <t>Ritmo de producción al final (%)</t>
  </si>
  <si>
    <t>Producción promedio  (%)</t>
  </si>
  <si>
    <t>Producción mensual promedio (unidades)</t>
  </si>
  <si>
    <t>Producción propuesta (unidades)</t>
  </si>
  <si>
    <t>Total:</t>
  </si>
  <si>
    <t xml:space="preserve">Produccion anual </t>
  </si>
  <si>
    <t xml:space="preserve">Puesta en marcha </t>
  </si>
  <si>
    <t>3 meses</t>
  </si>
  <si>
    <t>c) volúmen de producción durante el resto del año 1:</t>
  </si>
  <si>
    <t>d) volúmen de producción en el año 1:</t>
  </si>
  <si>
    <t>e) volúmen de producción anual en los años 2 al 10:</t>
  </si>
  <si>
    <t>Stock Promedio de Producto Elaborado</t>
  </si>
  <si>
    <t>Entregas c/semana</t>
  </si>
  <si>
    <t>Evolución de las Ventas</t>
  </si>
  <si>
    <t>a) venta del año 1:</t>
  </si>
  <si>
    <t>b) venta de los años 2 a 10:</t>
  </si>
  <si>
    <t>Año 1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</si>
  <si>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</si>
  <si>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</si>
  <si>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</si>
  <si>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</si>
  <si>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</si>
  <si>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</si>
  <si>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</si>
  <si>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</si>
  <si>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</si>
  <si>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</si>
  <si>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</si>
  <si>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</si>
  <si>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</si>
  <si>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</si>
  <si>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</si>
  <si>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</si>
  <si>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</si>
  <si>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Stock de Estaño en Kg</t>
  </si>
  <si>
    <t>Stock de Pegamento en Kg</t>
  </si>
  <si>
    <t>12000 unidades</t>
  </si>
  <si>
    <t>El stock se mantiene constante y continuamente renovado.</t>
  </si>
  <si>
    <t xml:space="preserve"> </t>
  </si>
  <si>
    <t>Consumo real de Mp:</t>
  </si>
  <si>
    <t>kgr/año estaño</t>
  </si>
  <si>
    <t>kgr/año pegamento</t>
  </si>
  <si>
    <t>Total Anual</t>
  </si>
  <si>
    <t xml:space="preserve">Consumo de MT para el programa de producción </t>
  </si>
  <si>
    <t xml:space="preserve">3 meses puesta en marcha = </t>
  </si>
  <si>
    <t>Volumen de producción año 1 =</t>
  </si>
  <si>
    <t>Total de materia prima para la producción =</t>
  </si>
  <si>
    <t xml:space="preserve">Desperdicio NO RECUPERABLE por la producción = </t>
  </si>
  <si>
    <t xml:space="preserve">Consumo de la MP en mercaderia en proceso </t>
  </si>
  <si>
    <t xml:space="preserve">Consumo total de materia prima año 1 </t>
  </si>
  <si>
    <t xml:space="preserve">Productos elaborados : </t>
  </si>
  <si>
    <t>Merc. En curso y semielaborada:</t>
  </si>
  <si>
    <t xml:space="preserve">Total de consumo de MP AÑO 1 : </t>
  </si>
  <si>
    <t>De los 365 dias del año se restan: 15 dias de vacaciones, 96 dias no laborales y 10 feriados</t>
  </si>
  <si>
    <t>12000 unidades/año</t>
  </si>
  <si>
    <t>10000 unidades - 171 unidades = 9829 unidades</t>
  </si>
  <si>
    <r>
      <t xml:space="preserve">245 dias activos del año / 5 dias =  </t>
    </r>
    <r>
      <rPr>
        <sz val="11"/>
        <color rgb="FFFF0000"/>
        <rFont val="Calibri"/>
        <family val="2"/>
        <scheme val="minor"/>
      </rPr>
      <t xml:space="preserve">49 ciclos de elaboración </t>
    </r>
  </si>
  <si>
    <t xml:space="preserve">5 meses restantes =  </t>
  </si>
  <si>
    <t>4560 kg / 245 x 5 dias = 93,06 Kg</t>
  </si>
  <si>
    <t xml:space="preserve">(194 kg / 4476 kg ) x 100 = </t>
  </si>
  <si>
    <t xml:space="preserve">93,06 Kg x 1,0433 = </t>
  </si>
  <si>
    <t>97,09 Kg</t>
  </si>
  <si>
    <t xml:space="preserve">Derperdicio No recuperable :   </t>
  </si>
  <si>
    <t>(26 kg / 4476 kg ) x100 =</t>
  </si>
  <si>
    <t xml:space="preserve">97,09 kg x 0,0058 = </t>
  </si>
  <si>
    <t>0,563 Kg</t>
  </si>
  <si>
    <t xml:space="preserve">Desperdicio recuperable a reciclar: </t>
  </si>
  <si>
    <t xml:space="preserve">97,09 Kg x 0,0433 = </t>
  </si>
  <si>
    <t>4,20 Kg</t>
  </si>
  <si>
    <t>101,85 Kg</t>
  </si>
  <si>
    <t xml:space="preserve">5840 Kg + 101,85 kg = </t>
  </si>
  <si>
    <t>5941,85 Kg</t>
  </si>
  <si>
    <t>Al no ser un producto estacionario, se renovara mensualmente el consumo real de MP.</t>
  </si>
  <si>
    <r>
      <rPr>
        <b/>
        <sz val="11"/>
        <color theme="1"/>
        <rFont val="Calibri"/>
        <family val="2"/>
        <scheme val="minor"/>
      </rPr>
      <t>Valor mensual promedio</t>
    </r>
    <r>
      <rPr>
        <sz val="11"/>
        <color theme="1"/>
        <rFont val="Calibri"/>
        <family val="2"/>
        <scheme val="minor"/>
      </rPr>
      <t xml:space="preserve"> : 12000 unidades / 11,5 meses = 1043 u/mes</t>
    </r>
  </si>
  <si>
    <t>11,5 meses - 3 meses = 1043 unidades/mes x 8,5 meses = 8865 unidades</t>
  </si>
  <si>
    <t>1564 + 8865 = 10429 unidades</t>
  </si>
  <si>
    <t xml:space="preserve">50 semanas/año </t>
  </si>
  <si>
    <t>(52 SEMANAS - 2 DE VACACIONES)</t>
  </si>
  <si>
    <t>12000 unidades/año % 35 semanas/año = 240 unidades / semana</t>
  </si>
  <si>
    <t xml:space="preserve">Stock Promedio 120 unidades  </t>
  </si>
  <si>
    <t>quedando en 11,5 meses ( Se consideran distribuidos en el año los feriados )</t>
  </si>
  <si>
    <t xml:space="preserve">De las 1200 unidades fabricadas por año 960 NO SON RECUPERABLES </t>
  </si>
  <si>
    <t>Plaqueta de cobre para circuitos impresos doble faz</t>
  </si>
  <si>
    <t>Antena Wifi tipo PCB trace</t>
  </si>
  <si>
    <t>Capacitor electrolítico</t>
  </si>
  <si>
    <t>Oscilador de cristal</t>
  </si>
  <si>
    <t>Micro Controlador SMD</t>
  </si>
  <si>
    <t>Bobina 221 SMD</t>
  </si>
  <si>
    <t>Regulador de tensión SMD</t>
  </si>
  <si>
    <t>=</t>
  </si>
  <si>
    <t>Resistencias SMD 10K</t>
  </si>
  <si>
    <t>Borneras triple</t>
  </si>
  <si>
    <t>Diodos shotcky SMD</t>
  </si>
  <si>
    <t>Leds RGB SMD</t>
  </si>
  <si>
    <t>Circuitos integrados SMD</t>
  </si>
  <si>
    <t>kg</t>
  </si>
  <si>
    <t>No recuperables</t>
  </si>
  <si>
    <t>ESTAÑO Y PEGAMENTO</t>
  </si>
  <si>
    <t xml:space="preserve">(Incluye desperdicios recuperables y </t>
  </si>
  <si>
    <t>no recuperables)</t>
  </si>
  <si>
    <t xml:space="preserve"> (ESTAÑO Y PEGAMENTO)</t>
  </si>
  <si>
    <t>3452 / 11,5 MESES = 300  CONSUMO MENSUAL</t>
  </si>
  <si>
    <t>940 / 11,5 MESES = 81  CONSUMO MENSUAL</t>
  </si>
  <si>
    <t>Ventas</t>
  </si>
  <si>
    <t>Stock promedio elaborado</t>
  </si>
  <si>
    <t>Produción</t>
  </si>
  <si>
    <t>Desperdicio no recuperable</t>
  </si>
  <si>
    <t>En curso y semielaborado</t>
  </si>
  <si>
    <t xml:space="preserve">Consumo de materia prima </t>
  </si>
  <si>
    <t xml:space="preserve">Stock de materia prima </t>
  </si>
  <si>
    <t xml:space="preserve">Compra de materia prima </t>
  </si>
  <si>
    <t>Año 0</t>
  </si>
  <si>
    <t>Año 2 a 5</t>
  </si>
  <si>
    <t>En curso y Semielaborado</t>
  </si>
  <si>
    <t>unidades</t>
  </si>
  <si>
    <t xml:space="preserve">Kg </t>
  </si>
  <si>
    <t>Kg</t>
  </si>
  <si>
    <t>Total unidades para la produccion =</t>
  </si>
  <si>
    <t>Volumen de la produccion realizada en el año =</t>
  </si>
  <si>
    <t xml:space="preserve"> 8865 x 1,2</t>
  </si>
  <si>
    <t>1200 x 1,1</t>
  </si>
  <si>
    <t>Desperdicio de la produccion ( en unidades) =</t>
  </si>
  <si>
    <t>2494 unidades (AÑO 2 AL 5)</t>
  </si>
  <si>
    <t>Stock de Materia prima</t>
  </si>
  <si>
    <t>Años 2 a 5</t>
  </si>
  <si>
    <t>Plaqueta de cobre</t>
  </si>
  <si>
    <t>Resistencia de SMD 10K</t>
  </si>
  <si>
    <t>Prom mensual</t>
  </si>
  <si>
    <t>Consumo de materia prima</t>
  </si>
  <si>
    <t>Semielaborado</t>
  </si>
  <si>
    <t xml:space="preserve">En curso y </t>
  </si>
  <si>
    <t>Producción</t>
  </si>
  <si>
    <t>(AÑO 1)</t>
  </si>
  <si>
    <t>Produccion</t>
  </si>
  <si>
    <t>(Año 2 a 5)</t>
  </si>
  <si>
    <t>Unidades</t>
  </si>
  <si>
    <t>TODOS LOS NUMEROS ESTAN EXPRESADAS EN UNIDADES</t>
  </si>
  <si>
    <t>Placa armada (con componentes)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</si>
</sst>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right"/>
    </xf>
    <xf numFmtId="0" fontId="0" fillId="0" borderId="4" xfId="0" applyBorder="1"/>
    <xf numFmtId="0" fontId="4" fillId="0" borderId="0" xfId="0" applyFont="1"/>
    <xf numFmtId="0" fontId="0" fillId="3" borderId="0" xfId="0" applyFill="1"/>
    <xf numFmtId="0" fontId="4" fillId="3" borderId="0" xfId="0" applyFont="1" applyFill="1"/>
    <xf numFmtId="10" fontId="4" fillId="0" borderId="0" xfId="0" applyNumberFormat="1" applyFont="1" applyAlignment="1">
      <alignment horizontal="left"/>
    </xf>
    <xf numFmtId="0" fontId="5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1" xfId="0" applyBorder="1"/>
    <xf numFmtId="0" fontId="0" fillId="3" borderId="0" xfId="0" applyFill="1" applyAlignment="1"/>
    <xf numFmtId="0" fontId="0" fillId="0" borderId="0" xfId="0" applyBorder="1"/>
    <xf numFmtId="0" fontId="5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/>
    <xf numFmtId="0" fontId="7" fillId="3" borderId="0" xfId="0" applyFont="1" applyFill="1"/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topLeftCell="A5" workbookViewId="0">
      <selection activeCell="I18" sqref="I18"/>
    </sheetView>
  </sheetViews>
  <sheetFormatPr baseColWidth="10" defaultRowHeight="15" x14ac:dyDescent="0.25"/>
  <sheetData>
    <row r="2" spans="3:14" x14ac:dyDescent="0.25">
      <c r="C2" s="5" t="s">
        <v>7</v>
      </c>
      <c r="D2" s="5"/>
      <c r="E2" s="5" t="s">
        <v>38</v>
      </c>
      <c r="F2" s="5"/>
      <c r="G2" t="s">
        <v>75</v>
      </c>
    </row>
    <row r="4" spans="3:14" x14ac:dyDescent="0.25">
      <c r="C4" t="s">
        <v>8</v>
      </c>
      <c r="E4" t="s">
        <v>9</v>
      </c>
    </row>
    <row r="7" spans="3:14" x14ac:dyDescent="0.25">
      <c r="D7" t="s">
        <v>55</v>
      </c>
    </row>
    <row r="8" spans="3:14" x14ac:dyDescent="0.25">
      <c r="D8" t="s">
        <v>82</v>
      </c>
    </row>
    <row r="12" spans="3:14" x14ac:dyDescent="0.25">
      <c r="D12" s="1" t="s">
        <v>0</v>
      </c>
      <c r="E12" s="33" t="s">
        <v>1</v>
      </c>
      <c r="F12" s="33"/>
      <c r="G12" s="33" t="s">
        <v>2</v>
      </c>
      <c r="H12" s="33"/>
      <c r="I12" s="33" t="s">
        <v>3</v>
      </c>
      <c r="J12" s="33"/>
      <c r="K12" s="33" t="s">
        <v>4</v>
      </c>
      <c r="L12" s="33"/>
      <c r="M12" s="33" t="s">
        <v>5</v>
      </c>
      <c r="N12" s="33"/>
    </row>
    <row r="13" spans="3:14" x14ac:dyDescent="0.25">
      <c r="D13" s="2">
        <v>1</v>
      </c>
      <c r="E13" s="34">
        <v>0</v>
      </c>
      <c r="F13" s="34"/>
      <c r="G13" s="34">
        <f>1/3</f>
        <v>0.33333333333333331</v>
      </c>
      <c r="H13" s="34"/>
      <c r="I13" s="34">
        <f>AVERAGE(E13:H13)</f>
        <v>0.16666666666666666</v>
      </c>
      <c r="J13" s="34"/>
      <c r="K13" s="35">
        <v>1043</v>
      </c>
      <c r="L13" s="36"/>
      <c r="M13" s="37">
        <f>I13*K13</f>
        <v>173.83333333333331</v>
      </c>
      <c r="N13" s="37"/>
    </row>
    <row r="14" spans="3:14" x14ac:dyDescent="0.25">
      <c r="D14" s="2">
        <v>2</v>
      </c>
      <c r="E14" s="34">
        <f>G13</f>
        <v>0.33333333333333331</v>
      </c>
      <c r="F14" s="34"/>
      <c r="G14" s="34">
        <f>E14+G13</f>
        <v>0.66666666666666663</v>
      </c>
      <c r="H14" s="34"/>
      <c r="I14" s="34">
        <f t="shared" ref="I14:I15" si="0">AVERAGE(E14:H14)</f>
        <v>0.5</v>
      </c>
      <c r="J14" s="34"/>
      <c r="K14" s="35">
        <v>1043</v>
      </c>
      <c r="L14" s="36"/>
      <c r="M14" s="37">
        <f t="shared" ref="M14:M15" si="1">I14*K14</f>
        <v>521.5</v>
      </c>
      <c r="N14" s="37"/>
    </row>
    <row r="15" spans="3:14" x14ac:dyDescent="0.25">
      <c r="D15" s="2">
        <v>3</v>
      </c>
      <c r="E15" s="34">
        <f>G14</f>
        <v>0.66666666666666663</v>
      </c>
      <c r="F15" s="34"/>
      <c r="G15" s="34">
        <f>E15+G13</f>
        <v>1</v>
      </c>
      <c r="H15" s="34"/>
      <c r="I15" s="34">
        <f t="shared" si="0"/>
        <v>0.83333333333333326</v>
      </c>
      <c r="J15" s="34"/>
      <c r="K15" s="35">
        <v>1043</v>
      </c>
      <c r="L15" s="36"/>
      <c r="M15" s="37">
        <f t="shared" si="1"/>
        <v>869.16666666666663</v>
      </c>
      <c r="N15" s="37"/>
    </row>
    <row r="16" spans="3:14" x14ac:dyDescent="0.25">
      <c r="L16" s="3" t="s">
        <v>6</v>
      </c>
      <c r="M16" s="37">
        <f>SUM(M13:N15)</f>
        <v>1564.5</v>
      </c>
      <c r="N16" s="38"/>
    </row>
    <row r="18" spans="4:9" x14ac:dyDescent="0.25">
      <c r="D18" t="s">
        <v>10</v>
      </c>
      <c r="I18" t="s">
        <v>76</v>
      </c>
    </row>
    <row r="20" spans="4:9" x14ac:dyDescent="0.25">
      <c r="D20" t="s">
        <v>11</v>
      </c>
      <c r="I20" t="s">
        <v>77</v>
      </c>
    </row>
    <row r="22" spans="4:9" x14ac:dyDescent="0.25">
      <c r="D22" t="s">
        <v>12</v>
      </c>
      <c r="I22" t="s">
        <v>38</v>
      </c>
    </row>
  </sheetData>
  <mergeCells count="21"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  <mergeCell ref="M12:N12"/>
    <mergeCell ref="E13:F13"/>
    <mergeCell ref="G13:H13"/>
    <mergeCell ref="I13:J13"/>
    <mergeCell ref="K13:L13"/>
    <mergeCell ref="M13:N13"/>
    <mergeCell ref="E12:F12"/>
    <mergeCell ref="G12:H12"/>
    <mergeCell ref="I12:J12"/>
    <mergeCell ref="K12:L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workbookViewId="0">
      <selection activeCell="B10" sqref="B10"/>
    </sheetView>
  </sheetViews>
  <sheetFormatPr baseColWidth="10" defaultRowHeight="15" x14ac:dyDescent="0.25"/>
  <sheetData>
    <row r="3" spans="2:7" x14ac:dyDescent="0.25">
      <c r="B3" s="4" t="s">
        <v>13</v>
      </c>
      <c r="C3" s="4"/>
      <c r="D3" s="4"/>
    </row>
    <row r="5" spans="2:7" x14ac:dyDescent="0.25">
      <c r="B5" t="s">
        <v>78</v>
      </c>
      <c r="E5" t="s">
        <v>14</v>
      </c>
      <c r="G5" t="s">
        <v>79</v>
      </c>
    </row>
    <row r="6" spans="2:7" x14ac:dyDescent="0.25">
      <c r="B6" t="s">
        <v>56</v>
      </c>
    </row>
    <row r="7" spans="2:7" x14ac:dyDescent="0.25">
      <c r="B7" t="s">
        <v>80</v>
      </c>
      <c r="E7" s="12"/>
      <c r="F7" s="12"/>
    </row>
    <row r="9" spans="2:7" x14ac:dyDescent="0.25">
      <c r="B9" s="5" t="s">
        <v>81</v>
      </c>
      <c r="C9" s="5"/>
      <c r="D9" s="5"/>
    </row>
    <row r="11" spans="2:7" x14ac:dyDescent="0.25">
      <c r="B11" t="s">
        <v>39</v>
      </c>
    </row>
    <row r="12" spans="2:7" x14ac:dyDescent="0.25">
      <c r="B1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E8" sqref="E8"/>
    </sheetView>
  </sheetViews>
  <sheetFormatPr baseColWidth="10" defaultRowHeight="15" x14ac:dyDescent="0.25"/>
  <sheetData>
    <row r="3" spans="2:5" x14ac:dyDescent="0.25">
      <c r="B3" s="5" t="s">
        <v>15</v>
      </c>
      <c r="C3" s="5"/>
    </row>
    <row r="5" spans="2:5" x14ac:dyDescent="0.25">
      <c r="B5" t="s">
        <v>16</v>
      </c>
      <c r="D5" t="s">
        <v>57</v>
      </c>
    </row>
    <row r="7" spans="2:5" x14ac:dyDescent="0.25">
      <c r="B7" t="s">
        <v>17</v>
      </c>
      <c r="E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topLeftCell="A9" workbookViewId="0">
      <selection activeCell="I14" sqref="I14"/>
    </sheetView>
  </sheetViews>
  <sheetFormatPr baseColWidth="10" defaultRowHeight="15" x14ac:dyDescent="0.25"/>
  <sheetData>
    <row r="2" spans="2:19" x14ac:dyDescent="0.25">
      <c r="B2" t="s">
        <v>45</v>
      </c>
      <c r="N2" t="s">
        <v>51</v>
      </c>
      <c r="Q2" t="s">
        <v>102</v>
      </c>
    </row>
    <row r="5" spans="2:19" x14ac:dyDescent="0.25">
      <c r="B5" t="s">
        <v>58</v>
      </c>
      <c r="N5" t="s">
        <v>52</v>
      </c>
      <c r="Q5" t="s">
        <v>61</v>
      </c>
      <c r="S5" s="14">
        <v>4.3299999999999998E-2</v>
      </c>
    </row>
    <row r="7" spans="2:19" x14ac:dyDescent="0.25">
      <c r="B7" t="s">
        <v>46</v>
      </c>
      <c r="E7" t="s">
        <v>122</v>
      </c>
      <c r="F7">
        <v>1320</v>
      </c>
      <c r="G7" t="s">
        <v>116</v>
      </c>
      <c r="Q7" t="s">
        <v>62</v>
      </c>
      <c r="S7" s="13" t="s">
        <v>63</v>
      </c>
    </row>
    <row r="9" spans="2:19" x14ac:dyDescent="0.25">
      <c r="B9" t="s">
        <v>59</v>
      </c>
      <c r="E9" t="s">
        <v>121</v>
      </c>
      <c r="F9">
        <v>10638</v>
      </c>
      <c r="G9" t="s">
        <v>116</v>
      </c>
      <c r="N9" t="s">
        <v>64</v>
      </c>
      <c r="Q9" s="15" t="s">
        <v>65</v>
      </c>
      <c r="S9" s="14">
        <v>5.7999999999999996E-3</v>
      </c>
    </row>
    <row r="11" spans="2:19" x14ac:dyDescent="0.25">
      <c r="B11" t="s">
        <v>119</v>
      </c>
      <c r="F11" s="18">
        <v>11958</v>
      </c>
      <c r="G11" t="s">
        <v>116</v>
      </c>
      <c r="Q11" t="s">
        <v>66</v>
      </c>
      <c r="S11" s="13" t="s">
        <v>67</v>
      </c>
    </row>
    <row r="12" spans="2:19" x14ac:dyDescent="0.25">
      <c r="B12" t="s">
        <v>120</v>
      </c>
      <c r="F12" s="12">
        <v>9880</v>
      </c>
      <c r="G12" s="12" t="s">
        <v>116</v>
      </c>
    </row>
    <row r="13" spans="2:19" x14ac:dyDescent="0.25">
      <c r="B13" t="s">
        <v>123</v>
      </c>
      <c r="F13" s="24">
        <v>2078</v>
      </c>
      <c r="G13" s="12" t="s">
        <v>116</v>
      </c>
      <c r="I13" s="12" t="s">
        <v>124</v>
      </c>
      <c r="J13" s="12"/>
      <c r="K13" s="12"/>
      <c r="N13" t="s">
        <v>68</v>
      </c>
      <c r="Q13" s="17" t="s">
        <v>69</v>
      </c>
      <c r="R13" s="18"/>
      <c r="S13" s="13" t="s">
        <v>70</v>
      </c>
    </row>
    <row r="15" spans="2:19" x14ac:dyDescent="0.25">
      <c r="B15" t="s">
        <v>48</v>
      </c>
      <c r="F15" s="11">
        <f>SUM(F6:F10)</f>
        <v>11958</v>
      </c>
      <c r="G15" t="s">
        <v>117</v>
      </c>
    </row>
    <row r="16" spans="2:19" x14ac:dyDescent="0.25">
      <c r="N16" t="s">
        <v>53</v>
      </c>
      <c r="S16" s="13" t="s">
        <v>71</v>
      </c>
    </row>
    <row r="17" spans="1:19" x14ac:dyDescent="0.25">
      <c r="B17" t="s">
        <v>47</v>
      </c>
      <c r="F17" s="11">
        <v>5200</v>
      </c>
      <c r="G17" t="s">
        <v>118</v>
      </c>
    </row>
    <row r="18" spans="1:19" x14ac:dyDescent="0.25">
      <c r="N18" t="s">
        <v>54</v>
      </c>
      <c r="Q18" s="16" t="s">
        <v>72</v>
      </c>
      <c r="S18" s="13" t="s">
        <v>73</v>
      </c>
    </row>
    <row r="19" spans="1:19" x14ac:dyDescent="0.25">
      <c r="B19" t="s">
        <v>49</v>
      </c>
      <c r="F19" s="12">
        <v>640</v>
      </c>
      <c r="G19" s="12" t="s">
        <v>97</v>
      </c>
    </row>
    <row r="21" spans="1:19" x14ac:dyDescent="0.25">
      <c r="F21" s="11"/>
      <c r="N21" s="19">
        <v>1</v>
      </c>
      <c r="O21" s="19" t="s">
        <v>84</v>
      </c>
      <c r="P21" s="19"/>
      <c r="Q21" s="19"/>
      <c r="S21">
        <v>960</v>
      </c>
    </row>
    <row r="22" spans="1:19" x14ac:dyDescent="0.25">
      <c r="N22">
        <v>53</v>
      </c>
      <c r="O22" t="s">
        <v>92</v>
      </c>
      <c r="S22">
        <v>960</v>
      </c>
    </row>
    <row r="23" spans="1:19" x14ac:dyDescent="0.25">
      <c r="N23">
        <v>1</v>
      </c>
      <c r="O23" t="s">
        <v>85</v>
      </c>
      <c r="S23">
        <v>960</v>
      </c>
    </row>
    <row r="24" spans="1:19" x14ac:dyDescent="0.25">
      <c r="B24" s="12" t="s">
        <v>50</v>
      </c>
      <c r="C24" s="12"/>
      <c r="D24" s="12"/>
      <c r="E24" s="12"/>
      <c r="N24">
        <v>1</v>
      </c>
      <c r="O24" t="s">
        <v>86</v>
      </c>
      <c r="S24">
        <v>960</v>
      </c>
    </row>
    <row r="25" spans="1:19" x14ac:dyDescent="0.25">
      <c r="B25" s="22" t="s">
        <v>99</v>
      </c>
      <c r="C25" s="11"/>
      <c r="N25">
        <v>3</v>
      </c>
      <c r="O25" t="s">
        <v>93</v>
      </c>
      <c r="S25">
        <v>960</v>
      </c>
    </row>
    <row r="26" spans="1:19" x14ac:dyDescent="0.25">
      <c r="N26">
        <v>1</v>
      </c>
      <c r="O26" t="s">
        <v>87</v>
      </c>
      <c r="S26">
        <v>960</v>
      </c>
    </row>
    <row r="27" spans="1:19" x14ac:dyDescent="0.25">
      <c r="B27" t="s">
        <v>60</v>
      </c>
      <c r="E27" t="s">
        <v>100</v>
      </c>
      <c r="H27" t="s">
        <v>101</v>
      </c>
      <c r="N27">
        <v>4</v>
      </c>
      <c r="O27" t="s">
        <v>94</v>
      </c>
      <c r="S27">
        <v>960</v>
      </c>
    </row>
    <row r="28" spans="1:19" x14ac:dyDescent="0.25">
      <c r="N28">
        <v>9</v>
      </c>
      <c r="O28" t="s">
        <v>95</v>
      </c>
      <c r="S28">
        <v>960</v>
      </c>
    </row>
    <row r="29" spans="1:19" x14ac:dyDescent="0.25">
      <c r="B29" t="s">
        <v>83</v>
      </c>
      <c r="I29" t="s">
        <v>98</v>
      </c>
      <c r="K29" t="s">
        <v>115</v>
      </c>
      <c r="N29" s="19">
        <v>1</v>
      </c>
      <c r="O29" s="19" t="s">
        <v>88</v>
      </c>
      <c r="P29" s="19"/>
      <c r="Q29" s="19"/>
      <c r="S29">
        <v>960</v>
      </c>
    </row>
    <row r="30" spans="1:19" x14ac:dyDescent="0.25">
      <c r="F30" s="11"/>
      <c r="N30" s="19">
        <v>3</v>
      </c>
      <c r="O30" s="19" t="s">
        <v>96</v>
      </c>
      <c r="P30" s="19"/>
      <c r="Q30" s="16"/>
      <c r="S30">
        <v>960</v>
      </c>
    </row>
    <row r="31" spans="1:19" x14ac:dyDescent="0.25">
      <c r="A31" s="20">
        <v>1</v>
      </c>
      <c r="B31" s="11" t="s">
        <v>84</v>
      </c>
      <c r="C31" s="11"/>
      <c r="D31" s="11"/>
      <c r="E31" s="11"/>
      <c r="F31" s="21">
        <v>960</v>
      </c>
      <c r="G31" s="21" t="s">
        <v>91</v>
      </c>
      <c r="I31">
        <f t="shared" ref="I31:I42" si="0">(F31*A31)</f>
        <v>960</v>
      </c>
      <c r="K31">
        <f t="shared" ref="K31:K42" si="1">(181*A31)</f>
        <v>181</v>
      </c>
      <c r="N31">
        <v>1</v>
      </c>
      <c r="O31" t="s">
        <v>89</v>
      </c>
      <c r="S31">
        <v>960</v>
      </c>
    </row>
    <row r="32" spans="1:19" x14ac:dyDescent="0.25">
      <c r="A32" s="20">
        <v>53</v>
      </c>
      <c r="B32" s="11" t="s">
        <v>92</v>
      </c>
      <c r="C32" s="11"/>
      <c r="D32" s="11"/>
      <c r="E32" s="11"/>
      <c r="F32" s="21">
        <v>960</v>
      </c>
      <c r="G32" s="21" t="s">
        <v>91</v>
      </c>
      <c r="I32">
        <f t="shared" si="0"/>
        <v>50880</v>
      </c>
      <c r="K32">
        <f t="shared" si="1"/>
        <v>9593</v>
      </c>
      <c r="N32">
        <v>1</v>
      </c>
      <c r="O32" t="s">
        <v>90</v>
      </c>
      <c r="S32">
        <v>960</v>
      </c>
    </row>
    <row r="33" spans="1:11" x14ac:dyDescent="0.25">
      <c r="A33" s="20">
        <v>1</v>
      </c>
      <c r="B33" s="11" t="s">
        <v>85</v>
      </c>
      <c r="C33" s="11"/>
      <c r="D33" s="11"/>
      <c r="E33" s="11"/>
      <c r="F33" s="21">
        <v>960</v>
      </c>
      <c r="G33" s="21" t="s">
        <v>91</v>
      </c>
      <c r="I33">
        <f t="shared" si="0"/>
        <v>960</v>
      </c>
      <c r="K33">
        <f t="shared" si="1"/>
        <v>181</v>
      </c>
    </row>
    <row r="34" spans="1:11" x14ac:dyDescent="0.25">
      <c r="A34" s="20">
        <v>1</v>
      </c>
      <c r="B34" s="11" t="s">
        <v>86</v>
      </c>
      <c r="C34" s="11"/>
      <c r="D34" s="11"/>
      <c r="E34" s="11"/>
      <c r="F34" s="21">
        <v>960</v>
      </c>
      <c r="G34" s="21" t="s">
        <v>91</v>
      </c>
      <c r="I34">
        <f t="shared" si="0"/>
        <v>960</v>
      </c>
      <c r="K34">
        <f t="shared" si="1"/>
        <v>181</v>
      </c>
    </row>
    <row r="35" spans="1:11" x14ac:dyDescent="0.25">
      <c r="A35" s="20">
        <v>3</v>
      </c>
      <c r="B35" s="11" t="s">
        <v>93</v>
      </c>
      <c r="C35" s="11"/>
      <c r="D35" s="11"/>
      <c r="E35" s="11"/>
      <c r="F35" s="21">
        <v>960</v>
      </c>
      <c r="G35" s="21" t="s">
        <v>91</v>
      </c>
      <c r="I35">
        <f t="shared" si="0"/>
        <v>2880</v>
      </c>
      <c r="K35">
        <f t="shared" si="1"/>
        <v>543</v>
      </c>
    </row>
    <row r="36" spans="1:11" x14ac:dyDescent="0.25">
      <c r="A36" s="20">
        <v>1</v>
      </c>
      <c r="B36" s="11" t="s">
        <v>87</v>
      </c>
      <c r="C36" s="11"/>
      <c r="D36" s="11"/>
      <c r="E36" s="11"/>
      <c r="F36" s="21">
        <v>960</v>
      </c>
      <c r="G36" s="21" t="s">
        <v>91</v>
      </c>
      <c r="I36">
        <f t="shared" si="0"/>
        <v>960</v>
      </c>
      <c r="K36">
        <f t="shared" si="1"/>
        <v>181</v>
      </c>
    </row>
    <row r="37" spans="1:11" x14ac:dyDescent="0.25">
      <c r="A37" s="20">
        <v>4</v>
      </c>
      <c r="B37" s="11" t="s">
        <v>94</v>
      </c>
      <c r="C37" s="11"/>
      <c r="D37" s="11"/>
      <c r="E37" s="11"/>
      <c r="F37" s="21">
        <v>960</v>
      </c>
      <c r="G37" s="21" t="s">
        <v>91</v>
      </c>
      <c r="I37">
        <f t="shared" si="0"/>
        <v>3840</v>
      </c>
      <c r="K37">
        <f t="shared" si="1"/>
        <v>724</v>
      </c>
    </row>
    <row r="38" spans="1:11" x14ac:dyDescent="0.25">
      <c r="A38" s="20">
        <v>9</v>
      </c>
      <c r="B38" s="11" t="s">
        <v>95</v>
      </c>
      <c r="C38" s="11"/>
      <c r="D38" s="11"/>
      <c r="E38" s="11"/>
      <c r="F38" s="21">
        <v>960</v>
      </c>
      <c r="G38" s="21" t="s">
        <v>91</v>
      </c>
      <c r="I38">
        <f t="shared" si="0"/>
        <v>8640</v>
      </c>
      <c r="K38">
        <f t="shared" si="1"/>
        <v>1629</v>
      </c>
    </row>
    <row r="39" spans="1:11" x14ac:dyDescent="0.25">
      <c r="A39" s="20">
        <v>1</v>
      </c>
      <c r="B39" s="11" t="s">
        <v>88</v>
      </c>
      <c r="C39" s="11"/>
      <c r="D39" s="11"/>
      <c r="E39" s="11"/>
      <c r="F39" s="21">
        <v>960</v>
      </c>
      <c r="G39" s="21" t="s">
        <v>91</v>
      </c>
      <c r="I39">
        <f t="shared" si="0"/>
        <v>960</v>
      </c>
      <c r="K39">
        <f t="shared" si="1"/>
        <v>181</v>
      </c>
    </row>
    <row r="40" spans="1:11" x14ac:dyDescent="0.25">
      <c r="A40" s="20">
        <v>3</v>
      </c>
      <c r="B40" s="11" t="s">
        <v>96</v>
      </c>
      <c r="C40" s="11"/>
      <c r="D40" s="11"/>
      <c r="E40" s="11"/>
      <c r="F40" s="21">
        <v>960</v>
      </c>
      <c r="G40" s="21" t="s">
        <v>91</v>
      </c>
      <c r="I40">
        <f t="shared" si="0"/>
        <v>2880</v>
      </c>
      <c r="K40">
        <f t="shared" si="1"/>
        <v>543</v>
      </c>
    </row>
    <row r="41" spans="1:11" x14ac:dyDescent="0.25">
      <c r="A41" s="20">
        <v>1</v>
      </c>
      <c r="B41" s="11" t="s">
        <v>89</v>
      </c>
      <c r="C41" s="11"/>
      <c r="D41" s="11"/>
      <c r="E41" s="11"/>
      <c r="F41" s="21">
        <v>960</v>
      </c>
      <c r="G41" s="21" t="s">
        <v>91</v>
      </c>
      <c r="I41">
        <f t="shared" si="0"/>
        <v>960</v>
      </c>
      <c r="K41">
        <f t="shared" si="1"/>
        <v>181</v>
      </c>
    </row>
    <row r="42" spans="1:11" x14ac:dyDescent="0.25">
      <c r="A42" s="20">
        <v>1</v>
      </c>
      <c r="B42" s="11" t="s">
        <v>90</v>
      </c>
      <c r="C42" s="11"/>
      <c r="D42" s="11"/>
      <c r="E42" s="11"/>
      <c r="F42" s="21">
        <v>960</v>
      </c>
      <c r="G42" s="21" t="s">
        <v>91</v>
      </c>
      <c r="I42">
        <f t="shared" si="0"/>
        <v>960</v>
      </c>
      <c r="K42">
        <f t="shared" si="1"/>
        <v>181</v>
      </c>
    </row>
    <row r="43" spans="1:11" x14ac:dyDescent="0.25">
      <c r="A43" s="20"/>
      <c r="F43" s="21"/>
    </row>
    <row r="44" spans="1:11" x14ac:dyDescent="0.25">
      <c r="A44" s="20"/>
      <c r="F44" s="21"/>
    </row>
    <row r="45" spans="1:11" x14ac:dyDescent="0.25">
      <c r="A45" s="20"/>
      <c r="F45" s="21"/>
    </row>
    <row r="46" spans="1:11" x14ac:dyDescent="0.25">
      <c r="A46" s="20"/>
      <c r="F46" s="21"/>
    </row>
    <row r="47" spans="1:11" x14ac:dyDescent="0.25">
      <c r="A47" s="20"/>
      <c r="F47" s="21"/>
    </row>
    <row r="48" spans="1:11" x14ac:dyDescent="0.25">
      <c r="A48" s="20"/>
      <c r="F48" s="21"/>
    </row>
    <row r="49" spans="1:6" x14ac:dyDescent="0.25">
      <c r="A49" s="20"/>
      <c r="F49" s="21"/>
    </row>
    <row r="50" spans="1:6" x14ac:dyDescent="0.25">
      <c r="A50" s="20"/>
      <c r="F50" s="21"/>
    </row>
    <row r="51" spans="1:6" x14ac:dyDescent="0.25">
      <c r="A51" s="20"/>
      <c r="F51" s="21"/>
    </row>
    <row r="52" spans="1:6" x14ac:dyDescent="0.25">
      <c r="A52" s="20"/>
      <c r="F52" s="21"/>
    </row>
    <row r="53" spans="1:6" x14ac:dyDescent="0.25">
      <c r="A53" s="20"/>
      <c r="F53" s="21"/>
    </row>
    <row r="54" spans="1:6" x14ac:dyDescent="0.25">
      <c r="A54" s="20"/>
      <c r="F54" s="21"/>
    </row>
    <row r="55" spans="1:6" x14ac:dyDescent="0.25">
      <c r="A55" s="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opLeftCell="A5" workbookViewId="0">
      <selection activeCell="I23" sqref="I23"/>
    </sheetView>
  </sheetViews>
  <sheetFormatPr baseColWidth="10" defaultRowHeight="15" x14ac:dyDescent="0.25"/>
  <cols>
    <col min="1" max="1" width="19.7109375" customWidth="1"/>
    <col min="3" max="3" width="18.7109375" customWidth="1"/>
  </cols>
  <sheetData>
    <row r="2" spans="3:11" x14ac:dyDescent="0.25">
      <c r="F2" s="5"/>
      <c r="G2" s="5"/>
    </row>
    <row r="3" spans="3:11" x14ac:dyDescent="0.25">
      <c r="C3" s="5"/>
      <c r="D3" s="5" t="s">
        <v>36</v>
      </c>
      <c r="E3" s="5"/>
      <c r="I3" s="5" t="s">
        <v>37</v>
      </c>
      <c r="J3" s="5"/>
    </row>
    <row r="5" spans="3:11" ht="15.75" x14ac:dyDescent="0.25">
      <c r="D5" s="6" t="s">
        <v>18</v>
      </c>
      <c r="I5" s="6" t="s">
        <v>18</v>
      </c>
    </row>
    <row r="6" spans="3:11" x14ac:dyDescent="0.25">
      <c r="D6" s="7" t="s">
        <v>19</v>
      </c>
      <c r="E6" s="7" t="s">
        <v>20</v>
      </c>
      <c r="F6" s="7" t="s">
        <v>21</v>
      </c>
      <c r="I6" s="7" t="s">
        <v>19</v>
      </c>
      <c r="J6" s="7" t="s">
        <v>20</v>
      </c>
      <c r="K6" s="7" t="s">
        <v>21</v>
      </c>
    </row>
    <row r="7" spans="3:11" x14ac:dyDescent="0.25">
      <c r="D7" s="7" t="s">
        <v>22</v>
      </c>
      <c r="E7" s="8">
        <v>500</v>
      </c>
      <c r="F7" s="8">
        <v>0</v>
      </c>
      <c r="I7" s="7" t="s">
        <v>22</v>
      </c>
      <c r="J7" s="8">
        <v>120</v>
      </c>
      <c r="K7" s="8">
        <v>0</v>
      </c>
    </row>
    <row r="8" spans="3:11" x14ac:dyDescent="0.25">
      <c r="D8" s="7" t="s">
        <v>23</v>
      </c>
      <c r="E8" s="8">
        <v>68.5</v>
      </c>
      <c r="F8" s="8">
        <v>500</v>
      </c>
      <c r="I8" s="7" t="s">
        <v>23</v>
      </c>
      <c r="J8" s="8">
        <v>2</v>
      </c>
      <c r="K8" s="8">
        <v>120</v>
      </c>
    </row>
    <row r="9" spans="3:11" x14ac:dyDescent="0.25">
      <c r="D9" s="7" t="s">
        <v>24</v>
      </c>
      <c r="E9" s="8">
        <v>500</v>
      </c>
      <c r="F9" s="8">
        <v>500</v>
      </c>
      <c r="I9" s="7" t="s">
        <v>24</v>
      </c>
      <c r="J9" s="8">
        <v>120</v>
      </c>
      <c r="K9" s="8">
        <v>120</v>
      </c>
    </row>
    <row r="10" spans="3:11" x14ac:dyDescent="0.25">
      <c r="D10" s="7" t="s">
        <v>25</v>
      </c>
      <c r="E10" s="8">
        <v>500</v>
      </c>
      <c r="F10" s="8">
        <v>500</v>
      </c>
      <c r="I10" s="7" t="s">
        <v>25</v>
      </c>
      <c r="J10" s="8">
        <v>120</v>
      </c>
      <c r="K10" s="8">
        <v>120</v>
      </c>
    </row>
    <row r="11" spans="3:11" x14ac:dyDescent="0.25">
      <c r="D11" s="7" t="s">
        <v>26</v>
      </c>
      <c r="E11" s="8">
        <v>500</v>
      </c>
      <c r="F11" s="8">
        <v>500</v>
      </c>
      <c r="I11" s="7" t="s">
        <v>26</v>
      </c>
      <c r="J11" s="8">
        <v>120</v>
      </c>
      <c r="K11" s="8">
        <v>120</v>
      </c>
    </row>
    <row r="12" spans="3:11" x14ac:dyDescent="0.25">
      <c r="D12" s="7" t="s">
        <v>27</v>
      </c>
      <c r="E12" s="8">
        <v>500</v>
      </c>
      <c r="F12" s="8">
        <v>500</v>
      </c>
      <c r="I12" s="7" t="s">
        <v>27</v>
      </c>
      <c r="J12" s="8">
        <v>120</v>
      </c>
      <c r="K12" s="8">
        <v>120</v>
      </c>
    </row>
    <row r="13" spans="3:11" x14ac:dyDescent="0.25">
      <c r="D13" s="7" t="s">
        <v>28</v>
      </c>
      <c r="E13" s="8">
        <v>500</v>
      </c>
      <c r="F13" s="8">
        <v>500</v>
      </c>
      <c r="I13" s="7" t="s">
        <v>28</v>
      </c>
      <c r="J13" s="8">
        <v>120</v>
      </c>
      <c r="K13" s="8">
        <v>120</v>
      </c>
    </row>
    <row r="14" spans="3:11" x14ac:dyDescent="0.25">
      <c r="D14" s="7" t="s">
        <v>29</v>
      </c>
      <c r="E14" s="8">
        <v>500</v>
      </c>
      <c r="F14" s="8">
        <v>500</v>
      </c>
      <c r="I14" s="7" t="s">
        <v>29</v>
      </c>
      <c r="J14" s="8">
        <v>120</v>
      </c>
      <c r="K14" s="8">
        <v>120</v>
      </c>
    </row>
    <row r="15" spans="3:11" x14ac:dyDescent="0.25">
      <c r="D15" s="7" t="s">
        <v>30</v>
      </c>
      <c r="E15" s="8">
        <v>500</v>
      </c>
      <c r="F15" s="8">
        <v>500</v>
      </c>
      <c r="I15" s="7" t="s">
        <v>30</v>
      </c>
      <c r="J15" s="8">
        <v>120</v>
      </c>
      <c r="K15" s="8">
        <v>120</v>
      </c>
    </row>
    <row r="16" spans="3:11" x14ac:dyDescent="0.25">
      <c r="D16" s="7" t="s">
        <v>31</v>
      </c>
      <c r="E16" s="8">
        <v>500</v>
      </c>
      <c r="F16" s="8">
        <v>500</v>
      </c>
      <c r="I16" s="7" t="s">
        <v>31</v>
      </c>
      <c r="J16" s="8">
        <v>120</v>
      </c>
      <c r="K16" s="8">
        <v>120</v>
      </c>
    </row>
    <row r="17" spans="1:12" x14ac:dyDescent="0.25">
      <c r="D17" s="7" t="s">
        <v>32</v>
      </c>
      <c r="E17" s="8">
        <v>500</v>
      </c>
      <c r="F17" s="8">
        <v>500</v>
      </c>
      <c r="I17" s="7" t="s">
        <v>32</v>
      </c>
      <c r="J17" s="8">
        <v>120</v>
      </c>
      <c r="K17" s="8">
        <v>120</v>
      </c>
    </row>
    <row r="18" spans="1:12" x14ac:dyDescent="0.25">
      <c r="D18" s="7" t="s">
        <v>33</v>
      </c>
      <c r="E18" s="8">
        <v>500</v>
      </c>
      <c r="F18" s="8">
        <v>500</v>
      </c>
      <c r="I18" s="7" t="s">
        <v>33</v>
      </c>
      <c r="J18" s="8">
        <v>120</v>
      </c>
      <c r="K18" s="8">
        <v>120</v>
      </c>
    </row>
    <row r="19" spans="1:12" x14ac:dyDescent="0.25">
      <c r="D19" s="7" t="s">
        <v>34</v>
      </c>
      <c r="E19" s="8">
        <v>500</v>
      </c>
      <c r="F19" s="8">
        <v>500</v>
      </c>
      <c r="I19" s="7" t="s">
        <v>34</v>
      </c>
      <c r="J19" s="8">
        <v>120</v>
      </c>
      <c r="K19" s="8">
        <v>120</v>
      </c>
    </row>
    <row r="20" spans="1:12" x14ac:dyDescent="0.25">
      <c r="D20" s="9" t="s">
        <v>35</v>
      </c>
      <c r="E20" s="8">
        <f>AVERAGE(E7:E19)</f>
        <v>466.80769230769232</v>
      </c>
      <c r="F20" s="8">
        <f>SUM(F8:F19)</f>
        <v>6000</v>
      </c>
      <c r="G20" s="5" t="s">
        <v>44</v>
      </c>
      <c r="I20" s="9" t="s">
        <v>35</v>
      </c>
      <c r="J20" s="8">
        <f>AVERAGE(J7:J19)</f>
        <v>110.92307692307692</v>
      </c>
      <c r="K20" s="8">
        <f>SUM(K8:K19)</f>
        <v>1440</v>
      </c>
      <c r="L20" s="5" t="s">
        <v>44</v>
      </c>
    </row>
    <row r="22" spans="1:12" x14ac:dyDescent="0.25">
      <c r="A22" s="10" t="s">
        <v>41</v>
      </c>
      <c r="B22" s="10">
        <v>3452</v>
      </c>
      <c r="C22" s="10" t="s">
        <v>42</v>
      </c>
      <c r="D22" t="s">
        <v>103</v>
      </c>
      <c r="I22" t="s">
        <v>104</v>
      </c>
    </row>
    <row r="23" spans="1:12" x14ac:dyDescent="0.25">
      <c r="B23" s="10">
        <v>940</v>
      </c>
      <c r="C23" s="10" t="s">
        <v>43</v>
      </c>
    </row>
    <row r="25" spans="1:12" x14ac:dyDescent="0.25">
      <c r="A25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tabSelected="1" zoomScale="70" zoomScaleNormal="70" workbookViewId="0">
      <selection activeCell="C8" sqref="C8"/>
    </sheetView>
  </sheetViews>
  <sheetFormatPr baseColWidth="10" defaultRowHeight="15" x14ac:dyDescent="0.25"/>
  <cols>
    <col min="1" max="1" width="34.5703125" customWidth="1"/>
    <col min="3" max="4" width="14.7109375" customWidth="1"/>
  </cols>
  <sheetData>
    <row r="2" spans="1:20" x14ac:dyDescent="0.25">
      <c r="A2" s="11" t="s">
        <v>139</v>
      </c>
    </row>
    <row r="3" spans="1:20" x14ac:dyDescent="0.25">
      <c r="B3" t="s">
        <v>113</v>
      </c>
      <c r="C3" t="s">
        <v>18</v>
      </c>
      <c r="D3" t="s">
        <v>114</v>
      </c>
    </row>
    <row r="4" spans="1:20" x14ac:dyDescent="0.25">
      <c r="A4" t="s">
        <v>105</v>
      </c>
      <c r="B4" s="23"/>
      <c r="C4" s="23">
        <v>10000</v>
      </c>
      <c r="D4" s="23">
        <v>12000</v>
      </c>
      <c r="F4" t="s">
        <v>137</v>
      </c>
      <c r="K4" t="s">
        <v>137</v>
      </c>
      <c r="M4" t="s">
        <v>129</v>
      </c>
      <c r="O4" t="s">
        <v>98</v>
      </c>
      <c r="Q4" t="s">
        <v>132</v>
      </c>
      <c r="S4" t="s">
        <v>133</v>
      </c>
      <c r="T4" t="s">
        <v>135</v>
      </c>
    </row>
    <row r="5" spans="1:20" x14ac:dyDescent="0.25">
      <c r="A5" t="s">
        <v>106</v>
      </c>
      <c r="B5" s="23"/>
      <c r="C5" s="23">
        <v>120</v>
      </c>
      <c r="D5" s="23">
        <v>120</v>
      </c>
      <c r="Q5" t="s">
        <v>131</v>
      </c>
      <c r="S5" t="s">
        <v>134</v>
      </c>
      <c r="T5" t="s">
        <v>136</v>
      </c>
    </row>
    <row r="6" spans="1:20" x14ac:dyDescent="0.25">
      <c r="A6" t="s">
        <v>107</v>
      </c>
      <c r="B6" s="23"/>
      <c r="C6" s="23">
        <f>C4-C5</f>
        <v>9880</v>
      </c>
      <c r="D6" s="23">
        <v>12000</v>
      </c>
      <c r="F6" s="20">
        <v>1</v>
      </c>
      <c r="G6" s="11" t="s">
        <v>84</v>
      </c>
      <c r="H6" s="11"/>
      <c r="I6" s="11"/>
      <c r="J6" s="11"/>
      <c r="K6" s="21">
        <v>10000</v>
      </c>
      <c r="M6">
        <f t="shared" ref="M6:M13" si="0">K6/12</f>
        <v>833.33333333333337</v>
      </c>
      <c r="O6">
        <v>2078</v>
      </c>
      <c r="Q6">
        <v>505</v>
      </c>
      <c r="S6">
        <f>K6-120</f>
        <v>9880</v>
      </c>
      <c r="T6" s="21">
        <v>12000</v>
      </c>
    </row>
    <row r="7" spans="1:20" x14ac:dyDescent="0.25">
      <c r="A7" t="s">
        <v>108</v>
      </c>
      <c r="B7" s="23"/>
      <c r="C7" s="23">
        <v>2078</v>
      </c>
      <c r="D7" s="23">
        <v>2494</v>
      </c>
      <c r="F7" s="20">
        <v>53</v>
      </c>
      <c r="G7" s="11" t="s">
        <v>92</v>
      </c>
      <c r="H7" s="11"/>
      <c r="I7" s="11"/>
      <c r="J7" s="11"/>
      <c r="K7" s="21">
        <f>10000*53</f>
        <v>530000</v>
      </c>
      <c r="M7">
        <f t="shared" si="0"/>
        <v>44166.666666666664</v>
      </c>
      <c r="O7">
        <v>6234</v>
      </c>
      <c r="Q7">
        <v>26765</v>
      </c>
      <c r="S7">
        <f>K7-120*53</f>
        <v>523640</v>
      </c>
      <c r="T7" s="21">
        <v>636000</v>
      </c>
    </row>
    <row r="8" spans="1:20" x14ac:dyDescent="0.25">
      <c r="A8" t="s">
        <v>109</v>
      </c>
      <c r="B8" s="23"/>
      <c r="C8" s="23">
        <v>505</v>
      </c>
      <c r="D8" s="23">
        <v>505</v>
      </c>
      <c r="F8" s="20">
        <v>1</v>
      </c>
      <c r="G8" s="11" t="s">
        <v>85</v>
      </c>
      <c r="H8" s="11"/>
      <c r="I8" s="11"/>
      <c r="J8" s="11"/>
      <c r="K8" s="21">
        <v>10000</v>
      </c>
      <c r="M8">
        <f t="shared" si="0"/>
        <v>833.33333333333337</v>
      </c>
      <c r="O8">
        <v>2078</v>
      </c>
      <c r="Q8">
        <v>505</v>
      </c>
      <c r="S8">
        <f>K8-120</f>
        <v>9880</v>
      </c>
      <c r="T8" s="21">
        <v>12000</v>
      </c>
    </row>
    <row r="9" spans="1:20" x14ac:dyDescent="0.25">
      <c r="A9" t="s">
        <v>110</v>
      </c>
      <c r="B9" s="23"/>
      <c r="C9" s="23">
        <f>SUM(C6:C8)</f>
        <v>12463</v>
      </c>
      <c r="D9" s="23">
        <f>SUM(D6:D7)</f>
        <v>14494</v>
      </c>
      <c r="F9" s="20">
        <v>1</v>
      </c>
      <c r="G9" s="11" t="s">
        <v>86</v>
      </c>
      <c r="H9" s="11"/>
      <c r="I9" s="11"/>
      <c r="J9" s="11"/>
      <c r="K9" s="21">
        <v>10000</v>
      </c>
      <c r="M9">
        <f t="shared" si="0"/>
        <v>833.33333333333337</v>
      </c>
      <c r="O9">
        <v>2078</v>
      </c>
      <c r="Q9">
        <v>505</v>
      </c>
      <c r="S9">
        <f>K9-120</f>
        <v>9880</v>
      </c>
      <c r="T9" s="21">
        <v>12000</v>
      </c>
    </row>
    <row r="10" spans="1:20" x14ac:dyDescent="0.25">
      <c r="A10" t="s">
        <v>111</v>
      </c>
      <c r="B10" s="23">
        <v>1500</v>
      </c>
      <c r="C10" s="23">
        <v>833</v>
      </c>
      <c r="D10" s="23">
        <v>833</v>
      </c>
      <c r="F10" s="20">
        <v>3</v>
      </c>
      <c r="G10" s="11" t="s">
        <v>93</v>
      </c>
      <c r="H10" s="11"/>
      <c r="I10" s="11"/>
      <c r="J10" s="11"/>
      <c r="K10" s="21">
        <v>30000</v>
      </c>
      <c r="M10">
        <f t="shared" si="0"/>
        <v>2500</v>
      </c>
      <c r="O10">
        <v>6234</v>
      </c>
      <c r="Q10">
        <v>1515</v>
      </c>
      <c r="S10">
        <f>K10-120*3</f>
        <v>29640</v>
      </c>
      <c r="T10" s="21">
        <v>36000</v>
      </c>
    </row>
    <row r="11" spans="1:20" x14ac:dyDescent="0.25">
      <c r="A11" t="s">
        <v>112</v>
      </c>
      <c r="B11" s="23">
        <v>1500</v>
      </c>
      <c r="C11" s="28">
        <f>SUM(C9)+C10-B11</f>
        <v>11796</v>
      </c>
      <c r="D11" s="23">
        <f>D9</f>
        <v>14494</v>
      </c>
      <c r="F11" s="20">
        <v>1</v>
      </c>
      <c r="G11" s="11" t="s">
        <v>87</v>
      </c>
      <c r="H11" s="11"/>
      <c r="I11" s="11"/>
      <c r="J11" s="11"/>
      <c r="K11" s="21">
        <v>10000</v>
      </c>
      <c r="M11">
        <f t="shared" si="0"/>
        <v>833.33333333333337</v>
      </c>
      <c r="O11">
        <v>2078</v>
      </c>
      <c r="Q11">
        <v>505</v>
      </c>
      <c r="S11">
        <f>K11-120</f>
        <v>9880</v>
      </c>
      <c r="T11" s="21">
        <v>12000</v>
      </c>
    </row>
    <row r="12" spans="1:20" x14ac:dyDescent="0.25">
      <c r="B12" s="25"/>
      <c r="C12" s="25"/>
      <c r="D12" s="25"/>
      <c r="F12" s="20">
        <v>4</v>
      </c>
      <c r="G12" s="11" t="s">
        <v>94</v>
      </c>
      <c r="H12" s="11"/>
      <c r="I12" s="11"/>
      <c r="J12" s="11"/>
      <c r="K12" s="21">
        <v>40000</v>
      </c>
      <c r="M12">
        <f t="shared" si="0"/>
        <v>3333.3333333333335</v>
      </c>
      <c r="O12">
        <v>8312</v>
      </c>
      <c r="Q12">
        <v>2020</v>
      </c>
      <c r="S12">
        <f>K12-120*4</f>
        <v>39520</v>
      </c>
      <c r="T12" s="21">
        <v>48000</v>
      </c>
    </row>
    <row r="13" spans="1:20" x14ac:dyDescent="0.25">
      <c r="A13" s="11" t="s">
        <v>127</v>
      </c>
      <c r="B13" s="25" t="s">
        <v>113</v>
      </c>
      <c r="C13" s="25" t="s">
        <v>18</v>
      </c>
      <c r="D13" s="25" t="s">
        <v>126</v>
      </c>
      <c r="F13" s="20">
        <v>9</v>
      </c>
      <c r="G13" s="11" t="s">
        <v>95</v>
      </c>
      <c r="H13" s="11"/>
      <c r="I13" s="11"/>
      <c r="J13" s="11"/>
      <c r="K13" s="21">
        <v>90000</v>
      </c>
      <c r="M13">
        <f t="shared" si="0"/>
        <v>7500</v>
      </c>
      <c r="O13">
        <v>18702</v>
      </c>
      <c r="Q13">
        <v>4545</v>
      </c>
      <c r="S13">
        <f>K13-120*9</f>
        <v>88920</v>
      </c>
      <c r="T13" s="21">
        <v>108000</v>
      </c>
    </row>
    <row r="14" spans="1:20" x14ac:dyDescent="0.25">
      <c r="A14" s="18" t="s">
        <v>130</v>
      </c>
      <c r="B14" s="25"/>
      <c r="C14" s="25">
        <v>12463</v>
      </c>
      <c r="D14" s="25">
        <v>14494</v>
      </c>
      <c r="F14" s="20"/>
      <c r="G14" s="11"/>
      <c r="H14" s="11"/>
      <c r="I14" s="11"/>
      <c r="J14" s="11"/>
      <c r="K14" s="21"/>
    </row>
    <row r="15" spans="1:20" x14ac:dyDescent="0.25">
      <c r="A15" s="18" t="s">
        <v>125</v>
      </c>
      <c r="B15">
        <v>1500</v>
      </c>
      <c r="C15" s="26">
        <f>ROUND(M6,0)</f>
        <v>833</v>
      </c>
      <c r="D15" s="26">
        <f>ROUND(M6,0)</f>
        <v>833</v>
      </c>
      <c r="F15" s="20">
        <v>1</v>
      </c>
      <c r="G15" s="11" t="s">
        <v>88</v>
      </c>
      <c r="H15" s="11"/>
      <c r="I15" s="11"/>
      <c r="J15" s="11"/>
      <c r="K15" s="21">
        <v>10000</v>
      </c>
      <c r="M15">
        <f>K15/12</f>
        <v>833.33333333333337</v>
      </c>
      <c r="O15">
        <v>2078</v>
      </c>
      <c r="Q15">
        <v>505</v>
      </c>
      <c r="S15">
        <f>K15-120</f>
        <v>9880</v>
      </c>
      <c r="T15" s="21">
        <v>12000</v>
      </c>
    </row>
    <row r="16" spans="1:20" x14ac:dyDescent="0.25">
      <c r="A16" s="18" t="s">
        <v>112</v>
      </c>
      <c r="B16" s="18">
        <v>1500</v>
      </c>
      <c r="C16" s="26">
        <f>SUM(C9)+C15-B16</f>
        <v>11796</v>
      </c>
      <c r="D16" s="26">
        <f>D9</f>
        <v>14494</v>
      </c>
      <c r="F16" s="20">
        <v>3</v>
      </c>
      <c r="G16" s="11" t="s">
        <v>96</v>
      </c>
      <c r="H16" s="11"/>
      <c r="I16" s="11"/>
      <c r="J16" s="11"/>
      <c r="K16" s="21">
        <v>30000</v>
      </c>
      <c r="M16">
        <f>K16/12</f>
        <v>2500</v>
      </c>
      <c r="O16">
        <v>6234</v>
      </c>
      <c r="Q16">
        <v>1515</v>
      </c>
      <c r="S16">
        <f>K16-120*3</f>
        <v>29640</v>
      </c>
      <c r="T16" s="21">
        <v>36000</v>
      </c>
    </row>
    <row r="17" spans="1:20" x14ac:dyDescent="0.25">
      <c r="A17" s="11"/>
      <c r="B17" s="18"/>
      <c r="C17" s="26"/>
      <c r="D17" s="26"/>
      <c r="F17" s="20">
        <v>1</v>
      </c>
      <c r="G17" s="11" t="s">
        <v>89</v>
      </c>
      <c r="H17" s="11"/>
      <c r="I17" s="11"/>
      <c r="J17" s="11"/>
      <c r="K17" s="21">
        <v>10000</v>
      </c>
      <c r="M17">
        <f>K17/12</f>
        <v>833.33333333333337</v>
      </c>
      <c r="O17">
        <v>2078</v>
      </c>
      <c r="Q17">
        <v>505</v>
      </c>
      <c r="S17">
        <f>K17-120</f>
        <v>9880</v>
      </c>
      <c r="T17" s="21">
        <v>12000</v>
      </c>
    </row>
    <row r="18" spans="1:20" x14ac:dyDescent="0.25">
      <c r="A18" s="11" t="s">
        <v>128</v>
      </c>
      <c r="B18" s="18"/>
      <c r="C18" s="26"/>
      <c r="D18" s="26"/>
      <c r="F18" s="20">
        <v>1</v>
      </c>
      <c r="G18" s="11" t="s">
        <v>90</v>
      </c>
      <c r="H18" s="11"/>
      <c r="I18" s="11"/>
      <c r="J18" s="11"/>
      <c r="K18" s="21">
        <v>10000</v>
      </c>
      <c r="M18">
        <f>K18/12</f>
        <v>833.33333333333337</v>
      </c>
      <c r="O18">
        <v>2078</v>
      </c>
      <c r="Q18">
        <v>505</v>
      </c>
      <c r="S18">
        <f>K18-120</f>
        <v>9880</v>
      </c>
      <c r="T18" s="21">
        <v>12000</v>
      </c>
    </row>
    <row r="19" spans="1:20" x14ac:dyDescent="0.25">
      <c r="A19" s="18" t="s">
        <v>130</v>
      </c>
      <c r="B19" s="18"/>
      <c r="C19" s="26">
        <f>SUM(O7,Q7,S7)</f>
        <v>556639</v>
      </c>
      <c r="D19" s="26">
        <f>SUM(O7,T7)</f>
        <v>642234</v>
      </c>
      <c r="F19" s="20"/>
      <c r="G19" s="11"/>
      <c r="H19" s="11"/>
      <c r="I19" s="11"/>
      <c r="J19" s="11"/>
      <c r="K19" s="21"/>
    </row>
    <row r="20" spans="1:20" x14ac:dyDescent="0.25">
      <c r="A20" s="18" t="s">
        <v>125</v>
      </c>
      <c r="B20">
        <f>1500*53</f>
        <v>79500</v>
      </c>
      <c r="C20" s="26">
        <f>ROUND(M7,0)</f>
        <v>44167</v>
      </c>
      <c r="D20" s="26">
        <f>ROUND(M7,0)</f>
        <v>44167</v>
      </c>
    </row>
    <row r="21" spans="1:20" x14ac:dyDescent="0.25">
      <c r="A21" s="18" t="s">
        <v>112</v>
      </c>
      <c r="B21">
        <f>1500*53</f>
        <v>79500</v>
      </c>
      <c r="C21" s="26">
        <f>SUM(C19)+C20-B21</f>
        <v>521306</v>
      </c>
      <c r="D21" s="26">
        <f>D19</f>
        <v>642234</v>
      </c>
      <c r="G21" s="16"/>
      <c r="H21" s="19"/>
      <c r="I21" s="19"/>
      <c r="J21" s="19"/>
      <c r="K21" s="19"/>
      <c r="L21" s="20"/>
      <c r="M21" s="11"/>
      <c r="N21" s="11"/>
      <c r="O21" s="11"/>
      <c r="P21" s="11"/>
    </row>
    <row r="22" spans="1:20" ht="21" x14ac:dyDescent="0.35">
      <c r="A22" s="11"/>
      <c r="B22" s="18"/>
      <c r="C22" s="26"/>
      <c r="D22" s="26"/>
      <c r="G22" s="29" t="s">
        <v>138</v>
      </c>
      <c r="H22" s="30"/>
      <c r="I22" s="30"/>
      <c r="J22" s="30"/>
      <c r="K22" s="30"/>
      <c r="L22" s="31"/>
      <c r="M22" s="32"/>
      <c r="N22" s="11"/>
      <c r="O22" s="11"/>
      <c r="P22" s="11"/>
    </row>
    <row r="23" spans="1:20" x14ac:dyDescent="0.25">
      <c r="A23" s="11" t="s">
        <v>85</v>
      </c>
      <c r="B23" s="18"/>
      <c r="C23" s="26"/>
      <c r="D23" s="26"/>
    </row>
    <row r="24" spans="1:20" x14ac:dyDescent="0.25">
      <c r="A24" s="18" t="s">
        <v>130</v>
      </c>
      <c r="B24" s="18"/>
      <c r="C24" s="26">
        <f>SUM(O6,Q6,S6)</f>
        <v>12463</v>
      </c>
      <c r="D24" s="26">
        <f>SUM(T8,D7)</f>
        <v>14494</v>
      </c>
    </row>
    <row r="25" spans="1:20" x14ac:dyDescent="0.25">
      <c r="A25" s="18" t="s">
        <v>125</v>
      </c>
      <c r="B25" s="18">
        <v>1500</v>
      </c>
      <c r="C25" s="26">
        <f>ROUND(M8,0)</f>
        <v>833</v>
      </c>
      <c r="D25" s="26">
        <f>ROUND(M8,0)</f>
        <v>833</v>
      </c>
    </row>
    <row r="26" spans="1:20" x14ac:dyDescent="0.25">
      <c r="A26" s="18" t="s">
        <v>112</v>
      </c>
      <c r="B26" s="18">
        <v>1500</v>
      </c>
      <c r="C26" s="26">
        <f>SUM(C24)+C25-B26</f>
        <v>11796</v>
      </c>
      <c r="D26" s="26">
        <f>D24</f>
        <v>14494</v>
      </c>
    </row>
    <row r="27" spans="1:20" x14ac:dyDescent="0.25">
      <c r="A27" s="11"/>
      <c r="B27" s="18"/>
      <c r="C27" s="27"/>
      <c r="D27" s="27"/>
    </row>
    <row r="28" spans="1:20" x14ac:dyDescent="0.25">
      <c r="A28" s="11" t="s">
        <v>93</v>
      </c>
      <c r="B28" s="11"/>
      <c r="C28" s="27"/>
      <c r="D28" s="27"/>
    </row>
    <row r="29" spans="1:20" x14ac:dyDescent="0.25">
      <c r="A29" s="18" t="s">
        <v>130</v>
      </c>
      <c r="C29">
        <f>SUM(S10,O10,Q10)</f>
        <v>37389</v>
      </c>
      <c r="D29" s="26">
        <f>SUM(T10,D7*3)</f>
        <v>43482</v>
      </c>
    </row>
    <row r="30" spans="1:20" x14ac:dyDescent="0.25">
      <c r="A30" s="18" t="s">
        <v>125</v>
      </c>
      <c r="B30">
        <v>4500</v>
      </c>
      <c r="C30" s="26">
        <f>ROUND(M10,0)</f>
        <v>2500</v>
      </c>
      <c r="D30">
        <v>2500</v>
      </c>
    </row>
    <row r="31" spans="1:20" x14ac:dyDescent="0.25">
      <c r="A31" s="18" t="s">
        <v>112</v>
      </c>
      <c r="B31">
        <v>4500</v>
      </c>
      <c r="C31" s="26">
        <f>SUM(C29)+C30-B31</f>
        <v>35389</v>
      </c>
      <c r="D31">
        <f>D29</f>
        <v>43482</v>
      </c>
    </row>
    <row r="33" spans="1:4" x14ac:dyDescent="0.25">
      <c r="A33" s="11" t="s">
        <v>87</v>
      </c>
    </row>
    <row r="34" spans="1:4" x14ac:dyDescent="0.25">
      <c r="A34" s="18" t="s">
        <v>130</v>
      </c>
      <c r="C34">
        <v>12463</v>
      </c>
      <c r="D34">
        <v>14494</v>
      </c>
    </row>
    <row r="35" spans="1:4" x14ac:dyDescent="0.25">
      <c r="A35" s="18" t="s">
        <v>125</v>
      </c>
      <c r="B35">
        <v>1500</v>
      </c>
      <c r="C35">
        <v>833</v>
      </c>
      <c r="D35">
        <v>833</v>
      </c>
    </row>
    <row r="36" spans="1:4" x14ac:dyDescent="0.25">
      <c r="A36" s="18" t="s">
        <v>112</v>
      </c>
      <c r="B36">
        <v>1500</v>
      </c>
      <c r="C36">
        <v>11796</v>
      </c>
      <c r="D36">
        <v>14494</v>
      </c>
    </row>
    <row r="38" spans="1:4" x14ac:dyDescent="0.25">
      <c r="A38" s="11" t="s">
        <v>94</v>
      </c>
    </row>
    <row r="39" spans="1:4" x14ac:dyDescent="0.25">
      <c r="A39" s="18" t="s">
        <v>130</v>
      </c>
      <c r="C39">
        <f>SUM(T12,O12,Q12)</f>
        <v>58332</v>
      </c>
      <c r="D39">
        <f>SUM(T12,D7*4)</f>
        <v>57976</v>
      </c>
    </row>
    <row r="40" spans="1:4" x14ac:dyDescent="0.25">
      <c r="A40" s="18" t="s">
        <v>125</v>
      </c>
      <c r="B40">
        <v>6000</v>
      </c>
      <c r="C40" s="26">
        <f>ROUND(M12,0)</f>
        <v>3333</v>
      </c>
      <c r="D40">
        <v>7500</v>
      </c>
    </row>
    <row r="41" spans="1:4" x14ac:dyDescent="0.25">
      <c r="A41" s="18" t="s">
        <v>112</v>
      </c>
      <c r="B41">
        <v>6000</v>
      </c>
      <c r="C41" s="26">
        <f>SUM(C39)+C40-B41</f>
        <v>55665</v>
      </c>
      <c r="D41">
        <f>D39</f>
        <v>57976</v>
      </c>
    </row>
    <row r="43" spans="1:4" x14ac:dyDescent="0.25">
      <c r="A43" s="11" t="s">
        <v>95</v>
      </c>
    </row>
    <row r="44" spans="1:4" x14ac:dyDescent="0.25">
      <c r="A44" s="18" t="s">
        <v>130</v>
      </c>
      <c r="C44">
        <f>SUM(S13,Q13,O13)</f>
        <v>112167</v>
      </c>
      <c r="D44">
        <f>SUM(T12,D7*9)</f>
        <v>70446</v>
      </c>
    </row>
    <row r="45" spans="1:4" x14ac:dyDescent="0.25">
      <c r="A45" s="18" t="s">
        <v>125</v>
      </c>
      <c r="B45">
        <v>13500</v>
      </c>
      <c r="C45" s="26">
        <f>ROUND(M13,0)</f>
        <v>7500</v>
      </c>
      <c r="D45">
        <v>7500</v>
      </c>
    </row>
    <row r="46" spans="1:4" x14ac:dyDescent="0.25">
      <c r="A46" s="18" t="s">
        <v>112</v>
      </c>
      <c r="B46">
        <v>13500</v>
      </c>
      <c r="C46" s="26">
        <f>SUM(C44)+C45-B46</f>
        <v>106167</v>
      </c>
      <c r="D46">
        <f>D44</f>
        <v>70446</v>
      </c>
    </row>
    <row r="48" spans="1:4" x14ac:dyDescent="0.25">
      <c r="A48" s="11" t="s">
        <v>88</v>
      </c>
    </row>
    <row r="49" spans="1:4" x14ac:dyDescent="0.25">
      <c r="A49" s="18" t="s">
        <v>130</v>
      </c>
      <c r="C49">
        <v>12463</v>
      </c>
      <c r="D49">
        <v>14494</v>
      </c>
    </row>
    <row r="50" spans="1:4" x14ac:dyDescent="0.25">
      <c r="A50" s="18" t="s">
        <v>125</v>
      </c>
      <c r="B50">
        <v>1500</v>
      </c>
      <c r="C50">
        <v>833</v>
      </c>
      <c r="D50">
        <v>833</v>
      </c>
    </row>
    <row r="51" spans="1:4" x14ac:dyDescent="0.25">
      <c r="A51" s="18" t="s">
        <v>112</v>
      </c>
      <c r="B51">
        <v>1500</v>
      </c>
      <c r="C51">
        <v>11796</v>
      </c>
      <c r="D51">
        <v>14494</v>
      </c>
    </row>
    <row r="53" spans="1:4" x14ac:dyDescent="0.25">
      <c r="A53" s="11" t="s">
        <v>96</v>
      </c>
    </row>
    <row r="54" spans="1:4" x14ac:dyDescent="0.25">
      <c r="A54" s="18" t="s">
        <v>130</v>
      </c>
      <c r="C54">
        <v>37389</v>
      </c>
      <c r="D54">
        <v>43482</v>
      </c>
    </row>
    <row r="55" spans="1:4" x14ac:dyDescent="0.25">
      <c r="A55" s="18" t="s">
        <v>125</v>
      </c>
      <c r="B55">
        <v>4500</v>
      </c>
      <c r="C55">
        <v>2500</v>
      </c>
      <c r="D55">
        <v>2500</v>
      </c>
    </row>
    <row r="56" spans="1:4" x14ac:dyDescent="0.25">
      <c r="A56" s="18" t="s">
        <v>112</v>
      </c>
      <c r="B56">
        <v>4500</v>
      </c>
      <c r="C56">
        <v>35389</v>
      </c>
      <c r="D56">
        <v>43482</v>
      </c>
    </row>
    <row r="58" spans="1:4" x14ac:dyDescent="0.25">
      <c r="A58" s="11" t="s">
        <v>89</v>
      </c>
    </row>
    <row r="59" spans="1:4" x14ac:dyDescent="0.25">
      <c r="A59" s="18" t="s">
        <v>130</v>
      </c>
      <c r="C59">
        <v>12463</v>
      </c>
      <c r="D59">
        <v>14494</v>
      </c>
    </row>
    <row r="60" spans="1:4" x14ac:dyDescent="0.25">
      <c r="A60" s="18" t="s">
        <v>125</v>
      </c>
      <c r="B60">
        <v>1500</v>
      </c>
      <c r="C60">
        <v>833</v>
      </c>
      <c r="D60">
        <v>833</v>
      </c>
    </row>
    <row r="61" spans="1:4" x14ac:dyDescent="0.25">
      <c r="A61" s="18" t="s">
        <v>112</v>
      </c>
      <c r="B61">
        <v>1500</v>
      </c>
      <c r="C61">
        <v>11796</v>
      </c>
      <c r="D61">
        <v>14494</v>
      </c>
    </row>
    <row r="63" spans="1:4" x14ac:dyDescent="0.25">
      <c r="A63" s="11" t="s">
        <v>90</v>
      </c>
    </row>
    <row r="64" spans="1:4" x14ac:dyDescent="0.25">
      <c r="A64" s="18" t="s">
        <v>130</v>
      </c>
      <c r="C64">
        <v>12463</v>
      </c>
      <c r="D64">
        <v>14494</v>
      </c>
    </row>
    <row r="65" spans="1:4" x14ac:dyDescent="0.25">
      <c r="A65" s="18" t="s">
        <v>125</v>
      </c>
      <c r="B65">
        <v>1500</v>
      </c>
      <c r="C65">
        <v>833</v>
      </c>
      <c r="D65">
        <v>833</v>
      </c>
    </row>
    <row r="66" spans="1:4" x14ac:dyDescent="0.25">
      <c r="A66" s="18" t="s">
        <v>112</v>
      </c>
      <c r="B66">
        <v>1500</v>
      </c>
      <c r="C66">
        <v>11796</v>
      </c>
      <c r="D66">
        <v>14494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 de prod</vt:lpstr>
      <vt:lpstr>Stock</vt:lpstr>
      <vt:lpstr>Ventas</vt:lpstr>
      <vt:lpstr>Consumo de MP</vt:lpstr>
      <vt:lpstr>Stock Prom MT</vt:lpstr>
      <vt:lpstr>Cuadro de Evolución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Chino</dc:creator>
  <cp:lastModifiedBy>David MORIANO</cp:lastModifiedBy>
  <dcterms:created xsi:type="dcterms:W3CDTF">2017-06-29T21:35:08Z</dcterms:created>
  <dcterms:modified xsi:type="dcterms:W3CDTF">2017-10-02T13:44:37Z</dcterms:modified>
</cp:coreProperties>
</file>