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i\Desktop\"/>
    </mc:Choice>
  </mc:AlternateContent>
  <bookViews>
    <workbookView xWindow="0" yWindow="0" windowWidth="21570" windowHeight="8145" tabRatio="500" activeTab="2"/>
  </bookViews>
  <sheets>
    <sheet name="InfoInicial" sheetId="1" r:id="rId1"/>
    <sheet name="E-Inv AF y Am" sheetId="2" r:id="rId2"/>
    <sheet name="E-Costos" sheetId="3" r:id="rId3"/>
    <sheet name="E-InvAT" sheetId="4" r:id="rId4"/>
    <sheet name="E-Cal Inv." sheetId="5" r:id="rId5"/>
    <sheet name="E-IVA " sheetId="6" r:id="rId6"/>
    <sheet name="E-Form" sheetId="7" r:id="rId7"/>
    <sheet name="F-Cred" sheetId="8" r:id="rId8"/>
    <sheet name="F-CRes" sheetId="9" r:id="rId9"/>
    <sheet name="F-2 Estructura" sheetId="10" r:id="rId10"/>
    <sheet name="F-IVA" sheetId="11" r:id="rId11"/>
    <sheet name="F- CFyU" sheetId="12" r:id="rId12"/>
    <sheet name="F-Balance" sheetId="13" r:id="rId13"/>
    <sheet name="F- Form" sheetId="14" r:id="rId14"/>
  </sheets>
  <definedNames>
    <definedName name="Excel_BuiltIn_Print_Area" localSheetId="11">('F- CFyU'!#REF!,'F- CFyU'!#REF!,'F- CFyU'!$A$3:$H$28)</definedName>
    <definedName name="Excel_BuiltIn_Print_Area" localSheetId="12">('F-Balance'!#REF!,'F-Balance'!#REF!,'F-Balance'!$A$3:$G$35)</definedName>
    <definedName name="_xlnm.Print_Area" localSheetId="2">('E-Costos'!$A$3:$G$47,'E-Costos'!$A$50:$F$80,'E-Costos'!$A$83:$F$135)</definedName>
    <definedName name="_xlnm.Print_Area" localSheetId="11">'F- CFyU'!$A$3:$H$28</definedName>
    <definedName name="_xlnm.Print_Area" localSheetId="12">'F-Balance'!$A$3:$G$35</definedName>
    <definedName name="_xlnm.Print_Area" localSheetId="7">'F-Cred'!$A$1:$I$54</definedName>
  </definedNames>
  <calcPr calcId="152511"/>
</workbook>
</file>

<file path=xl/calcChain.xml><?xml version="1.0" encoding="utf-8"?>
<calcChain xmlns="http://schemas.openxmlformats.org/spreadsheetml/2006/main">
  <c r="I6" i="5" l="1"/>
  <c r="I7" i="5"/>
  <c r="I8" i="5"/>
  <c r="D8" i="5"/>
  <c r="D7" i="5"/>
  <c r="C26" i="2"/>
  <c r="C8" i="5"/>
  <c r="B8" i="5"/>
  <c r="B7" i="5"/>
  <c r="C7" i="5"/>
  <c r="C6" i="5"/>
  <c r="F77" i="3"/>
  <c r="E77" i="3"/>
  <c r="D77" i="3"/>
  <c r="C77" i="3"/>
  <c r="B77" i="3"/>
  <c r="F58" i="3"/>
  <c r="F60" i="3" s="1"/>
  <c r="E58" i="3"/>
  <c r="D58" i="3"/>
  <c r="C58" i="3"/>
  <c r="B58" i="3"/>
  <c r="B60" i="3" s="1"/>
  <c r="F57" i="3"/>
  <c r="E57" i="3"/>
  <c r="D57" i="3"/>
  <c r="C57" i="3"/>
  <c r="C60" i="3" s="1"/>
  <c r="B57" i="3"/>
  <c r="F56" i="3"/>
  <c r="E56" i="3"/>
  <c r="E60" i="3" s="1"/>
  <c r="D56" i="3"/>
  <c r="D60" i="3" s="1"/>
  <c r="C56" i="3"/>
  <c r="B56" i="3"/>
  <c r="F44" i="3" l="1"/>
  <c r="E44" i="3"/>
  <c r="D44" i="3"/>
  <c r="C44" i="3"/>
  <c r="F43" i="3"/>
  <c r="E43" i="3"/>
  <c r="D43" i="3"/>
  <c r="C43" i="3"/>
  <c r="F42" i="3"/>
  <c r="E42" i="3"/>
  <c r="D42" i="3"/>
  <c r="C42" i="3"/>
  <c r="B42" i="3"/>
  <c r="F39" i="3"/>
  <c r="E39" i="3"/>
  <c r="D39" i="3"/>
  <c r="C39" i="3"/>
  <c r="B39" i="3"/>
  <c r="G32" i="3"/>
  <c r="G31" i="3"/>
  <c r="G30" i="3"/>
  <c r="G26" i="3"/>
  <c r="T17" i="3"/>
  <c r="S17" i="3"/>
  <c r="R17" i="3"/>
  <c r="G25" i="3" s="1"/>
  <c r="G35" i="3" s="1"/>
  <c r="B41" i="3" s="1"/>
  <c r="B43" i="3" s="1"/>
  <c r="B44" i="3" s="1"/>
  <c r="Q58" i="3"/>
  <c r="Q57" i="3"/>
  <c r="Q55" i="3"/>
  <c r="Q54" i="3"/>
  <c r="Q53" i="3"/>
  <c r="Q50" i="3"/>
  <c r="Q47" i="3"/>
  <c r="C7" i="3"/>
  <c r="C25" i="3" s="1"/>
  <c r="F33" i="3"/>
  <c r="F32" i="3"/>
  <c r="F31" i="3"/>
  <c r="F29" i="3"/>
  <c r="F28" i="3"/>
  <c r="F26" i="3"/>
  <c r="E33" i="3"/>
  <c r="E32" i="3"/>
  <c r="E31" i="3"/>
  <c r="E29" i="3"/>
  <c r="E28" i="3"/>
  <c r="E26" i="3"/>
  <c r="D33" i="3"/>
  <c r="D32" i="3"/>
  <c r="D31" i="3"/>
  <c r="D29" i="3"/>
  <c r="D28" i="3"/>
  <c r="D26" i="3"/>
  <c r="C33" i="3"/>
  <c r="C32" i="3"/>
  <c r="C31" i="3"/>
  <c r="C29" i="3"/>
  <c r="C28" i="3"/>
  <c r="C26" i="3"/>
  <c r="B28" i="3"/>
  <c r="B29" i="3"/>
  <c r="B33" i="3"/>
  <c r="B32" i="3"/>
  <c r="B31" i="3"/>
  <c r="B26" i="3"/>
  <c r="B25" i="3"/>
  <c r="S43" i="3"/>
  <c r="T14" i="3"/>
  <c r="S14" i="3"/>
  <c r="R14" i="3"/>
  <c r="B7" i="3"/>
  <c r="B15" i="3"/>
  <c r="F15" i="3"/>
  <c r="E15" i="3"/>
  <c r="D15" i="3"/>
  <c r="C15" i="3"/>
  <c r="F14" i="3"/>
  <c r="E14" i="3"/>
  <c r="D14" i="3"/>
  <c r="B14" i="3"/>
  <c r="C14" i="3"/>
  <c r="I52" i="2"/>
  <c r="B15" i="2"/>
  <c r="B13" i="3"/>
  <c r="F13" i="3"/>
  <c r="E13" i="3"/>
  <c r="D13" i="3"/>
  <c r="C13" i="3"/>
  <c r="F11" i="3"/>
  <c r="E11" i="3"/>
  <c r="D11" i="3"/>
  <c r="B11" i="3"/>
  <c r="C11" i="3"/>
  <c r="O16" i="3"/>
  <c r="O17" i="3"/>
  <c r="O18" i="3"/>
  <c r="O19" i="3"/>
  <c r="O20" i="3"/>
  <c r="O21" i="3"/>
  <c r="O22" i="3"/>
  <c r="O15" i="3"/>
  <c r="D8" i="3"/>
  <c r="F8" i="3" s="1"/>
  <c r="C8" i="3"/>
  <c r="B8" i="3"/>
  <c r="B46" i="2"/>
  <c r="B29" i="2"/>
  <c r="B31" i="2" s="1"/>
  <c r="B50" i="2"/>
  <c r="D50" i="2" s="1"/>
  <c r="D11" i="2"/>
  <c r="C31" i="2"/>
  <c r="F56" i="2"/>
  <c r="G44" i="2"/>
  <c r="G45" i="2"/>
  <c r="E48" i="2"/>
  <c r="E45" i="2"/>
  <c r="E44" i="2"/>
  <c r="D48" i="2"/>
  <c r="D45" i="2"/>
  <c r="D44" i="2"/>
  <c r="C53" i="2"/>
  <c r="C50" i="2"/>
  <c r="C49" i="2"/>
  <c r="C48" i="2"/>
  <c r="C47" i="2"/>
  <c r="C46" i="2"/>
  <c r="C45" i="2"/>
  <c r="C44" i="2"/>
  <c r="G43" i="2"/>
  <c r="B47" i="2"/>
  <c r="D47" i="2" s="1"/>
  <c r="E47" i="2" s="1"/>
  <c r="B48" i="2"/>
  <c r="B45" i="2"/>
  <c r="B44" i="2"/>
  <c r="B43" i="2"/>
  <c r="D31" i="2"/>
  <c r="B14" i="2"/>
  <c r="B16" i="2"/>
  <c r="B12" i="2"/>
  <c r="B9" i="2"/>
  <c r="B8" i="2"/>
  <c r="B7" i="2"/>
  <c r="F7" i="3" l="1"/>
  <c r="F25" i="3" s="1"/>
  <c r="E7" i="3"/>
  <c r="E25" i="3" s="1"/>
  <c r="D7" i="3"/>
  <c r="D25" i="3" s="1"/>
  <c r="E8" i="3"/>
  <c r="B13" i="2"/>
  <c r="D14" i="2"/>
  <c r="B53" i="2"/>
  <c r="G1" i="5"/>
  <c r="E3" i="3"/>
  <c r="G1" i="7"/>
  <c r="E1" i="2"/>
  <c r="E1" i="4"/>
  <c r="G1" i="6"/>
  <c r="E1" i="12"/>
  <c r="G1" i="14"/>
  <c r="D1" i="10"/>
  <c r="E1" i="13"/>
  <c r="F1" i="8"/>
  <c r="F1" i="9"/>
  <c r="E1" i="11"/>
  <c r="D46" i="2" l="1"/>
  <c r="E46" i="2"/>
  <c r="G46" i="2" s="1"/>
  <c r="G51" i="2" s="1"/>
  <c r="G56" i="2" s="1"/>
  <c r="D18" i="2"/>
  <c r="D20" i="2" s="1"/>
  <c r="D33" i="2" s="1"/>
  <c r="D34" i="2" s="1"/>
  <c r="D36" i="2" s="1"/>
  <c r="B18" i="2"/>
  <c r="D53" i="2"/>
  <c r="B49" i="2" l="1"/>
  <c r="B20" i="2"/>
  <c r="B33" i="2" s="1"/>
  <c r="E53" i="2"/>
  <c r="B34" i="2" l="1"/>
  <c r="B36" i="2" s="1"/>
  <c r="D49" i="2"/>
  <c r="B10" i="3" s="1"/>
  <c r="B51" i="2"/>
  <c r="B56" i="2" l="1"/>
  <c r="C12" i="3"/>
  <c r="C30" i="3" s="1"/>
  <c r="C10" i="3"/>
  <c r="D10" i="3"/>
  <c r="E49" i="2"/>
  <c r="E51" i="2" s="1"/>
  <c r="E56" i="2" s="1"/>
  <c r="E10" i="3" s="1"/>
  <c r="F10" i="3" s="1"/>
  <c r="D51" i="2"/>
  <c r="D56" i="2" s="1"/>
  <c r="C16" i="3" l="1"/>
  <c r="C34" i="3" s="1"/>
  <c r="B12" i="3"/>
  <c r="B30" i="3" s="1"/>
  <c r="F12" i="3"/>
  <c r="F30" i="3" s="1"/>
  <c r="E12" i="3"/>
  <c r="E30" i="3" s="1"/>
  <c r="D12" i="3"/>
  <c r="D30" i="3" s="1"/>
  <c r="D16" i="3" l="1"/>
  <c r="D34" i="3" s="1"/>
  <c r="B16" i="3"/>
  <c r="B34" i="3" s="1"/>
  <c r="B35" i="3" s="1"/>
  <c r="C17" i="3"/>
  <c r="E16" i="3"/>
  <c r="E34" i="3" s="1"/>
  <c r="F16" i="3"/>
  <c r="C20" i="3" l="1"/>
  <c r="C35" i="3"/>
  <c r="F17" i="3"/>
  <c r="F35" i="3" s="1"/>
  <c r="F34" i="3"/>
  <c r="F20" i="3"/>
  <c r="D17" i="3"/>
  <c r="B17" i="3"/>
  <c r="B20" i="3" s="1"/>
  <c r="E17" i="3"/>
  <c r="C19" i="3"/>
  <c r="E20" i="3" l="1"/>
  <c r="E35" i="3"/>
  <c r="D20" i="3"/>
  <c r="D35" i="3"/>
  <c r="F19" i="3"/>
  <c r="B19" i="3"/>
  <c r="D19" i="3"/>
  <c r="E19" i="3"/>
</calcChain>
</file>

<file path=xl/sharedStrings.xml><?xml version="1.0" encoding="utf-8"?>
<sst xmlns="http://schemas.openxmlformats.org/spreadsheetml/2006/main" count="858" uniqueCount="547">
  <si>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</si>
  <si>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</si>
  <si>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</si>
  <si>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</si>
  <si>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</si>
  <si>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</si>
  <si>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</si>
  <si>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</si>
  <si>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</si>
  <si>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</si>
  <si>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</si>
  <si>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</si>
  <si>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</si>
  <si>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</si>
  <si>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</si>
  <si>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</si>
  <si>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</si>
  <si>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</si>
  <si>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</si>
  <si>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</si>
  <si>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</si>
  <si>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</si>
  <si>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</si>
  <si>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</si>
  <si>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</si>
  <si>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</si>
  <si>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</si>
  <si>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</si>
  <si>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</si>
  <si>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</si>
  <si>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</si>
  <si>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</si>
  <si>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</si>
  <si>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</si>
  <si>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</si>
  <si>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</si>
  <si>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</si>
  <si>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</si>
  <si>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</si>
  <si>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</si>
  <si>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</si>
  <si>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</si>
  <si>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RECUPERATORIO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</si>
  <si>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</si>
  <si>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</si>
  <si>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</si>
  <si>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</si>
  <si>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</si>
  <si>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</si>
  <si>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</si>
  <si>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</si>
  <si>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</si>
  <si>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</si>
  <si>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</si>
  <si>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</si>
  <si>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</si>
  <si>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</si>
  <si>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</si>
  <si>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</si>
  <si>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</si>
  <si>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</si>
  <si>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</si>
  <si>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</si>
  <si>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</si>
  <si>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</si>
  <si>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</si>
  <si>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</si>
  <si>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</si>
  <si>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</si>
  <si>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</si>
  <si>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</si>
  <si>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</si>
  <si>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</si>
  <si>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</si>
  <si>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</si>
  <si>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</si>
  <si>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</si>
  <si>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</si>
  <si>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</si>
  <si>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</si>
  <si>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</si>
  <si>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</si>
  <si>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</si>
  <si>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</si>
  <si>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</si>
  <si>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</si>
  <si>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</si>
  <si>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</si>
  <si>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</si>
  <si>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</si>
  <si>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</si>
  <si>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</si>
  <si>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</si>
  <si>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</si>
  <si>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</si>
  <si>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</si>
  <si>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</si>
  <si>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</si>
  <si>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</si>
  <si>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</si>
  <si>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</si>
  <si>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</si>
  <si>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</si>
  <si>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</si>
  <si>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</si>
  <si>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</si>
  <si>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</si>
  <si>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</si>
  <si>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</si>
  <si>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</si>
  <si>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</si>
  <si>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</si>
  <si>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</si>
  <si>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</si>
  <si>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</si>
  <si>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</si>
  <si>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</si>
  <si>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</si>
  <si>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</si>
  <si>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</si>
  <si>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</si>
  <si>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</si>
  <si>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</si>
  <si>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</si>
  <si>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</si>
  <si>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</si>
  <si>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Personal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</si>
  <si>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</si>
  <si>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</si>
  <si>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</si>
  <si>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</si>
  <si>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</si>
  <si>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</si>
  <si>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</si>
  <si>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</si>
  <si>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</si>
  <si>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</si>
  <si>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</si>
  <si>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</si>
  <si>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</si>
  <si>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</si>
  <si>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</si>
  <si>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</si>
  <si>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</si>
  <si>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</si>
  <si>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</si>
  <si>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</si>
  <si>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</si>
  <si>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</si>
  <si>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</si>
  <si>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</si>
  <si>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</si>
  <si>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</si>
  <si>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</si>
  <si>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</si>
  <si>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</si>
  <si>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</si>
  <si>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</si>
  <si>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</si>
  <si>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</si>
  <si>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</si>
  <si>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</si>
  <si>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</si>
  <si>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</si>
  <si>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</si>
  <si>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</si>
  <si>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</si>
  <si>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</si>
  <si>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</si>
  <si>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</si>
  <si>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</si>
  <si>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</si>
  <si>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</si>
  <si>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</si>
  <si>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</si>
  <si>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</si>
  <si>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</si>
  <si>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</si>
  <si>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</si>
  <si>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</si>
  <si>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</si>
  <si>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</si>
  <si>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</si>
  <si>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</si>
  <si>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</si>
  <si>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</si>
  <si>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</si>
  <si>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</si>
  <si>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</si>
  <si>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</si>
  <si>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</si>
  <si>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</si>
  <si>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</si>
  <si>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</si>
  <si>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</si>
  <si>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</si>
  <si>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</si>
  <si>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</si>
  <si>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</si>
  <si>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</si>
  <si>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</si>
  <si>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</si>
  <si>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</si>
  <si>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</si>
  <si>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</si>
  <si>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</si>
  <si>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</si>
  <si>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</si>
  <si>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</si>
  <si>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</si>
  <si>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</si>
  <si>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</si>
  <si>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</si>
  <si>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</si>
  <si>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</si>
  <si>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</si>
  <si>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</si>
  <si>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</si>
  <si>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</si>
  <si>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</si>
  <si>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</si>
  <si>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</si>
  <si>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</si>
  <si>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</si>
  <si>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</si>
  <si>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</si>
  <si>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</si>
  <si>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</si>
  <si>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</si>
  <si>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</si>
  <si>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</si>
  <si>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</si>
  <si>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</si>
  <si>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</si>
  <si>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</si>
  <si>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</si>
  <si>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</si>
  <si>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</si>
  <si>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</si>
  <si>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</si>
  <si>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</si>
  <si>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</si>
  <si>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</si>
  <si>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</si>
  <si>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</si>
  <si>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</si>
  <si>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</si>
  <si>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</si>
  <si>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</si>
  <si>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</si>
  <si>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</si>
  <si>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</si>
  <si>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</si>
  <si>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</si>
  <si>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</si>
  <si>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</si>
  <si>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</si>
  <si>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</si>
  <si>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</si>
  <si>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</si>
  <si>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</si>
  <si>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</si>
  <si>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</si>
  <si>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</si>
  <si>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</si>
  <si>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</si>
  <si>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</si>
  <si>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</si>
  <si>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</si>
  <si>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</si>
  <si>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</si>
  <si>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</si>
  <si>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</si>
  <si>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</si>
  <si>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</si>
  <si>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</si>
  <si>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</si>
  <si>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</si>
  <si>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</si>
  <si>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</si>
  <si>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</si>
  <si>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</si>
  <si>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</si>
  <si>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</si>
  <si>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</si>
  <si>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</si>
  <si>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</si>
  <si>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</si>
  <si>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</si>
  <si>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</si>
  <si>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</si>
  <si>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</si>
  <si>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</si>
  <si>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</si>
  <si>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</si>
  <si>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</si>
  <si>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</si>
  <si>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</si>
  <si>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</si>
  <si>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</si>
  <si>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</si>
  <si>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</si>
  <si>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</si>
  <si>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</si>
  <si>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</si>
  <si>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</si>
  <si>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</si>
  <si>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</si>
  <si>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</si>
  <si>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</si>
  <si>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</si>
  <si>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</si>
  <si>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</si>
  <si>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</si>
  <si>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</si>
  <si>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</si>
  <si>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</si>
  <si>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</si>
  <si>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</si>
  <si>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</si>
  <si>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</si>
  <si>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</si>
  <si>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</si>
  <si>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</si>
  <si>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</si>
  <si>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</si>
  <si>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</si>
  <si>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</si>
  <si>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</si>
  <si>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</si>
  <si>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</si>
  <si>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</si>
  <si>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</si>
  <si>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</si>
  <si>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</si>
  <si>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</si>
  <si>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</si>
  <si>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</si>
  <si>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</si>
  <si>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</si>
  <si>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</si>
  <si>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</si>
  <si>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</si>
  <si>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</si>
  <si>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</si>
  <si>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</si>
  <si>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</si>
  <si>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</si>
  <si>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</si>
  <si>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</si>
  <si>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</si>
  <si>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</si>
  <si>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</si>
  <si>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</si>
  <si>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</si>
  <si>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</si>
  <si>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</si>
  <si>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</si>
  <si>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</si>
  <si>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</si>
  <si>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</si>
  <si>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</si>
  <si>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</si>
  <si>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</si>
  <si>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</si>
  <si>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</si>
  <si>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</si>
  <si>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</si>
  <si>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</si>
  <si>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</si>
  <si>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</si>
  <si>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</si>
  <si>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</si>
  <si>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</si>
  <si>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</si>
  <si>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</si>
  <si>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</si>
  <si>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</si>
  <si>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</si>
  <si>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</si>
  <si>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</si>
  <si>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</si>
  <si>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</si>
  <si>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Solución fisiológica Serum</t>
  </si>
  <si>
    <t>Redondeado a terrenos estándar</t>
  </si>
  <si>
    <t>Máquinas</t>
  </si>
  <si>
    <t>Bomba sanitaria</t>
  </si>
  <si>
    <t>Codificadora de lote</t>
  </si>
  <si>
    <t>Fraccionadora</t>
  </si>
  <si>
    <t>Precio</t>
  </si>
  <si>
    <t>Unidad</t>
  </si>
  <si>
    <t>Sopladora</t>
  </si>
  <si>
    <t>Ablandador de agua</t>
  </si>
  <si>
    <t>Caldera</t>
  </si>
  <si>
    <t>Tanques de acero inoxidable</t>
  </si>
  <si>
    <t>Equipo de ósmosis inversa</t>
  </si>
  <si>
    <t>destilador múltiple</t>
  </si>
  <si>
    <t>Cerradora de cajas</t>
  </si>
  <si>
    <t>Equipamiento de laboratorio de control</t>
  </si>
  <si>
    <t>Secador de aire</t>
  </si>
  <si>
    <t>Filtro de aire</t>
  </si>
  <si>
    <t>Equipo de acondicionamiento de aire</t>
  </si>
  <si>
    <t>Molino de plásticos</t>
  </si>
  <si>
    <t>Mezclador de plásticos</t>
  </si>
  <si>
    <t>Refrigerador de agua</t>
  </si>
  <si>
    <t>Impresora tampográfica</t>
  </si>
  <si>
    <t>m2 en Córdoba</t>
  </si>
  <si>
    <t>Referencia</t>
  </si>
  <si>
    <t>peso</t>
  </si>
  <si>
    <t>Hectárea en Córdoba</t>
  </si>
  <si>
    <t>USD</t>
  </si>
  <si>
    <t>Zorra</t>
  </si>
  <si>
    <t>Camión desde aduana hasta planta</t>
  </si>
  <si>
    <t>Auto</t>
  </si>
  <si>
    <t>Muebles</t>
  </si>
  <si>
    <t>Escritorio</t>
  </si>
  <si>
    <t>Silla normal</t>
  </si>
  <si>
    <t>Silla con ruedas</t>
  </si>
  <si>
    <t>Estantería</t>
  </si>
  <si>
    <t>Armario</t>
  </si>
  <si>
    <t>Matafuegos</t>
  </si>
  <si>
    <t xml:space="preserve">Tacho de basura </t>
  </si>
  <si>
    <t>Mesada de cocina</t>
  </si>
  <si>
    <t>Bacha</t>
  </si>
  <si>
    <t>Dispenser de agua</t>
  </si>
  <si>
    <t>alacena</t>
  </si>
  <si>
    <t>Teléfono fijo</t>
  </si>
  <si>
    <t>Cámaras de segurdad</t>
  </si>
  <si>
    <t>Computadora</t>
  </si>
  <si>
    <t>Puiesto de seguridad</t>
  </si>
  <si>
    <t>Inodoro</t>
  </si>
  <si>
    <t>Lavamanos</t>
  </si>
  <si>
    <t>Espejo</t>
  </si>
  <si>
    <t>Locker</t>
  </si>
  <si>
    <t>Ducha</t>
  </si>
  <si>
    <t>Aire acondicionado</t>
  </si>
  <si>
    <t>Ascensor</t>
  </si>
  <si>
    <t>Microondas</t>
  </si>
  <si>
    <t>Heladera</t>
  </si>
  <si>
    <t>juego de cubiertos</t>
  </si>
  <si>
    <t>Vaso</t>
  </si>
  <si>
    <t>Fotocopiadora</t>
  </si>
  <si>
    <t>Impresora</t>
  </si>
  <si>
    <t>Servidor</t>
  </si>
  <si>
    <t>Rack servidor</t>
  </si>
  <si>
    <t>Carteles de emergencia</t>
  </si>
  <si>
    <t>Protector auditivo</t>
  </si>
  <si>
    <t>Zapatos de protección.</t>
  </si>
  <si>
    <t>Gafas de protección</t>
  </si>
  <si>
    <t>Uniforme de trabajo</t>
  </si>
  <si>
    <t>Proyector</t>
  </si>
  <si>
    <t>Grupo electrógeno</t>
  </si>
  <si>
    <t>Pallet</t>
  </si>
  <si>
    <t>Reloj de pared</t>
  </si>
  <si>
    <t>Productos de limpieza</t>
  </si>
  <si>
    <t>Herramientas varias</t>
  </si>
  <si>
    <t>Enchufes e interruptores</t>
  </si>
  <si>
    <t>Lámpara de escritorio</t>
  </si>
  <si>
    <t>Moneda</t>
  </si>
  <si>
    <t>Peso</t>
  </si>
  <si>
    <t>Luminaria</t>
  </si>
  <si>
    <t>Tubo de iluminación</t>
  </si>
  <si>
    <t>Instalaciones (aire, agua, gas, luz)</t>
  </si>
  <si>
    <t>Autoclave</t>
  </si>
  <si>
    <t>Cantidad</t>
  </si>
  <si>
    <t>Artículos librería varios</t>
  </si>
  <si>
    <t>Agua</t>
  </si>
  <si>
    <t>Cloruro de sodio</t>
  </si>
  <si>
    <t>Polietileno</t>
  </si>
  <si>
    <t>Mano de Obra</t>
  </si>
  <si>
    <t>MOD</t>
  </si>
  <si>
    <t>MOI</t>
  </si>
  <si>
    <t>Cargas sociales</t>
  </si>
  <si>
    <t>peso/litro</t>
  </si>
  <si>
    <t>USD/Kg</t>
  </si>
  <si>
    <t>operarios</t>
  </si>
  <si>
    <t>$/h sin cargas</t>
  </si>
  <si>
    <t>Horas</t>
  </si>
  <si>
    <t>Correspondiente de amortizaciones a producción</t>
  </si>
  <si>
    <t>Gerente general</t>
  </si>
  <si>
    <t>Jefe de mantenimiento</t>
  </si>
  <si>
    <t>Jefe de producción</t>
  </si>
  <si>
    <t>Jefe de laboratorio</t>
  </si>
  <si>
    <t>Encargado de limpieza</t>
  </si>
  <si>
    <t>Encargado de CC</t>
  </si>
  <si>
    <t>Empleados de CC</t>
  </si>
  <si>
    <t>Envasadores</t>
  </si>
  <si>
    <t>Gasto anual</t>
  </si>
  <si>
    <t>Sueldo($)</t>
  </si>
  <si>
    <t>Gasto anual mantenimiento</t>
  </si>
  <si>
    <t>horas extra</t>
  </si>
  <si>
    <t>veces al año</t>
  </si>
  <si>
    <t>% respecto al año 1 del año 2 para MOI y repuestos</t>
  </si>
  <si>
    <t>Para materiales</t>
  </si>
  <si>
    <t>Mantenimiento</t>
  </si>
  <si>
    <t>Respuestos</t>
  </si>
  <si>
    <t>Producción</t>
  </si>
  <si>
    <t>s/repuestos</t>
  </si>
  <si>
    <t>anual de maq</t>
  </si>
  <si>
    <t xml:space="preserve"> Flete respuesto</t>
  </si>
  <si>
    <t>Importación</t>
  </si>
  <si>
    <t xml:space="preserve">Servicios </t>
  </si>
  <si>
    <t>Gas</t>
  </si>
  <si>
    <t>Consumo</t>
  </si>
  <si>
    <t>unidad</t>
  </si>
  <si>
    <t>W</t>
  </si>
  <si>
    <t>m3</t>
  </si>
  <si>
    <t>Cargo fijo</t>
  </si>
  <si>
    <t>Consumo año 1 respecto al 2</t>
  </si>
  <si>
    <t>consumo producción</t>
  </si>
  <si>
    <t>Mantenimiento (W)</t>
  </si>
  <si>
    <t>Gas oil</t>
  </si>
  <si>
    <t>Fuel oil</t>
  </si>
  <si>
    <t>litros</t>
  </si>
  <si>
    <t>Impuestos</t>
  </si>
  <si>
    <t>Tasa municipal anual</t>
  </si>
  <si>
    <t>Impuesto inmobiliario</t>
  </si>
  <si>
    <t>Impuesto automotor</t>
  </si>
  <si>
    <t>Valor</t>
  </si>
  <si>
    <t>% producción</t>
  </si>
  <si>
    <t>Automóvil</t>
  </si>
  <si>
    <t>peso/gramo</t>
  </si>
  <si>
    <t>MC&amp;SE</t>
  </si>
  <si>
    <t>Producción año 1</t>
  </si>
  <si>
    <t>Producción año 2-5</t>
  </si>
  <si>
    <t>Consumo esp MP</t>
  </si>
  <si>
    <t>Unidades</t>
  </si>
  <si>
    <t>Consumo agua año1</t>
  </si>
  <si>
    <t>Consumo polietileno año1</t>
  </si>
  <si>
    <t>Consumo sal año 1</t>
  </si>
  <si>
    <t>Consumo agua año 2-5</t>
  </si>
  <si>
    <t>Consumo sal año 2-5</t>
  </si>
  <si>
    <t>Consumo polietileno año 2-5</t>
  </si>
  <si>
    <t>Litro</t>
  </si>
  <si>
    <t>Kg</t>
  </si>
  <si>
    <t>Gramo</t>
  </si>
  <si>
    <t>Ploietileno</t>
  </si>
  <si>
    <t>Sal</t>
  </si>
  <si>
    <t>Consumo en PM</t>
  </si>
  <si>
    <t>Consumo agua año 1 en PT</t>
  </si>
  <si>
    <t>Consumo polietileno año1 en PT</t>
  </si>
  <si>
    <t>Consumo sal año 1 en PT</t>
  </si>
  <si>
    <t>Consumo agua año 2-5 en PT</t>
  </si>
  <si>
    <t>Consumo polietileno año 2-5 en PT</t>
  </si>
  <si>
    <t>Consumo sal año 2-5 en PT</t>
  </si>
  <si>
    <t>Producción durante PM</t>
  </si>
  <si>
    <t>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</si>
</sst>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&quot;$&quot;\ #,##0.00"/>
  </numFmts>
  <fonts count="18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</borders>
  <cellStyleXfs count="20">
    <xf numFmtId="0" fontId="0" fillId="0" borderId="0"/>
    <xf numFmtId="168" fontId="16" fillId="0" borderId="0" applyFill="0" applyBorder="0" applyAlignment="0" applyProtection="0"/>
    <xf numFmtId="165" fontId="16" fillId="0" borderId="0" applyFill="0" applyBorder="0" applyAlignment="0" applyProtection="0"/>
    <xf numFmtId="9" fontId="16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291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9" fontId="13" fillId="3" borderId="2" xfId="3" applyFont="1" applyFill="1" applyBorder="1" applyAlignment="1" applyProtection="1"/>
    <xf numFmtId="0" fontId="11" fillId="0" borderId="0" xfId="0" applyFont="1"/>
    <xf numFmtId="0" fontId="0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0" fontId="0" fillId="9" borderId="3" xfId="0" applyFill="1" applyBorder="1" applyProtection="1">
      <protection locked="0"/>
    </xf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 applyProtection="1">
      <protection locked="0"/>
    </xf>
    <xf numFmtId="0" fontId="13" fillId="0" borderId="0" xfId="0" applyFont="1"/>
    <xf numFmtId="0" fontId="0" fillId="9" borderId="6" xfId="0" applyFill="1" applyBorder="1" applyProtection="1">
      <protection locked="0"/>
    </xf>
    <xf numFmtId="0" fontId="0" fillId="9" borderId="7" xfId="0" applyFill="1" applyBorder="1" applyProtection="1">
      <protection locked="0"/>
    </xf>
    <xf numFmtId="0" fontId="0" fillId="0" borderId="0" xfId="0" applyFill="1"/>
    <xf numFmtId="0" fontId="14" fillId="0" borderId="8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4" fillId="0" borderId="11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4" xfId="0" applyFill="1" applyBorder="1"/>
    <xf numFmtId="0" fontId="13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2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2" applyFont="1" applyFill="1" applyBorder="1" applyAlignment="1" applyProtection="1"/>
    <xf numFmtId="0" fontId="13" fillId="0" borderId="11" xfId="0" applyFont="1" applyFill="1" applyBorder="1" applyAlignment="1">
      <alignment horizontal="left"/>
    </xf>
    <xf numFmtId="165" fontId="0" fillId="0" borderId="12" xfId="2" applyFont="1" applyFill="1" applyBorder="1" applyAlignment="1" applyProtection="1">
      <protection locked="0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13" xfId="0" applyFont="1" applyFill="1" applyBorder="1"/>
    <xf numFmtId="0" fontId="13" fillId="0" borderId="8" xfId="0" applyFont="1" applyFill="1" applyBorder="1"/>
    <xf numFmtId="165" fontId="0" fillId="0" borderId="9" xfId="2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3" fillId="0" borderId="14" xfId="0" applyFont="1" applyFill="1" applyBorder="1"/>
    <xf numFmtId="165" fontId="0" fillId="0" borderId="15" xfId="2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2" applyFont="1" applyFill="1" applyBorder="1" applyAlignment="1" applyProtection="1">
      <protection locked="0"/>
    </xf>
    <xf numFmtId="0" fontId="13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3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2" applyFont="1" applyFill="1" applyBorder="1" applyAlignment="1" applyProtection="1">
      <protection locked="0"/>
    </xf>
    <xf numFmtId="166" fontId="13" fillId="0" borderId="0" xfId="0" applyNumberFormat="1" applyFont="1" applyFill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5" fontId="0" fillId="0" borderId="15" xfId="2" applyFont="1" applyFill="1" applyBorder="1" applyAlignment="1" applyProtection="1">
      <alignment horizontal="center"/>
      <protection locked="0"/>
    </xf>
    <xf numFmtId="165" fontId="0" fillId="0" borderId="18" xfId="2" applyFont="1" applyFill="1" applyBorder="1" applyAlignment="1" applyProtection="1">
      <alignment horizontal="center"/>
      <protection locked="0"/>
    </xf>
    <xf numFmtId="165" fontId="0" fillId="0" borderId="17" xfId="2" applyFont="1" applyFill="1" applyBorder="1" applyAlignment="1" applyProtection="1">
      <alignment horizontal="center"/>
      <protection locked="0"/>
    </xf>
    <xf numFmtId="165" fontId="0" fillId="0" borderId="19" xfId="2" applyFont="1" applyFill="1" applyBorder="1" applyAlignment="1" applyProtection="1">
      <alignment horizontal="center"/>
      <protection locked="0"/>
    </xf>
    <xf numFmtId="166" fontId="0" fillId="0" borderId="17" xfId="0" applyNumberFormat="1" applyFill="1" applyBorder="1" applyAlignment="1" applyProtection="1">
      <alignment horizontal="center"/>
      <protection locked="0"/>
    </xf>
    <xf numFmtId="166" fontId="0" fillId="0" borderId="19" xfId="0" applyNumberFormat="1" applyFill="1" applyBorder="1" applyProtection="1"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3" fillId="0" borderId="23" xfId="0" applyFont="1" applyFill="1" applyBorder="1"/>
    <xf numFmtId="166" fontId="0" fillId="0" borderId="24" xfId="0" applyNumberFormat="1" applyFill="1" applyBorder="1" applyAlignment="1" applyProtection="1">
      <alignment horizontal="center"/>
      <protection locked="0"/>
    </xf>
    <xf numFmtId="166" fontId="0" fillId="0" borderId="25" xfId="0" applyNumberFormat="1" applyFill="1" applyBorder="1" applyProtection="1">
      <protection locked="0"/>
    </xf>
    <xf numFmtId="165" fontId="0" fillId="0" borderId="12" xfId="2" applyFont="1" applyFill="1" applyBorder="1" applyAlignment="1" applyProtection="1">
      <alignment horizontal="center"/>
      <protection locked="0"/>
    </xf>
    <xf numFmtId="165" fontId="0" fillId="0" borderId="13" xfId="2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3" fillId="0" borderId="0" xfId="0" applyFont="1" applyFill="1"/>
    <xf numFmtId="167" fontId="0" fillId="0" borderId="0" xfId="0" applyNumberFormat="1" applyFill="1" applyAlignment="1">
      <alignment horizontal="center"/>
    </xf>
    <xf numFmtId="167" fontId="13" fillId="0" borderId="9" xfId="0" applyNumberFormat="1" applyFont="1" applyFill="1" applyBorder="1" applyAlignment="1">
      <alignment horizontal="center"/>
    </xf>
    <xf numFmtId="167" fontId="13" fillId="0" borderId="10" xfId="0" applyNumberFormat="1" applyFont="1" applyFill="1" applyBorder="1" applyAlignment="1">
      <alignment horizontal="center"/>
    </xf>
    <xf numFmtId="165" fontId="0" fillId="0" borderId="24" xfId="2" applyFont="1" applyFill="1" applyBorder="1" applyAlignment="1" applyProtection="1">
      <alignment horizontal="center"/>
      <protection locked="0"/>
    </xf>
    <xf numFmtId="165" fontId="0" fillId="0" borderId="25" xfId="2" applyFont="1" applyFill="1" applyBorder="1" applyAlignment="1" applyProtection="1">
      <alignment horizontal="center"/>
      <protection locked="0"/>
    </xf>
    <xf numFmtId="9" fontId="0" fillId="0" borderId="24" xfId="3" applyFont="1" applyFill="1" applyBorder="1" applyAlignment="1" applyProtection="1">
      <alignment horizontal="center"/>
      <protection locked="0"/>
    </xf>
    <xf numFmtId="9" fontId="0" fillId="0" borderId="25" xfId="3" applyFont="1" applyFill="1" applyBorder="1" applyAlignment="1" applyProtection="1">
      <alignment horizontal="center"/>
      <protection locked="0"/>
    </xf>
    <xf numFmtId="9" fontId="0" fillId="0" borderId="12" xfId="3" applyFont="1" applyFill="1" applyBorder="1" applyAlignment="1" applyProtection="1">
      <alignment horizontal="center"/>
      <protection locked="0"/>
    </xf>
    <xf numFmtId="9" fontId="0" fillId="0" borderId="13" xfId="3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>
      <alignment horizontal="center"/>
    </xf>
    <xf numFmtId="165" fontId="0" fillId="0" borderId="17" xfId="2" applyFont="1" applyFill="1" applyBorder="1" applyAlignment="1" applyProtection="1">
      <alignment horizontal="center"/>
    </xf>
    <xf numFmtId="165" fontId="0" fillId="0" borderId="19" xfId="2" applyFont="1" applyFill="1" applyBorder="1" applyAlignment="1" applyProtection="1">
      <alignment horizontal="center"/>
    </xf>
    <xf numFmtId="9" fontId="0" fillId="0" borderId="17" xfId="3" applyFont="1" applyFill="1" applyBorder="1" applyAlignment="1" applyProtection="1">
      <alignment horizontal="center"/>
      <protection locked="0"/>
    </xf>
    <xf numFmtId="9" fontId="0" fillId="0" borderId="19" xfId="3" applyFont="1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0" fillId="0" borderId="17" xfId="1" applyFont="1" applyFill="1" applyBorder="1" applyAlignment="1" applyProtection="1">
      <alignment horizontal="center"/>
      <protection locked="0"/>
    </xf>
    <xf numFmtId="168" fontId="0" fillId="0" borderId="19" xfId="1" applyFont="1" applyFill="1" applyBorder="1" applyAlignment="1" applyProtection="1">
      <alignment horizontal="center"/>
      <protection locked="0"/>
    </xf>
    <xf numFmtId="165" fontId="13" fillId="0" borderId="17" xfId="2" applyFont="1" applyFill="1" applyBorder="1" applyAlignment="1" applyProtection="1">
      <alignment horizontal="center"/>
      <protection locked="0"/>
    </xf>
    <xf numFmtId="165" fontId="13" fillId="0" borderId="19" xfId="2" applyFont="1" applyFill="1" applyBorder="1" applyAlignment="1" applyProtection="1">
      <alignment horizontal="center"/>
      <protection locked="0"/>
    </xf>
    <xf numFmtId="165" fontId="13" fillId="0" borderId="17" xfId="2" applyFont="1" applyFill="1" applyBorder="1" applyAlignment="1" applyProtection="1">
      <alignment horizontal="center"/>
    </xf>
    <xf numFmtId="165" fontId="13" fillId="0" borderId="19" xfId="2" applyFont="1" applyFill="1" applyBorder="1" applyAlignment="1" applyProtection="1">
      <alignment horizontal="center"/>
    </xf>
    <xf numFmtId="9" fontId="0" fillId="0" borderId="17" xfId="3" applyFont="1" applyFill="1" applyBorder="1" applyAlignment="1" applyProtection="1">
      <protection locked="0"/>
    </xf>
    <xf numFmtId="9" fontId="0" fillId="0" borderId="19" xfId="3" applyFont="1" applyFill="1" applyBorder="1" applyAlignment="1" applyProtection="1">
      <protection locked="0"/>
    </xf>
    <xf numFmtId="9" fontId="0" fillId="0" borderId="17" xfId="3" applyFont="1" applyFill="1" applyBorder="1" applyAlignment="1" applyProtection="1"/>
    <xf numFmtId="9" fontId="0" fillId="0" borderId="19" xfId="3" applyFont="1" applyFill="1" applyBorder="1" applyAlignment="1" applyProtection="1"/>
    <xf numFmtId="165" fontId="0" fillId="0" borderId="19" xfId="2" applyFont="1" applyFill="1" applyBorder="1" applyAlignment="1" applyProtection="1"/>
    <xf numFmtId="0" fontId="14" fillId="0" borderId="0" xfId="0" applyFont="1" applyFill="1"/>
    <xf numFmtId="0" fontId="0" fillId="0" borderId="0" xfId="0" applyBorder="1"/>
    <xf numFmtId="0" fontId="13" fillId="0" borderId="26" xfId="0" applyFont="1" applyFill="1" applyBorder="1"/>
    <xf numFmtId="165" fontId="0" fillId="0" borderId="15" xfId="2" applyFont="1" applyFill="1" applyBorder="1" applyAlignment="1" applyProtection="1">
      <alignment horizontal="center"/>
    </xf>
    <xf numFmtId="165" fontId="0" fillId="0" borderId="18" xfId="2" applyFont="1" applyFill="1" applyBorder="1" applyAlignment="1" applyProtection="1">
      <alignment horizontal="center"/>
    </xf>
    <xf numFmtId="0" fontId="0" fillId="0" borderId="26" xfId="0" applyFill="1" applyBorder="1"/>
    <xf numFmtId="0" fontId="13" fillId="0" borderId="27" xfId="0" applyFont="1" applyFill="1" applyBorder="1"/>
    <xf numFmtId="0" fontId="13" fillId="0" borderId="12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/>
    </xf>
    <xf numFmtId="165" fontId="0" fillId="0" borderId="29" xfId="2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2" applyFont="1" applyFill="1" applyBorder="1" applyAlignment="1" applyProtection="1">
      <alignment horizontal="center"/>
      <protection locked="0"/>
    </xf>
    <xf numFmtId="165" fontId="0" fillId="0" borderId="30" xfId="2" applyFont="1" applyFill="1" applyBorder="1" applyAlignment="1" applyProtection="1">
      <alignment horizontal="center"/>
    </xf>
    <xf numFmtId="165" fontId="0" fillId="0" borderId="28" xfId="2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3" xfId="0" applyFont="1" applyFill="1" applyBorder="1"/>
    <xf numFmtId="165" fontId="0" fillId="0" borderId="34" xfId="2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2" applyFont="1" applyFill="1" applyBorder="1" applyAlignment="1" applyProtection="1">
      <alignment horizontal="center"/>
      <protection locked="0"/>
    </xf>
    <xf numFmtId="0" fontId="13" fillId="0" borderId="35" xfId="0" applyFont="1" applyFill="1" applyBorder="1"/>
    <xf numFmtId="165" fontId="0" fillId="0" borderId="36" xfId="2" applyFont="1" applyFill="1" applyBorder="1" applyAlignment="1" applyProtection="1">
      <alignment horizontal="center"/>
    </xf>
    <xf numFmtId="0" fontId="13" fillId="0" borderId="35" xfId="0" applyFont="1" applyFill="1" applyBorder="1" applyAlignment="1">
      <alignment horizontal="left"/>
    </xf>
    <xf numFmtId="0" fontId="13" fillId="0" borderId="37" xfId="0" applyFont="1" applyFill="1" applyBorder="1"/>
    <xf numFmtId="165" fontId="0" fillId="0" borderId="38" xfId="2" applyFont="1" applyFill="1" applyBorder="1" applyAlignment="1" applyProtection="1">
      <alignment horizontal="center"/>
      <protection locked="0"/>
    </xf>
    <xf numFmtId="0" fontId="13" fillId="0" borderId="28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/>
    </xf>
    <xf numFmtId="165" fontId="0" fillId="0" borderId="34" xfId="2" applyFont="1" applyFill="1" applyBorder="1" applyAlignment="1" applyProtection="1">
      <alignment horizontal="center"/>
      <protection locked="0"/>
    </xf>
    <xf numFmtId="165" fontId="0" fillId="0" borderId="29" xfId="2" applyFont="1" applyFill="1" applyBorder="1" applyAlignment="1" applyProtection="1">
      <alignment horizontal="center"/>
      <protection locked="0"/>
    </xf>
    <xf numFmtId="0" fontId="13" fillId="0" borderId="35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2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3" applyFont="1" applyFill="1" applyBorder="1" applyAlignment="1" applyProtection="1">
      <protection locked="0"/>
    </xf>
    <xf numFmtId="0" fontId="0" fillId="0" borderId="2" xfId="0" applyBorder="1"/>
    <xf numFmtId="0" fontId="14" fillId="0" borderId="8" xfId="0" applyFont="1" applyFill="1" applyBorder="1" applyAlignment="1">
      <alignment horizontal="left"/>
    </xf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165" fontId="13" fillId="0" borderId="12" xfId="2" applyFont="1" applyFill="1" applyBorder="1" applyAlignment="1" applyProtection="1">
      <alignment horizontal="center"/>
      <protection locked="0"/>
    </xf>
    <xf numFmtId="9" fontId="13" fillId="0" borderId="12" xfId="3" applyFont="1" applyFill="1" applyBorder="1" applyAlignment="1" applyProtection="1">
      <alignment horizontal="center"/>
      <protection locked="0"/>
    </xf>
    <xf numFmtId="9" fontId="13" fillId="0" borderId="13" xfId="3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4" fillId="0" borderId="39" xfId="0" applyFont="1" applyFill="1" applyBorder="1" applyAlignment="1">
      <alignment horizontal="left"/>
    </xf>
    <xf numFmtId="0" fontId="14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2" applyFont="1" applyFill="1" applyBorder="1" applyAlignment="1" applyProtection="1">
      <alignment horizontal="center"/>
      <protection locked="0"/>
    </xf>
    <xf numFmtId="165" fontId="0" fillId="0" borderId="9" xfId="2" applyFont="1" applyFill="1" applyBorder="1" applyAlignment="1" applyProtection="1">
      <protection locked="0"/>
    </xf>
    <xf numFmtId="9" fontId="0" fillId="0" borderId="9" xfId="3" applyFont="1" applyFill="1" applyBorder="1" applyAlignment="1" applyProtection="1">
      <protection locked="0"/>
    </xf>
    <xf numFmtId="165" fontId="0" fillId="0" borderId="10" xfId="2" applyFont="1" applyFill="1" applyBorder="1" applyAlignment="1" applyProtection="1">
      <alignment horizontal="center"/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3" applyFont="1" applyFill="1" applyBorder="1" applyAlignment="1" applyProtection="1">
      <protection locked="0"/>
    </xf>
    <xf numFmtId="0" fontId="13" fillId="0" borderId="0" xfId="0" applyFont="1" applyFill="1" applyBorder="1" applyAlignment="1">
      <alignment horizontal="right"/>
    </xf>
    <xf numFmtId="165" fontId="13" fillId="0" borderId="0" xfId="2" applyFont="1" applyFill="1" applyBorder="1" applyAlignment="1" applyProtection="1">
      <alignment horizontal="center"/>
    </xf>
    <xf numFmtId="165" fontId="13" fillId="0" borderId="2" xfId="2" applyFont="1" applyFill="1" applyBorder="1" applyAlignment="1" applyProtection="1">
      <alignment horizontal="center"/>
      <protection locked="0"/>
    </xf>
    <xf numFmtId="165" fontId="13" fillId="0" borderId="0" xfId="2" applyFont="1" applyFill="1" applyBorder="1" applyAlignment="1" applyProtection="1"/>
    <xf numFmtId="9" fontId="0" fillId="0" borderId="0" xfId="3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3" fillId="0" borderId="12" xfId="2" applyFont="1" applyFill="1" applyBorder="1" applyAlignment="1" applyProtection="1"/>
    <xf numFmtId="9" fontId="13" fillId="0" borderId="12" xfId="3" applyFont="1" applyFill="1" applyBorder="1" applyAlignment="1" applyProtection="1"/>
    <xf numFmtId="165" fontId="13" fillId="0" borderId="13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4" fillId="0" borderId="20" xfId="0" applyFont="1" applyFill="1" applyBorder="1" applyAlignment="1" applyProtection="1">
      <alignment horizontal="left"/>
    </xf>
    <xf numFmtId="0" fontId="14" fillId="0" borderId="21" xfId="0" applyFont="1" applyFill="1" applyBorder="1" applyAlignment="1" applyProtection="1">
      <alignment horizontal="center"/>
    </xf>
    <xf numFmtId="0" fontId="14" fillId="0" borderId="22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27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48" xfId="0" applyFill="1" applyBorder="1" applyProtection="1"/>
    <xf numFmtId="165" fontId="13" fillId="0" borderId="18" xfId="2" applyFont="1" applyFill="1" applyBorder="1" applyAlignment="1" applyProtection="1">
      <alignment horizontal="center"/>
    </xf>
    <xf numFmtId="0" fontId="13" fillId="0" borderId="16" xfId="0" applyFont="1" applyFill="1" applyBorder="1" applyProtection="1"/>
    <xf numFmtId="0" fontId="13" fillId="0" borderId="16" xfId="0" applyFont="1" applyFill="1" applyBorder="1" applyAlignment="1" applyProtection="1">
      <alignment horizontal="left"/>
    </xf>
    <xf numFmtId="0" fontId="13" fillId="0" borderId="11" xfId="0" applyFont="1" applyFill="1" applyBorder="1" applyProtection="1"/>
    <xf numFmtId="0" fontId="14" fillId="0" borderId="0" xfId="0" applyFont="1" applyFill="1" applyProtection="1"/>
    <xf numFmtId="0" fontId="14" fillId="0" borderId="31" xfId="0" applyFont="1" applyFill="1" applyBorder="1" applyAlignment="1" applyProtection="1">
      <alignment horizontal="left"/>
    </xf>
    <xf numFmtId="0" fontId="14" fillId="0" borderId="26" xfId="0" applyFont="1" applyFill="1" applyBorder="1" applyAlignment="1" applyProtection="1">
      <alignment horizontal="center"/>
    </xf>
    <xf numFmtId="0" fontId="14" fillId="0" borderId="32" xfId="0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3" fillId="0" borderId="35" xfId="0" applyFont="1" applyFill="1" applyBorder="1" applyProtection="1"/>
    <xf numFmtId="0" fontId="13" fillId="0" borderId="35" xfId="0" applyFont="1" applyFill="1" applyBorder="1" applyAlignment="1" applyProtection="1">
      <alignment horizontal="left"/>
    </xf>
    <xf numFmtId="0" fontId="13" fillId="0" borderId="37" xfId="0" applyFont="1" applyFill="1" applyBorder="1" applyProtection="1"/>
    <xf numFmtId="0" fontId="0" fillId="0" borderId="0" xfId="0" applyProtection="1"/>
    <xf numFmtId="0" fontId="14" fillId="0" borderId="8" xfId="0" applyFont="1" applyFill="1" applyBorder="1" applyAlignment="1" applyProtection="1">
      <alignment horizontal="left"/>
    </xf>
    <xf numFmtId="0" fontId="14" fillId="0" borderId="9" xfId="0" applyFont="1" applyFill="1" applyBorder="1" applyAlignment="1" applyProtection="1">
      <alignment horizontal="center"/>
    </xf>
    <xf numFmtId="0" fontId="14" fillId="0" borderId="49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</xf>
    <xf numFmtId="0" fontId="13" fillId="0" borderId="19" xfId="0" applyFont="1" applyFill="1" applyBorder="1" applyAlignment="1" applyProtection="1">
      <alignment horizontal="center"/>
    </xf>
    <xf numFmtId="168" fontId="0" fillId="0" borderId="30" xfId="1" applyFont="1" applyFill="1" applyBorder="1" applyAlignment="1" applyProtection="1">
      <alignment horizontal="center"/>
      <protection locked="0"/>
    </xf>
    <xf numFmtId="168" fontId="0" fillId="0" borderId="17" xfId="1" applyFont="1" applyFill="1" applyBorder="1" applyAlignment="1" applyProtection="1">
      <protection locked="0"/>
    </xf>
    <xf numFmtId="168" fontId="0" fillId="0" borderId="30" xfId="1" applyFont="1" applyFill="1" applyBorder="1" applyAlignment="1" applyProtection="1">
      <protection locked="0"/>
    </xf>
    <xf numFmtId="168" fontId="0" fillId="0" borderId="19" xfId="1" applyFont="1" applyFill="1" applyBorder="1" applyAlignment="1" applyProtection="1">
      <protection locked="0"/>
    </xf>
    <xf numFmtId="165" fontId="13" fillId="0" borderId="30" xfId="2" applyFont="1" applyFill="1" applyBorder="1" applyAlignment="1" applyProtection="1">
      <alignment horizontal="center"/>
      <protection locked="0"/>
    </xf>
    <xf numFmtId="165" fontId="0" fillId="0" borderId="28" xfId="2" applyFont="1" applyFill="1" applyBorder="1" applyAlignment="1" applyProtection="1">
      <protection locked="0"/>
    </xf>
    <xf numFmtId="0" fontId="0" fillId="0" borderId="23" xfId="0" applyFill="1" applyBorder="1" applyProtection="1"/>
    <xf numFmtId="0" fontId="13" fillId="0" borderId="24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8" xfId="0" applyFont="1" applyFill="1" applyBorder="1" applyProtection="1"/>
    <xf numFmtId="168" fontId="0" fillId="0" borderId="9" xfId="1" applyFont="1" applyFill="1" applyBorder="1" applyAlignment="1" applyProtection="1">
      <alignment horizontal="center"/>
      <protection locked="0"/>
    </xf>
    <xf numFmtId="168" fontId="0" fillId="0" borderId="10" xfId="1" applyFont="1" applyFill="1" applyBorder="1" applyAlignment="1" applyProtection="1">
      <alignment horizontal="center"/>
      <protection locked="0"/>
    </xf>
    <xf numFmtId="168" fontId="0" fillId="0" borderId="17" xfId="1" applyFont="1" applyFill="1" applyBorder="1" applyAlignment="1" applyProtection="1">
      <alignment horizontal="center"/>
    </xf>
    <xf numFmtId="168" fontId="0" fillId="0" borderId="19" xfId="1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33" xfId="0" applyFont="1" applyFill="1" applyBorder="1" applyAlignment="1" applyProtection="1">
      <alignment horizontal="center"/>
    </xf>
    <xf numFmtId="0" fontId="13" fillId="0" borderId="35" xfId="0" applyFont="1" applyFill="1" applyBorder="1" applyAlignment="1" applyProtection="1">
      <alignment horizontal="center"/>
    </xf>
    <xf numFmtId="0" fontId="13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15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165" fontId="0" fillId="10" borderId="17" xfId="2" applyFont="1" applyFill="1" applyBorder="1" applyAlignment="1" applyProtection="1">
      <protection locked="0"/>
    </xf>
    <xf numFmtId="0" fontId="0" fillId="10" borderId="0" xfId="0" applyFill="1"/>
    <xf numFmtId="0" fontId="0" fillId="10" borderId="15" xfId="0" applyFill="1" applyBorder="1"/>
    <xf numFmtId="0" fontId="0" fillId="10" borderId="17" xfId="0" applyFill="1" applyBorder="1"/>
    <xf numFmtId="165" fontId="0" fillId="10" borderId="17" xfId="2" applyFont="1" applyFill="1" applyBorder="1" applyAlignment="1" applyProtection="1"/>
    <xf numFmtId="0" fontId="0" fillId="10" borderId="16" xfId="0" applyFont="1" applyFill="1" applyBorder="1"/>
    <xf numFmtId="0" fontId="0" fillId="10" borderId="14" xfId="0" applyFill="1" applyBorder="1"/>
    <xf numFmtId="165" fontId="0" fillId="0" borderId="0" xfId="0" applyNumberFormat="1" applyFill="1"/>
    <xf numFmtId="43" fontId="0" fillId="0" borderId="0" xfId="0" applyNumberFormat="1" applyFill="1"/>
    <xf numFmtId="44" fontId="0" fillId="0" borderId="0" xfId="0" applyNumberFormat="1" applyFill="1"/>
    <xf numFmtId="9" fontId="0" fillId="0" borderId="0" xfId="0" applyNumberFormat="1" applyFill="1"/>
    <xf numFmtId="165" fontId="16" fillId="11" borderId="17" xfId="2" applyFont="1" applyFill="1" applyBorder="1" applyAlignment="1" applyProtection="1">
      <alignment horizontal="center"/>
      <protection locked="0"/>
    </xf>
    <xf numFmtId="165" fontId="16" fillId="11" borderId="19" xfId="2" applyFont="1" applyFill="1" applyBorder="1" applyAlignment="1" applyProtection="1">
      <protection locked="0"/>
    </xf>
    <xf numFmtId="0" fontId="0" fillId="0" borderId="0" xfId="0" applyFill="1" applyAlignment="1">
      <alignment horizontal="left"/>
    </xf>
    <xf numFmtId="9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0" fontId="0" fillId="0" borderId="0" xfId="0" applyNumberFormat="1" applyFill="1"/>
    <xf numFmtId="170" fontId="0" fillId="0" borderId="17" xfId="0" applyNumberFormat="1" applyFill="1" applyBorder="1" applyAlignment="1" applyProtection="1">
      <alignment horizontal="center"/>
      <protection locked="0"/>
    </xf>
    <xf numFmtId="10" fontId="0" fillId="0" borderId="12" xfId="2" applyNumberFormat="1" applyFont="1" applyFill="1" applyBorder="1" applyAlignment="1" applyProtection="1">
      <alignment horizontal="center"/>
      <protection locked="0"/>
    </xf>
    <xf numFmtId="10" fontId="16" fillId="0" borderId="24" xfId="3" applyNumberFormat="1" applyFill="1" applyBorder="1" applyAlignment="1" applyProtection="1">
      <alignment horizontal="center"/>
      <protection locked="0"/>
    </xf>
    <xf numFmtId="9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center" vertical="center"/>
    </xf>
    <xf numFmtId="165" fontId="0" fillId="11" borderId="17" xfId="2" applyFont="1" applyFill="1" applyBorder="1" applyAlignment="1" applyProtection="1">
      <protection locked="0"/>
    </xf>
    <xf numFmtId="165" fontId="0" fillId="11" borderId="19" xfId="2" applyFont="1" applyFill="1" applyBorder="1" applyAlignment="1" applyProtection="1">
      <protection locked="0"/>
    </xf>
    <xf numFmtId="165" fontId="0" fillId="11" borderId="17" xfId="2" applyFont="1" applyFill="1" applyBorder="1" applyAlignment="1" applyProtection="1">
      <alignment horizontal="center"/>
      <protection locked="0"/>
    </xf>
    <xf numFmtId="0" fontId="0" fillId="9" borderId="2" xfId="0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</cellXfs>
  <cellStyles count="20">
    <cellStyle name="Accent" xfId="16"/>
    <cellStyle name="Accent 1" xfId="17"/>
    <cellStyle name="Accent 2" xfId="18"/>
    <cellStyle name="Accent 3" xfId="19"/>
    <cellStyle name="Bad" xfId="13" builtinId="27" customBuiltin="1"/>
    <cellStyle name="Comma" xfId="1" builtinId="3"/>
    <cellStyle name="Currency" xfId="2" builtinId="4"/>
    <cellStyle name="Error" xfId="15"/>
    <cellStyle name="Footnote" xfId="9"/>
    <cellStyle name="Good" xfId="11" builtinId="26" customBuiltin="1"/>
    <cellStyle name="Heading" xfId="4"/>
    <cellStyle name="Heading 1" xfId="5" builtinId="16" customBuiltin="1"/>
    <cellStyle name="Heading 2" xfId="6" builtinId="17" customBuiltin="1"/>
    <cellStyle name="Neutral" xfId="12" builtinId="28" customBuiltin="1"/>
    <cellStyle name="Normal" xfId="0" builtinId="0"/>
    <cellStyle name="Note" xfId="8" builtinId="10" customBuiltin="1"/>
    <cellStyle name="Percent" xfId="3" builtinId="5"/>
    <cellStyle name="Status" xfId="10"/>
    <cellStyle name="Text" xfId="7"/>
    <cellStyle name="Warning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0"/>
  <sheetViews>
    <sheetView workbookViewId="0">
      <selection activeCell="D20" sqref="D20"/>
    </sheetView>
  </sheetViews>
  <sheetFormatPr defaultColWidth="11" defaultRowHeight="12.75" x14ac:dyDescent="0.2"/>
  <cols>
    <col min="1" max="1" width="42.28515625" customWidth="1"/>
    <col min="2" max="3" width="11" customWidth="1"/>
    <col min="4" max="4" width="17.42578125" customWidth="1"/>
  </cols>
  <sheetData>
    <row r="1" spans="1:7" x14ac:dyDescent="0.2">
      <c r="A1" s="1" t="s">
        <v>0</v>
      </c>
      <c r="E1" s="2">
        <v>1</v>
      </c>
    </row>
    <row r="3" spans="1:7" x14ac:dyDescent="0.2">
      <c r="A3" s="3" t="s">
        <v>1</v>
      </c>
      <c r="B3" s="4">
        <v>0.21</v>
      </c>
    </row>
    <row r="4" spans="1:7" x14ac:dyDescent="0.2">
      <c r="A4" s="3" t="s">
        <v>2</v>
      </c>
      <c r="B4" s="4">
        <v>0.35</v>
      </c>
    </row>
    <row r="5" spans="1:7" x14ac:dyDescent="0.2">
      <c r="A5" s="3" t="s">
        <v>3</v>
      </c>
      <c r="B5" s="4">
        <v>0.09</v>
      </c>
      <c r="C5" t="s">
        <v>4</v>
      </c>
      <c r="G5" s="5"/>
    </row>
    <row r="7" spans="1:7" x14ac:dyDescent="0.2">
      <c r="A7" s="3" t="s">
        <v>5</v>
      </c>
      <c r="B7" t="s">
        <v>6</v>
      </c>
    </row>
    <row r="8" spans="1:7" x14ac:dyDescent="0.2">
      <c r="A8" s="6" t="s">
        <v>7</v>
      </c>
      <c r="B8" s="7">
        <v>30</v>
      </c>
      <c r="C8" t="s">
        <v>8</v>
      </c>
    </row>
    <row r="9" spans="1:7" x14ac:dyDescent="0.2">
      <c r="A9" s="6" t="s">
        <v>9</v>
      </c>
      <c r="B9" s="7">
        <v>10</v>
      </c>
      <c r="C9" t="s">
        <v>8</v>
      </c>
    </row>
    <row r="10" spans="1:7" x14ac:dyDescent="0.2">
      <c r="A10" s="6" t="s">
        <v>10</v>
      </c>
      <c r="B10" s="7">
        <v>10</v>
      </c>
      <c r="C10" t="s">
        <v>8</v>
      </c>
    </row>
    <row r="11" spans="1:7" x14ac:dyDescent="0.2">
      <c r="A11" s="6" t="s">
        <v>11</v>
      </c>
      <c r="B11" s="7">
        <v>5</v>
      </c>
      <c r="C11" t="s">
        <v>8</v>
      </c>
    </row>
    <row r="12" spans="1:7" x14ac:dyDescent="0.2">
      <c r="A12" s="6" t="s">
        <v>12</v>
      </c>
      <c r="B12" s="7">
        <v>5</v>
      </c>
      <c r="C12" t="s">
        <v>8</v>
      </c>
    </row>
    <row r="13" spans="1:7" x14ac:dyDescent="0.2">
      <c r="A13" s="6" t="s">
        <v>13</v>
      </c>
      <c r="B13" s="7">
        <v>3</v>
      </c>
      <c r="C13" t="s">
        <v>8</v>
      </c>
    </row>
    <row r="14" spans="1:7" x14ac:dyDescent="0.2">
      <c r="A14" s="6" t="s">
        <v>14</v>
      </c>
      <c r="B14" s="7">
        <v>5</v>
      </c>
      <c r="C14" t="s">
        <v>8</v>
      </c>
    </row>
    <row r="15" spans="1:7" x14ac:dyDescent="0.2">
      <c r="A15" s="6" t="s">
        <v>15</v>
      </c>
      <c r="B15" s="8">
        <v>7.4999999999999997E-2</v>
      </c>
    </row>
    <row r="17" spans="1:7" x14ac:dyDescent="0.2">
      <c r="A17" s="3" t="s">
        <v>16</v>
      </c>
      <c r="B17" s="9" t="s">
        <v>383</v>
      </c>
      <c r="C17" s="10"/>
      <c r="D17" s="10"/>
      <c r="E17" s="10"/>
      <c r="F17" s="10"/>
      <c r="G17" s="11"/>
    </row>
    <row r="19" spans="1:7" x14ac:dyDescent="0.2">
      <c r="A19" s="3" t="s">
        <v>17</v>
      </c>
      <c r="B19" s="12">
        <v>10513800</v>
      </c>
      <c r="C19" t="s">
        <v>18</v>
      </c>
    </row>
    <row r="20" spans="1:7" x14ac:dyDescent="0.2">
      <c r="A20" s="3" t="s">
        <v>19</v>
      </c>
      <c r="B20" s="12">
        <v>13</v>
      </c>
      <c r="C20" t="s">
        <v>20</v>
      </c>
    </row>
    <row r="22" spans="1:7" x14ac:dyDescent="0.2">
      <c r="A22" s="3" t="s">
        <v>21</v>
      </c>
    </row>
    <row r="23" spans="1:7" x14ac:dyDescent="0.2">
      <c r="A23" s="3" t="s">
        <v>22</v>
      </c>
      <c r="B23" s="12">
        <v>37</v>
      </c>
      <c r="C23" t="s">
        <v>23</v>
      </c>
    </row>
    <row r="24" spans="1:7" x14ac:dyDescent="0.2">
      <c r="A24" s="3" t="s">
        <v>24</v>
      </c>
      <c r="B24" s="12">
        <v>9</v>
      </c>
      <c r="C24" t="s">
        <v>23</v>
      </c>
    </row>
    <row r="25" spans="1:7" x14ac:dyDescent="0.2">
      <c r="A25" s="3" t="s">
        <v>25</v>
      </c>
      <c r="B25" s="12">
        <v>8</v>
      </c>
      <c r="C25" t="s">
        <v>23</v>
      </c>
    </row>
    <row r="27" spans="1:7" x14ac:dyDescent="0.2">
      <c r="A27" s="3" t="s">
        <v>26</v>
      </c>
      <c r="B27" s="12">
        <v>1600</v>
      </c>
      <c r="C27" t="s">
        <v>27</v>
      </c>
      <c r="D27" t="s">
        <v>384</v>
      </c>
    </row>
    <row r="28" spans="1:7" x14ac:dyDescent="0.2">
      <c r="A28" s="3" t="s">
        <v>28</v>
      </c>
      <c r="B28" s="12">
        <v>11</v>
      </c>
      <c r="C28" t="s">
        <v>29</v>
      </c>
    </row>
    <row r="29" spans="1:7" x14ac:dyDescent="0.2">
      <c r="A29" s="3" t="s">
        <v>30</v>
      </c>
      <c r="B29" s="12">
        <v>4</v>
      </c>
      <c r="C29" t="s">
        <v>29</v>
      </c>
    </row>
    <row r="32" spans="1:7" x14ac:dyDescent="0.2">
      <c r="A32" s="3" t="s">
        <v>31</v>
      </c>
      <c r="B32" s="12">
        <v>17.399999999999999</v>
      </c>
      <c r="C32" t="s">
        <v>32</v>
      </c>
      <c r="D32" s="12">
        <v>1</v>
      </c>
      <c r="E32" t="s">
        <v>33</v>
      </c>
    </row>
    <row r="33" spans="1:7" x14ac:dyDescent="0.2">
      <c r="A33" s="13"/>
    </row>
    <row r="34" spans="1:7" x14ac:dyDescent="0.2">
      <c r="A34" s="13"/>
    </row>
    <row r="35" spans="1:7" x14ac:dyDescent="0.2">
      <c r="A35" s="3" t="s">
        <v>34</v>
      </c>
      <c r="B35" s="14">
        <v>0.53</v>
      </c>
      <c r="C35" t="s">
        <v>35</v>
      </c>
      <c r="G35" s="5" t="s">
        <v>36</v>
      </c>
    </row>
    <row r="36" spans="1:7" x14ac:dyDescent="0.2">
      <c r="A36" s="3" t="s">
        <v>37</v>
      </c>
      <c r="B36" s="280"/>
      <c r="C36" s="280"/>
      <c r="D36" s="280"/>
    </row>
    <row r="37" spans="1:7" x14ac:dyDescent="0.2">
      <c r="A37" s="3" t="s">
        <v>38</v>
      </c>
      <c r="B37" s="15"/>
    </row>
    <row r="38" spans="1:7" x14ac:dyDescent="0.2">
      <c r="A38" s="3"/>
    </row>
    <row r="39" spans="1:7" x14ac:dyDescent="0.2">
      <c r="A39" s="3" t="s">
        <v>39</v>
      </c>
      <c r="B39" s="12"/>
    </row>
    <row r="40" spans="1:7" x14ac:dyDescent="0.2">
      <c r="A40" s="3" t="s">
        <v>40</v>
      </c>
      <c r="B40" s="12"/>
    </row>
    <row r="41" spans="1:7" x14ac:dyDescent="0.2">
      <c r="A41" s="3" t="s">
        <v>41</v>
      </c>
      <c r="B41" s="12"/>
      <c r="C41" t="s">
        <v>35</v>
      </c>
    </row>
    <row r="1570" spans="7:7" x14ac:dyDescent="0.2">
      <c r="G1570" s="5" t="s">
        <v>42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workbookViewId="0">
      <selection activeCell="D1" sqref="D1"/>
    </sheetView>
  </sheetViews>
  <sheetFormatPr defaultColWidth="11.42578125" defaultRowHeight="12.75" x14ac:dyDescent="0.2"/>
  <cols>
    <col min="1" max="1" width="54.42578125" style="181" customWidth="1"/>
    <col min="2" max="4" width="14" style="181" customWidth="1"/>
    <col min="5" max="250" width="11.42578125" style="181" customWidth="1"/>
  </cols>
  <sheetData>
    <row r="1" spans="1:5" x14ac:dyDescent="0.2">
      <c r="A1" s="1" t="s">
        <v>0</v>
      </c>
      <c r="B1"/>
      <c r="C1"/>
      <c r="D1">
        <f>InfoInicial!E1</f>
        <v>1</v>
      </c>
      <c r="E1" s="2"/>
    </row>
    <row r="2" spans="1:5" ht="15.75" x14ac:dyDescent="0.25">
      <c r="A2" s="182" t="s">
        <v>281</v>
      </c>
      <c r="B2" s="183"/>
      <c r="C2" s="183"/>
      <c r="D2" s="184"/>
    </row>
    <row r="3" spans="1:5" x14ac:dyDescent="0.2">
      <c r="A3" s="185" t="s">
        <v>88</v>
      </c>
      <c r="B3" s="192" t="s">
        <v>47</v>
      </c>
      <c r="C3" s="192" t="s">
        <v>48</v>
      </c>
      <c r="D3" s="188" t="s">
        <v>192</v>
      </c>
    </row>
    <row r="4" spans="1:5" x14ac:dyDescent="0.2">
      <c r="A4" s="189" t="s">
        <v>282</v>
      </c>
      <c r="B4" s="90"/>
      <c r="C4" s="90"/>
      <c r="D4" s="91"/>
    </row>
    <row r="5" spans="1:5" x14ac:dyDescent="0.2">
      <c r="B5" s="64"/>
      <c r="C5" s="64"/>
      <c r="D5" s="65"/>
    </row>
    <row r="6" spans="1:5" x14ac:dyDescent="0.2">
      <c r="A6" s="181" t="s">
        <v>283</v>
      </c>
      <c r="B6" s="64"/>
      <c r="C6" s="64"/>
      <c r="D6" s="65"/>
    </row>
    <row r="7" spans="1:5" x14ac:dyDescent="0.2">
      <c r="A7" s="181" t="s">
        <v>284</v>
      </c>
      <c r="B7" s="64"/>
      <c r="C7" s="64"/>
      <c r="D7" s="65"/>
    </row>
    <row r="8" spans="1:5" x14ac:dyDescent="0.2">
      <c r="A8" s="189" t="s">
        <v>285</v>
      </c>
      <c r="B8" s="64"/>
      <c r="C8" s="64"/>
      <c r="D8" s="65"/>
    </row>
    <row r="9" spans="1:5" x14ac:dyDescent="0.2">
      <c r="A9" s="190" t="s">
        <v>286</v>
      </c>
      <c r="B9" s="64"/>
      <c r="C9" s="64"/>
      <c r="D9" s="65"/>
    </row>
    <row r="10" spans="1:5" x14ac:dyDescent="0.2">
      <c r="A10" s="189" t="s">
        <v>287</v>
      </c>
      <c r="B10" s="64"/>
      <c r="C10" s="64"/>
      <c r="D10" s="65"/>
    </row>
    <row r="11" spans="1:5" x14ac:dyDescent="0.2">
      <c r="A11" s="189" t="s">
        <v>288</v>
      </c>
      <c r="B11" s="90"/>
      <c r="C11" s="90"/>
      <c r="D11" s="91"/>
    </row>
    <row r="12" spans="1:5" x14ac:dyDescent="0.2">
      <c r="A12" s="190" t="s">
        <v>289</v>
      </c>
      <c r="B12" s="64"/>
      <c r="C12" s="64"/>
      <c r="D12" s="65"/>
    </row>
    <row r="13" spans="1:5" x14ac:dyDescent="0.2">
      <c r="A13" s="181" t="s">
        <v>290</v>
      </c>
      <c r="B13" s="64"/>
      <c r="C13" s="64"/>
      <c r="D13" s="65"/>
    </row>
    <row r="14" spans="1:5" x14ac:dyDescent="0.2">
      <c r="A14" s="181" t="s">
        <v>291</v>
      </c>
      <c r="B14" s="64"/>
      <c r="C14" s="64"/>
      <c r="D14" s="65"/>
    </row>
    <row r="15" spans="1:5" x14ac:dyDescent="0.2">
      <c r="A15" s="189" t="s">
        <v>292</v>
      </c>
      <c r="B15" s="64"/>
      <c r="C15" s="64"/>
      <c r="D15" s="65"/>
    </row>
    <row r="16" spans="1:5" x14ac:dyDescent="0.2">
      <c r="A16" s="181" t="s">
        <v>114</v>
      </c>
      <c r="B16" s="90"/>
      <c r="C16" s="90"/>
      <c r="D16" s="91"/>
    </row>
    <row r="17" spans="1:5" x14ac:dyDescent="0.2">
      <c r="A17" s="181" t="s">
        <v>293</v>
      </c>
      <c r="B17" s="64"/>
      <c r="C17" s="64"/>
      <c r="D17" s="65"/>
    </row>
    <row r="18" spans="1:5" x14ac:dyDescent="0.2">
      <c r="A18" s="181" t="s">
        <v>294</v>
      </c>
      <c r="B18" s="64"/>
      <c r="C18" s="64"/>
      <c r="D18" s="65"/>
    </row>
    <row r="19" spans="1:5" x14ac:dyDescent="0.2">
      <c r="A19" s="181" t="s">
        <v>295</v>
      </c>
      <c r="B19" s="64"/>
      <c r="C19" s="64"/>
      <c r="D19" s="65"/>
    </row>
    <row r="20" spans="1:5" x14ac:dyDescent="0.2">
      <c r="A20" s="189" t="s">
        <v>296</v>
      </c>
      <c r="B20" s="64"/>
      <c r="C20" s="64"/>
      <c r="D20" s="65"/>
    </row>
    <row r="21" spans="1:5" x14ac:dyDescent="0.2">
      <c r="A21" s="181" t="s">
        <v>297</v>
      </c>
      <c r="B21" s="64"/>
      <c r="C21" s="64"/>
      <c r="D21" s="65"/>
    </row>
    <row r="22" spans="1:5" x14ac:dyDescent="0.2">
      <c r="A22" s="189" t="s">
        <v>298</v>
      </c>
      <c r="B22" s="64"/>
      <c r="C22" s="64"/>
      <c r="D22" s="65"/>
    </row>
    <row r="23" spans="1:5" x14ac:dyDescent="0.2">
      <c r="A23" s="189" t="s">
        <v>299</v>
      </c>
      <c r="B23" s="64"/>
      <c r="C23" s="64"/>
      <c r="D23" s="65"/>
    </row>
    <row r="24" spans="1:5" x14ac:dyDescent="0.2">
      <c r="A24" s="189" t="s">
        <v>300</v>
      </c>
      <c r="B24" s="90"/>
      <c r="C24" s="90"/>
      <c r="D24" s="91"/>
    </row>
    <row r="25" spans="1:5" x14ac:dyDescent="0.2">
      <c r="A25" s="181" t="s">
        <v>301</v>
      </c>
      <c r="B25" s="64"/>
      <c r="C25" s="64"/>
      <c r="D25" s="65"/>
    </row>
    <row r="26" spans="1:5" x14ac:dyDescent="0.2">
      <c r="A26" s="181" t="s">
        <v>302</v>
      </c>
      <c r="B26" s="64"/>
      <c r="C26" s="64"/>
      <c r="D26" s="65"/>
    </row>
    <row r="27" spans="1:5" x14ac:dyDescent="0.2">
      <c r="A27" s="189" t="s">
        <v>303</v>
      </c>
      <c r="B27" s="64"/>
      <c r="C27" s="64"/>
      <c r="D27" s="65"/>
      <c r="E27" s="193"/>
    </row>
    <row r="28" spans="1:5" x14ac:dyDescent="0.2">
      <c r="A28" s="189" t="s">
        <v>304</v>
      </c>
      <c r="B28" s="90"/>
      <c r="C28" s="90"/>
      <c r="D28" s="120"/>
      <c r="E28" s="194" t="s">
        <v>305</v>
      </c>
    </row>
    <row r="29" spans="1:5" x14ac:dyDescent="0.2">
      <c r="A29" s="189" t="s">
        <v>306</v>
      </c>
      <c r="B29" s="64"/>
      <c r="C29" s="64"/>
      <c r="D29" s="119"/>
      <c r="E29" s="93"/>
    </row>
    <row r="30" spans="1:5" x14ac:dyDescent="0.2">
      <c r="A30" s="189" t="s">
        <v>307</v>
      </c>
      <c r="B30" s="64"/>
      <c r="C30" s="64"/>
      <c r="D30" s="119"/>
      <c r="E30" s="93"/>
    </row>
    <row r="31" spans="1:5" x14ac:dyDescent="0.2">
      <c r="A31" s="189" t="s">
        <v>308</v>
      </c>
      <c r="B31" s="64"/>
      <c r="C31" s="64"/>
      <c r="D31" s="119"/>
      <c r="E31" s="93"/>
    </row>
    <row r="32" spans="1:5" x14ac:dyDescent="0.2">
      <c r="A32" s="191" t="s">
        <v>192</v>
      </c>
      <c r="B32" s="74"/>
      <c r="C32" s="74"/>
      <c r="D32" s="121"/>
      <c r="E32" s="88"/>
    </row>
    <row r="34" spans="1:6" ht="15.75" x14ac:dyDescent="0.25">
      <c r="A34" s="182" t="s">
        <v>309</v>
      </c>
      <c r="B34" s="183"/>
      <c r="C34" s="183"/>
      <c r="D34" s="183"/>
      <c r="E34" s="183"/>
      <c r="F34" s="183"/>
    </row>
    <row r="35" spans="1:6" x14ac:dyDescent="0.2">
      <c r="A35" s="185" t="s">
        <v>88</v>
      </c>
      <c r="B35" s="186" t="s">
        <v>48</v>
      </c>
      <c r="C35" s="186" t="s">
        <v>89</v>
      </c>
      <c r="D35" s="186" t="s">
        <v>90</v>
      </c>
      <c r="E35" s="186" t="s">
        <v>91</v>
      </c>
      <c r="F35" s="186" t="s">
        <v>92</v>
      </c>
    </row>
    <row r="36" spans="1:6" x14ac:dyDescent="0.2">
      <c r="A36" s="195" t="s">
        <v>154</v>
      </c>
      <c r="B36" s="27"/>
      <c r="C36" s="27"/>
      <c r="D36" s="27"/>
      <c r="E36" s="27"/>
      <c r="F36" s="27"/>
    </row>
    <row r="37" spans="1:6" x14ac:dyDescent="0.2">
      <c r="A37" s="196" t="s">
        <v>153</v>
      </c>
      <c r="B37" s="27"/>
      <c r="C37" s="27"/>
      <c r="D37" s="27"/>
      <c r="E37" s="27"/>
      <c r="F37" s="27"/>
    </row>
    <row r="38" spans="1:6" x14ac:dyDescent="0.2">
      <c r="A38" s="195" t="s">
        <v>156</v>
      </c>
      <c r="B38" s="27"/>
      <c r="C38" s="27"/>
      <c r="D38" s="27"/>
      <c r="E38" s="27"/>
      <c r="F38" s="27"/>
    </row>
    <row r="39" spans="1:6" x14ac:dyDescent="0.2">
      <c r="A39" s="196" t="s">
        <v>155</v>
      </c>
      <c r="B39" s="27"/>
      <c r="C39" s="27"/>
      <c r="D39" s="27"/>
      <c r="E39" s="27"/>
      <c r="F39" s="27"/>
    </row>
    <row r="40" spans="1:6" x14ac:dyDescent="0.2">
      <c r="A40" s="195" t="s">
        <v>158</v>
      </c>
      <c r="B40" s="27"/>
      <c r="C40" s="27"/>
      <c r="D40" s="27"/>
      <c r="E40" s="27"/>
      <c r="F40" s="27"/>
    </row>
    <row r="41" spans="1:6" x14ac:dyDescent="0.2">
      <c r="A41" s="196" t="s">
        <v>157</v>
      </c>
      <c r="B41" s="27"/>
      <c r="C41" s="27"/>
      <c r="D41" s="27"/>
      <c r="E41" s="27"/>
      <c r="F41" s="27"/>
    </row>
    <row r="42" spans="1:6" x14ac:dyDescent="0.2">
      <c r="A42" s="196" t="s">
        <v>310</v>
      </c>
      <c r="B42" s="27"/>
      <c r="C42" s="27"/>
      <c r="D42" s="27"/>
      <c r="E42" s="27"/>
      <c r="F42" s="27"/>
    </row>
    <row r="43" spans="1:6" x14ac:dyDescent="0.2">
      <c r="A43" s="195" t="s">
        <v>159</v>
      </c>
      <c r="B43" s="27"/>
      <c r="C43" s="27"/>
      <c r="D43" s="27"/>
      <c r="E43" s="27"/>
      <c r="F43" s="27"/>
    </row>
    <row r="44" spans="1:6" x14ac:dyDescent="0.2">
      <c r="A44" s="197" t="s">
        <v>160</v>
      </c>
      <c r="B44" s="31"/>
      <c r="C44" s="31"/>
      <c r="D44" s="31"/>
      <c r="E44" s="31"/>
      <c r="F44" s="31"/>
    </row>
    <row r="45" spans="1:6" ht="15.75" x14ac:dyDescent="0.25">
      <c r="A45" s="198" t="s">
        <v>311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E1" sqref="E1"/>
    </sheetView>
  </sheetViews>
  <sheetFormatPr defaultColWidth="11.42578125" defaultRowHeight="12.75" x14ac:dyDescent="0.2"/>
  <cols>
    <col min="1" max="1" width="43" style="181" customWidth="1"/>
    <col min="2" max="7" width="14" style="181" customWidth="1"/>
    <col min="8" max="8" width="17.42578125" style="181" customWidth="1"/>
    <col min="9" max="16384" width="11.42578125" style="181"/>
  </cols>
  <sheetData>
    <row r="1" spans="1:7" x14ac:dyDescent="0.2">
      <c r="A1" s="1" t="s">
        <v>0</v>
      </c>
      <c r="B1"/>
      <c r="C1"/>
      <c r="D1"/>
      <c r="E1" s="2">
        <f>InfoInicial!E1</f>
        <v>1</v>
      </c>
    </row>
    <row r="2" spans="1:7" ht="15.75" x14ac:dyDescent="0.25">
      <c r="A2" s="182" t="s">
        <v>211</v>
      </c>
      <c r="B2" s="183"/>
      <c r="C2" s="183"/>
      <c r="D2" s="183"/>
      <c r="E2" s="183"/>
      <c r="F2" s="183"/>
      <c r="G2" s="184"/>
    </row>
    <row r="3" spans="1:7" ht="15.75" x14ac:dyDescent="0.25">
      <c r="A3" s="199"/>
      <c r="B3" s="200" t="s">
        <v>212</v>
      </c>
      <c r="C3" s="200"/>
      <c r="D3" s="200"/>
      <c r="E3" s="200"/>
      <c r="F3" s="200"/>
      <c r="G3" s="201"/>
    </row>
    <row r="4" spans="1:7" x14ac:dyDescent="0.2">
      <c r="A4" s="202" t="s">
        <v>88</v>
      </c>
      <c r="B4" s="203" t="s">
        <v>47</v>
      </c>
      <c r="C4" s="186" t="s">
        <v>48</v>
      </c>
      <c r="D4" s="186" t="s">
        <v>89</v>
      </c>
      <c r="E4" s="186" t="s">
        <v>90</v>
      </c>
      <c r="F4" s="186" t="s">
        <v>91</v>
      </c>
      <c r="G4" s="188" t="s">
        <v>92</v>
      </c>
    </row>
    <row r="5" spans="1:7" x14ac:dyDescent="0.2">
      <c r="A5" s="204" t="s">
        <v>312</v>
      </c>
      <c r="B5" s="128"/>
      <c r="C5" s="111"/>
      <c r="D5" s="111"/>
      <c r="E5" s="111"/>
      <c r="F5" s="111"/>
      <c r="G5" s="112"/>
    </row>
    <row r="6" spans="1:7" x14ac:dyDescent="0.2">
      <c r="A6" s="205" t="s">
        <v>313</v>
      </c>
      <c r="B6" s="130"/>
      <c r="C6" s="64"/>
      <c r="D6" s="64"/>
      <c r="E6" s="64"/>
      <c r="F6" s="64"/>
      <c r="G6" s="65"/>
    </row>
    <row r="7" spans="1:7" x14ac:dyDescent="0.2">
      <c r="A7" s="205" t="s">
        <v>314</v>
      </c>
      <c r="B7" s="130"/>
      <c r="C7" s="64"/>
      <c r="D7" s="64"/>
      <c r="E7" s="64"/>
      <c r="F7" s="64"/>
      <c r="G7" s="65"/>
    </row>
    <row r="8" spans="1:7" x14ac:dyDescent="0.2">
      <c r="A8" s="206" t="s">
        <v>315</v>
      </c>
      <c r="B8" s="130"/>
      <c r="C8" s="64"/>
      <c r="D8" s="64"/>
      <c r="E8" s="64"/>
      <c r="F8" s="64"/>
      <c r="G8" s="65"/>
    </row>
    <row r="9" spans="1:7" x14ac:dyDescent="0.2">
      <c r="A9" s="206" t="s">
        <v>316</v>
      </c>
      <c r="B9" s="130"/>
      <c r="C9" s="64"/>
      <c r="D9" s="64"/>
      <c r="E9" s="64"/>
      <c r="F9" s="64"/>
      <c r="G9" s="65"/>
    </row>
    <row r="10" spans="1:7" x14ac:dyDescent="0.2">
      <c r="A10" s="207" t="s">
        <v>317</v>
      </c>
      <c r="B10" s="130"/>
      <c r="C10" s="64"/>
      <c r="D10" s="64"/>
      <c r="E10" s="64"/>
      <c r="F10" s="64"/>
      <c r="G10" s="65"/>
    </row>
    <row r="11" spans="1:7" x14ac:dyDescent="0.2">
      <c r="A11" s="207"/>
      <c r="B11" s="132"/>
      <c r="C11" s="90"/>
      <c r="D11" s="90"/>
      <c r="E11" s="90"/>
      <c r="F11" s="90"/>
      <c r="G11" s="91"/>
    </row>
    <row r="12" spans="1:7" x14ac:dyDescent="0.2">
      <c r="A12" s="205" t="s">
        <v>223</v>
      </c>
      <c r="B12" s="130"/>
      <c r="C12" s="64"/>
      <c r="D12" s="64"/>
      <c r="E12" s="64"/>
      <c r="F12" s="64"/>
      <c r="G12" s="65"/>
    </row>
    <row r="13" spans="1:7" x14ac:dyDescent="0.2">
      <c r="A13" s="205" t="s">
        <v>224</v>
      </c>
      <c r="B13" s="130"/>
      <c r="C13" s="64"/>
      <c r="D13" s="64"/>
      <c r="E13" s="64"/>
      <c r="F13" s="64"/>
      <c r="G13" s="65"/>
    </row>
    <row r="14" spans="1:7" x14ac:dyDescent="0.2">
      <c r="A14" s="207" t="s">
        <v>318</v>
      </c>
      <c r="B14" s="130"/>
      <c r="C14" s="64"/>
      <c r="D14" s="64"/>
      <c r="E14" s="64"/>
      <c r="F14" s="64"/>
      <c r="G14" s="65"/>
    </row>
    <row r="15" spans="1:7" x14ac:dyDescent="0.2">
      <c r="A15" s="205"/>
      <c r="B15" s="132"/>
      <c r="C15" s="90"/>
      <c r="D15" s="90"/>
      <c r="E15" s="90"/>
      <c r="F15" s="90"/>
      <c r="G15" s="91"/>
    </row>
    <row r="16" spans="1:7" x14ac:dyDescent="0.2">
      <c r="A16" s="208" t="s">
        <v>319</v>
      </c>
      <c r="B16" s="130"/>
      <c r="C16" s="64"/>
      <c r="D16" s="64"/>
      <c r="E16" s="64"/>
      <c r="F16" s="64"/>
      <c r="G16" s="65"/>
    </row>
    <row r="17" spans="1:7" x14ac:dyDescent="0.2">
      <c r="A17" s="208" t="s">
        <v>320</v>
      </c>
      <c r="B17" s="130"/>
      <c r="C17" s="64"/>
      <c r="D17" s="64"/>
      <c r="E17" s="64"/>
      <c r="F17" s="64"/>
      <c r="G17" s="65"/>
    </row>
    <row r="18" spans="1:7" x14ac:dyDescent="0.2">
      <c r="A18" s="207" t="s">
        <v>321</v>
      </c>
      <c r="B18" s="130"/>
      <c r="C18" s="64"/>
      <c r="D18" s="64"/>
      <c r="E18" s="64"/>
      <c r="F18" s="64"/>
      <c r="G18" s="65"/>
    </row>
    <row r="19" spans="1:7" x14ac:dyDescent="0.2">
      <c r="A19" s="207" t="s">
        <v>322</v>
      </c>
      <c r="B19" s="130"/>
      <c r="C19" s="64"/>
      <c r="D19" s="64"/>
      <c r="E19" s="64"/>
      <c r="F19" s="64"/>
      <c r="G19" s="65"/>
    </row>
    <row r="20" spans="1:7" x14ac:dyDescent="0.2">
      <c r="A20" s="205"/>
      <c r="B20" s="132"/>
      <c r="C20" s="90"/>
      <c r="D20" s="90"/>
      <c r="E20" s="90"/>
      <c r="F20" s="90"/>
      <c r="G20" s="91"/>
    </row>
    <row r="21" spans="1:7" x14ac:dyDescent="0.2">
      <c r="A21" s="209" t="s">
        <v>230</v>
      </c>
      <c r="B21" s="135"/>
      <c r="C21" s="74"/>
      <c r="D21" s="74"/>
      <c r="E21" s="74"/>
      <c r="F21" s="74"/>
      <c r="G21" s="7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E1" sqref="E1"/>
    </sheetView>
  </sheetViews>
  <sheetFormatPr defaultColWidth="11.42578125" defaultRowHeight="12.75" x14ac:dyDescent="0.2"/>
  <cols>
    <col min="1" max="1" width="41" style="210" customWidth="1"/>
    <col min="2" max="8" width="14.85546875" style="210" customWidth="1"/>
    <col min="9" max="9" width="17.42578125" style="210" customWidth="1"/>
    <col min="10" max="16384" width="11.42578125" style="210"/>
  </cols>
  <sheetData>
    <row r="1" spans="1:8" x14ac:dyDescent="0.2">
      <c r="A1" s="1" t="s">
        <v>0</v>
      </c>
      <c r="B1"/>
      <c r="C1"/>
      <c r="D1"/>
      <c r="E1" s="2">
        <f>InfoInicial!E1</f>
        <v>1</v>
      </c>
    </row>
    <row r="3" spans="1:8" ht="15.75" x14ac:dyDescent="0.25">
      <c r="A3" s="211" t="s">
        <v>323</v>
      </c>
      <c r="B3" s="212"/>
      <c r="C3" s="212"/>
      <c r="D3" s="212"/>
      <c r="E3" s="212"/>
      <c r="F3" s="212"/>
      <c r="G3" s="213"/>
      <c r="H3" s="214"/>
    </row>
    <row r="4" spans="1:8" x14ac:dyDescent="0.2">
      <c r="A4" s="215"/>
      <c r="B4" s="216" t="s">
        <v>47</v>
      </c>
      <c r="C4" s="216" t="s">
        <v>48</v>
      </c>
      <c r="D4" s="216" t="s">
        <v>89</v>
      </c>
      <c r="E4" s="216" t="s">
        <v>90</v>
      </c>
      <c r="F4" s="216" t="s">
        <v>91</v>
      </c>
      <c r="G4" s="217" t="s">
        <v>92</v>
      </c>
      <c r="H4" s="218" t="s">
        <v>192</v>
      </c>
    </row>
    <row r="5" spans="1:8" x14ac:dyDescent="0.2">
      <c r="A5" s="189" t="s">
        <v>324</v>
      </c>
      <c r="B5" s="97"/>
      <c r="C5" s="97"/>
      <c r="D5" s="97"/>
      <c r="E5" s="97"/>
      <c r="F5" s="97"/>
      <c r="G5" s="219"/>
      <c r="H5" s="98"/>
    </row>
    <row r="6" spans="1:8" x14ac:dyDescent="0.2">
      <c r="A6" s="181" t="s">
        <v>325</v>
      </c>
      <c r="B6" s="64"/>
      <c r="C6" s="64"/>
      <c r="D6" s="64"/>
      <c r="E6" s="64"/>
      <c r="F6" s="64"/>
      <c r="G6" s="119"/>
      <c r="H6" s="65"/>
    </row>
    <row r="7" spans="1:8" x14ac:dyDescent="0.2">
      <c r="A7" s="181" t="s">
        <v>326</v>
      </c>
      <c r="B7" s="220"/>
      <c r="C7" s="220"/>
      <c r="D7" s="220"/>
      <c r="E7" s="220"/>
      <c r="F7" s="220"/>
      <c r="G7" s="221"/>
      <c r="H7" s="222"/>
    </row>
    <row r="8" spans="1:8" x14ac:dyDescent="0.2">
      <c r="A8" s="181" t="s">
        <v>327</v>
      </c>
      <c r="B8" s="64"/>
      <c r="C8" s="64"/>
      <c r="D8" s="64"/>
      <c r="E8" s="64"/>
      <c r="F8" s="64"/>
      <c r="G8" s="119"/>
      <c r="H8" s="65"/>
    </row>
    <row r="9" spans="1:8" x14ac:dyDescent="0.2">
      <c r="A9" s="181" t="s">
        <v>328</v>
      </c>
      <c r="B9" s="220"/>
      <c r="C9" s="220"/>
      <c r="D9" s="220"/>
      <c r="E9" s="220"/>
      <c r="F9" s="220"/>
      <c r="G9" s="221"/>
      <c r="H9" s="222"/>
    </row>
    <row r="10" spans="1:8" x14ac:dyDescent="0.2">
      <c r="A10" s="181" t="s">
        <v>329</v>
      </c>
      <c r="B10" s="64"/>
      <c r="C10" s="64"/>
      <c r="D10" s="64"/>
      <c r="E10" s="64"/>
      <c r="F10" s="64"/>
      <c r="G10" s="119"/>
      <c r="H10" s="65"/>
    </row>
    <row r="11" spans="1:8" x14ac:dyDescent="0.2">
      <c r="A11" s="181" t="s">
        <v>330</v>
      </c>
      <c r="B11" s="97"/>
      <c r="C11" s="97"/>
      <c r="D11" s="97"/>
      <c r="E11" s="97"/>
      <c r="F11" s="97"/>
      <c r="G11" s="219"/>
      <c r="H11" s="98"/>
    </row>
    <row r="12" spans="1:8" x14ac:dyDescent="0.2">
      <c r="A12" s="181"/>
      <c r="B12" s="64"/>
      <c r="C12" s="64"/>
      <c r="D12" s="64"/>
      <c r="E12" s="64"/>
      <c r="F12" s="64"/>
      <c r="G12" s="119"/>
      <c r="H12" s="65"/>
    </row>
    <row r="13" spans="1:8" x14ac:dyDescent="0.2">
      <c r="A13" s="189" t="s">
        <v>331</v>
      </c>
      <c r="B13" s="64"/>
      <c r="C13" s="64"/>
      <c r="D13" s="64"/>
      <c r="E13" s="64"/>
      <c r="F13" s="64"/>
      <c r="G13" s="119"/>
      <c r="H13" s="65"/>
    </row>
    <row r="14" spans="1:8" x14ac:dyDescent="0.2">
      <c r="A14" s="181" t="s">
        <v>332</v>
      </c>
      <c r="B14" s="220"/>
      <c r="C14" s="220"/>
      <c r="D14" s="220"/>
      <c r="E14" s="220"/>
      <c r="F14" s="220"/>
      <c r="G14" s="221"/>
      <c r="H14" s="222"/>
    </row>
    <row r="15" spans="1:8" x14ac:dyDescent="0.2">
      <c r="A15" s="181" t="s">
        <v>255</v>
      </c>
      <c r="B15" s="64"/>
      <c r="C15" s="64"/>
      <c r="D15" s="64"/>
      <c r="E15" s="64"/>
      <c r="F15" s="64"/>
      <c r="G15" s="119"/>
      <c r="H15" s="65"/>
    </row>
    <row r="16" spans="1:8" x14ac:dyDescent="0.2">
      <c r="A16" s="181" t="s">
        <v>333</v>
      </c>
      <c r="B16" s="64"/>
      <c r="C16" s="64"/>
      <c r="D16" s="64"/>
      <c r="E16" s="64"/>
      <c r="F16" s="64"/>
      <c r="G16" s="119"/>
      <c r="H16" s="65"/>
    </row>
    <row r="17" spans="1:14" x14ac:dyDescent="0.2">
      <c r="A17" s="181" t="s">
        <v>334</v>
      </c>
      <c r="B17" s="64"/>
      <c r="C17" s="64"/>
      <c r="D17" s="64"/>
      <c r="E17" s="64"/>
      <c r="F17" s="64"/>
      <c r="G17" s="119"/>
      <c r="H17" s="65"/>
    </row>
    <row r="18" spans="1:14" x14ac:dyDescent="0.2">
      <c r="A18" s="181" t="s">
        <v>335</v>
      </c>
      <c r="B18" s="220"/>
      <c r="C18" s="220"/>
      <c r="D18" s="220"/>
      <c r="E18" s="220"/>
      <c r="F18" s="220"/>
      <c r="G18" s="221"/>
      <c r="H18" s="222"/>
    </row>
    <row r="19" spans="1:14" x14ac:dyDescent="0.2">
      <c r="A19" s="181" t="s">
        <v>336</v>
      </c>
      <c r="B19" s="64"/>
      <c r="C19" s="64"/>
      <c r="D19" s="64"/>
      <c r="E19" s="64"/>
      <c r="F19" s="64"/>
      <c r="G19" s="119"/>
      <c r="H19" s="65"/>
    </row>
    <row r="20" spans="1:14" x14ac:dyDescent="0.2">
      <c r="A20" s="181" t="s">
        <v>337</v>
      </c>
      <c r="B20" s="220"/>
      <c r="C20" s="220"/>
      <c r="D20" s="220"/>
      <c r="E20" s="220"/>
      <c r="F20" s="220"/>
      <c r="G20" s="221"/>
      <c r="H20" s="222"/>
    </row>
    <row r="21" spans="1:14" x14ac:dyDescent="0.2">
      <c r="A21" s="181" t="s">
        <v>338</v>
      </c>
      <c r="B21" s="64"/>
      <c r="C21" s="64"/>
      <c r="D21" s="64"/>
      <c r="E21" s="64"/>
      <c r="F21" s="64"/>
      <c r="G21" s="119"/>
      <c r="H21" s="65"/>
    </row>
    <row r="22" spans="1:14" x14ac:dyDescent="0.2">
      <c r="A22" s="181" t="s">
        <v>339</v>
      </c>
      <c r="B22" s="97"/>
      <c r="C22" s="97"/>
      <c r="D22" s="97"/>
      <c r="E22" s="97"/>
      <c r="F22" s="97"/>
      <c r="G22" s="219"/>
      <c r="H22" s="98"/>
    </row>
    <row r="23" spans="1:14" x14ac:dyDescent="0.2">
      <c r="A23" s="181"/>
      <c r="B23" s="90"/>
      <c r="C23" s="90"/>
      <c r="D23" s="90"/>
      <c r="E23" s="90"/>
      <c r="F23" s="90"/>
      <c r="G23" s="120"/>
      <c r="H23" s="91"/>
    </row>
    <row r="24" spans="1:14" x14ac:dyDescent="0.2">
      <c r="A24" s="189" t="s">
        <v>340</v>
      </c>
      <c r="B24" s="64"/>
      <c r="C24" s="64"/>
      <c r="D24" s="64"/>
      <c r="E24" s="64"/>
      <c r="F24" s="64"/>
      <c r="G24" s="119"/>
      <c r="H24" s="65"/>
    </row>
    <row r="25" spans="1:14" x14ac:dyDescent="0.2">
      <c r="A25" s="189" t="s">
        <v>341</v>
      </c>
      <c r="B25" s="64"/>
      <c r="C25" s="64"/>
      <c r="D25" s="64"/>
      <c r="E25" s="64"/>
      <c r="F25" s="64"/>
      <c r="G25" s="119"/>
      <c r="H25" s="65"/>
    </row>
    <row r="26" spans="1:14" x14ac:dyDescent="0.2">
      <c r="A26" s="189"/>
      <c r="B26" s="90"/>
      <c r="C26" s="90"/>
      <c r="D26" s="90"/>
      <c r="E26" s="90"/>
      <c r="F26" s="90"/>
      <c r="G26" s="120"/>
      <c r="H26" s="91"/>
    </row>
    <row r="27" spans="1:14" x14ac:dyDescent="0.2">
      <c r="A27" s="189" t="s">
        <v>342</v>
      </c>
      <c r="B27" s="99"/>
      <c r="C27" s="99"/>
      <c r="D27" s="99"/>
      <c r="E27" s="99"/>
      <c r="F27" s="99"/>
      <c r="G27" s="223"/>
      <c r="H27" s="100"/>
    </row>
    <row r="28" spans="1:14" x14ac:dyDescent="0.2">
      <c r="A28" s="197" t="s">
        <v>343</v>
      </c>
      <c r="B28" s="31"/>
      <c r="C28" s="31"/>
      <c r="D28" s="31"/>
      <c r="E28" s="31"/>
      <c r="F28" s="31"/>
      <c r="G28" s="224"/>
      <c r="H28" s="54"/>
      <c r="I28" s="181"/>
      <c r="J28" s="181"/>
      <c r="K28" s="181"/>
      <c r="L28" s="181"/>
      <c r="M28" s="181"/>
      <c r="N28" s="181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1" sqref="E1"/>
    </sheetView>
  </sheetViews>
  <sheetFormatPr defaultColWidth="11.42578125" defaultRowHeight="12.75" x14ac:dyDescent="0.2"/>
  <cols>
    <col min="1" max="1" width="37.7109375" style="181" customWidth="1"/>
    <col min="2" max="7" width="14.85546875" style="181" customWidth="1"/>
    <col min="8" max="8" width="17.42578125" style="181" customWidth="1"/>
    <col min="9" max="16384" width="11.42578125" style="181"/>
  </cols>
  <sheetData>
    <row r="1" spans="1:7" x14ac:dyDescent="0.2">
      <c r="A1" s="1" t="s">
        <v>0</v>
      </c>
      <c r="B1"/>
      <c r="C1"/>
      <c r="D1"/>
      <c r="E1" s="2">
        <f>InfoInicial!E1</f>
        <v>1</v>
      </c>
    </row>
    <row r="3" spans="1:7" ht="15.75" x14ac:dyDescent="0.25">
      <c r="A3" s="211" t="s">
        <v>344</v>
      </c>
      <c r="B3" s="212"/>
      <c r="C3" s="212"/>
      <c r="D3" s="212"/>
      <c r="E3" s="212"/>
      <c r="F3" s="212"/>
      <c r="G3" s="214"/>
    </row>
    <row r="4" spans="1:7" x14ac:dyDescent="0.2">
      <c r="A4" s="225"/>
      <c r="B4" s="226" t="s">
        <v>47</v>
      </c>
      <c r="C4" s="226" t="s">
        <v>48</v>
      </c>
      <c r="D4" s="226" t="s">
        <v>89</v>
      </c>
      <c r="E4" s="226" t="s">
        <v>90</v>
      </c>
      <c r="F4" s="226" t="s">
        <v>91</v>
      </c>
      <c r="G4" s="227" t="s">
        <v>92</v>
      </c>
    </row>
    <row r="5" spans="1:7" x14ac:dyDescent="0.2">
      <c r="A5" s="228" t="s">
        <v>345</v>
      </c>
      <c r="B5" s="229"/>
      <c r="C5" s="229"/>
      <c r="D5" s="229"/>
      <c r="E5" s="229"/>
      <c r="F5" s="229"/>
      <c r="G5" s="230"/>
    </row>
    <row r="6" spans="1:7" x14ac:dyDescent="0.2">
      <c r="A6" s="195" t="s">
        <v>346</v>
      </c>
      <c r="B6" s="90"/>
      <c r="C6" s="90"/>
      <c r="D6" s="90"/>
      <c r="E6" s="90"/>
      <c r="F6" s="90"/>
      <c r="G6" s="91"/>
    </row>
    <row r="7" spans="1:7" x14ac:dyDescent="0.2">
      <c r="A7" s="215" t="s">
        <v>347</v>
      </c>
      <c r="B7" s="220"/>
      <c r="C7" s="220"/>
      <c r="D7" s="220"/>
      <c r="E7" s="220"/>
      <c r="F7" s="220"/>
      <c r="G7" s="222"/>
    </row>
    <row r="8" spans="1:7" x14ac:dyDescent="0.2">
      <c r="A8" s="215" t="s">
        <v>348</v>
      </c>
      <c r="B8" s="64"/>
      <c r="C8" s="64"/>
      <c r="D8" s="64"/>
      <c r="E8" s="64"/>
      <c r="F8" s="64"/>
      <c r="G8" s="65"/>
    </row>
    <row r="9" spans="1:7" x14ac:dyDescent="0.2">
      <c r="A9" s="195" t="s">
        <v>349</v>
      </c>
      <c r="B9" s="220"/>
      <c r="C9" s="220"/>
      <c r="D9" s="220"/>
      <c r="E9" s="220"/>
      <c r="F9" s="220"/>
      <c r="G9" s="222"/>
    </row>
    <row r="10" spans="1:7" x14ac:dyDescent="0.2">
      <c r="A10" s="195" t="s">
        <v>350</v>
      </c>
      <c r="B10" s="64"/>
      <c r="C10" s="64"/>
      <c r="D10" s="64"/>
      <c r="E10" s="64"/>
      <c r="F10" s="64"/>
      <c r="G10" s="65"/>
    </row>
    <row r="11" spans="1:7" x14ac:dyDescent="0.2">
      <c r="A11" s="195" t="s">
        <v>351</v>
      </c>
      <c r="B11" s="97"/>
      <c r="C11" s="97"/>
      <c r="D11" s="97"/>
      <c r="E11" s="97"/>
      <c r="F11" s="97"/>
      <c r="G11" s="98"/>
    </row>
    <row r="12" spans="1:7" x14ac:dyDescent="0.2">
      <c r="A12" s="195" t="s">
        <v>352</v>
      </c>
      <c r="B12" s="97"/>
      <c r="C12" s="97"/>
      <c r="D12" s="97"/>
      <c r="E12" s="97"/>
      <c r="F12" s="97"/>
      <c r="G12" s="98"/>
    </row>
    <row r="13" spans="1:7" x14ac:dyDescent="0.2">
      <c r="A13" s="195" t="s">
        <v>353</v>
      </c>
      <c r="B13" s="231"/>
      <c r="C13" s="231"/>
      <c r="D13" s="231"/>
      <c r="E13" s="231"/>
      <c r="F13" s="231"/>
      <c r="G13" s="232"/>
    </row>
    <row r="14" spans="1:7" x14ac:dyDescent="0.2">
      <c r="A14" s="215" t="s">
        <v>354</v>
      </c>
      <c r="B14" s="64"/>
      <c r="C14" s="64"/>
      <c r="D14" s="64"/>
      <c r="E14" s="64"/>
      <c r="F14" s="64"/>
      <c r="G14" s="65"/>
    </row>
    <row r="15" spans="1:7" x14ac:dyDescent="0.2">
      <c r="A15" s="215" t="s">
        <v>355</v>
      </c>
      <c r="B15" s="220"/>
      <c r="C15" s="220"/>
      <c r="D15" s="220"/>
      <c r="E15" s="220"/>
      <c r="F15" s="220"/>
      <c r="G15" s="222"/>
    </row>
    <row r="16" spans="1:7" x14ac:dyDescent="0.2">
      <c r="A16" s="215" t="s">
        <v>356</v>
      </c>
      <c r="B16" s="64"/>
      <c r="C16" s="64"/>
      <c r="D16" s="64"/>
      <c r="E16" s="64"/>
      <c r="F16" s="64"/>
      <c r="G16" s="65"/>
    </row>
    <row r="17" spans="1:7" x14ac:dyDescent="0.2">
      <c r="A17" s="215" t="s">
        <v>357</v>
      </c>
      <c r="B17" s="64"/>
      <c r="C17" s="64"/>
      <c r="D17" s="64"/>
      <c r="E17" s="64"/>
      <c r="F17" s="64"/>
      <c r="G17" s="65"/>
    </row>
    <row r="18" spans="1:7" x14ac:dyDescent="0.2">
      <c r="A18" s="195" t="s">
        <v>81</v>
      </c>
      <c r="B18" s="220"/>
      <c r="C18" s="220"/>
      <c r="D18" s="220"/>
      <c r="E18" s="220"/>
      <c r="F18" s="220"/>
      <c r="G18" s="222"/>
    </row>
    <row r="19" spans="1:7" x14ac:dyDescent="0.2">
      <c r="A19" s="215" t="s">
        <v>354</v>
      </c>
      <c r="B19" s="64"/>
      <c r="C19" s="64"/>
      <c r="D19" s="64"/>
      <c r="E19" s="64"/>
      <c r="F19" s="64"/>
      <c r="G19" s="65"/>
    </row>
    <row r="20" spans="1:7" x14ac:dyDescent="0.2">
      <c r="A20" s="215" t="s">
        <v>358</v>
      </c>
      <c r="B20" s="64"/>
      <c r="C20" s="64"/>
      <c r="D20" s="64"/>
      <c r="E20" s="64"/>
      <c r="F20" s="64"/>
      <c r="G20" s="65"/>
    </row>
    <row r="21" spans="1:7" x14ac:dyDescent="0.2">
      <c r="A21" s="215" t="s">
        <v>359</v>
      </c>
      <c r="B21" s="64"/>
      <c r="C21" s="64"/>
      <c r="D21" s="64"/>
      <c r="E21" s="64"/>
      <c r="F21" s="64"/>
      <c r="G21" s="65"/>
    </row>
    <row r="22" spans="1:7" x14ac:dyDescent="0.2">
      <c r="A22" s="215" t="s">
        <v>357</v>
      </c>
      <c r="B22" s="220"/>
      <c r="C22" s="220"/>
      <c r="D22" s="220"/>
      <c r="E22" s="220"/>
      <c r="F22" s="220"/>
      <c r="G22" s="222"/>
    </row>
    <row r="23" spans="1:7" x14ac:dyDescent="0.2">
      <c r="A23" s="195" t="s">
        <v>360</v>
      </c>
      <c r="B23" s="220"/>
      <c r="C23" s="220"/>
      <c r="D23" s="220"/>
      <c r="E23" s="220"/>
      <c r="F23" s="220"/>
      <c r="G23" s="222"/>
    </row>
    <row r="24" spans="1:7" x14ac:dyDescent="0.2">
      <c r="A24" s="195" t="s">
        <v>361</v>
      </c>
      <c r="B24" s="220"/>
      <c r="C24" s="220"/>
      <c r="D24" s="220"/>
      <c r="E24" s="220"/>
      <c r="F24" s="220"/>
      <c r="G24" s="222"/>
    </row>
    <row r="25" spans="1:7" x14ac:dyDescent="0.2">
      <c r="A25" s="195" t="s">
        <v>362</v>
      </c>
      <c r="B25" s="220"/>
      <c r="C25" s="220"/>
      <c r="D25" s="220"/>
      <c r="E25" s="220"/>
      <c r="F25" s="220"/>
      <c r="G25" s="222"/>
    </row>
    <row r="26" spans="1:7" x14ac:dyDescent="0.2">
      <c r="A26" s="195" t="s">
        <v>363</v>
      </c>
      <c r="B26" s="220"/>
      <c r="C26" s="220"/>
      <c r="D26" s="220"/>
      <c r="E26" s="220"/>
      <c r="F26" s="220"/>
      <c r="G26" s="222"/>
    </row>
    <row r="27" spans="1:7" x14ac:dyDescent="0.2">
      <c r="A27" s="195" t="s">
        <v>364</v>
      </c>
      <c r="B27" s="64"/>
      <c r="C27" s="64"/>
      <c r="D27" s="64"/>
      <c r="E27" s="64"/>
      <c r="F27" s="64"/>
      <c r="G27" s="65"/>
    </row>
    <row r="28" spans="1:7" x14ac:dyDescent="0.2">
      <c r="A28" s="195" t="s">
        <v>365</v>
      </c>
      <c r="B28" s="64"/>
      <c r="C28" s="64"/>
      <c r="D28" s="64"/>
      <c r="E28" s="64"/>
      <c r="F28" s="64"/>
      <c r="G28" s="65"/>
    </row>
    <row r="29" spans="1:7" x14ac:dyDescent="0.2">
      <c r="A29" s="195" t="s">
        <v>364</v>
      </c>
      <c r="B29" s="220"/>
      <c r="C29" s="220"/>
      <c r="D29" s="220"/>
      <c r="E29" s="220"/>
      <c r="F29" s="220"/>
      <c r="G29" s="222"/>
    </row>
    <row r="30" spans="1:7" x14ac:dyDescent="0.2">
      <c r="A30" s="195" t="s">
        <v>366</v>
      </c>
      <c r="B30" s="64"/>
      <c r="C30" s="64"/>
      <c r="D30" s="64"/>
      <c r="E30" s="64"/>
      <c r="F30" s="64"/>
      <c r="G30" s="65"/>
    </row>
    <row r="31" spans="1:7" x14ac:dyDescent="0.2">
      <c r="A31" s="195" t="s">
        <v>367</v>
      </c>
      <c r="B31" s="64"/>
      <c r="C31" s="64"/>
      <c r="D31" s="64"/>
      <c r="E31" s="64"/>
      <c r="F31" s="64"/>
      <c r="G31" s="65"/>
    </row>
    <row r="32" spans="1:7" x14ac:dyDescent="0.2">
      <c r="A32" s="195" t="s">
        <v>368</v>
      </c>
      <c r="B32" s="64"/>
      <c r="C32" s="64"/>
      <c r="D32" s="64"/>
      <c r="E32" s="64"/>
      <c r="F32" s="64"/>
      <c r="G32" s="65"/>
    </row>
    <row r="33" spans="1:7" x14ac:dyDescent="0.2">
      <c r="A33" s="195" t="s">
        <v>369</v>
      </c>
      <c r="B33" s="220"/>
      <c r="C33" s="220"/>
      <c r="D33" s="220"/>
      <c r="E33" s="220"/>
      <c r="F33" s="220"/>
      <c r="G33" s="222"/>
    </row>
    <row r="34" spans="1:7" x14ac:dyDescent="0.2">
      <c r="A34" s="195" t="s">
        <v>370</v>
      </c>
      <c r="B34" s="64"/>
      <c r="C34" s="64"/>
      <c r="D34" s="64"/>
      <c r="E34" s="64"/>
      <c r="F34" s="64"/>
      <c r="G34" s="65"/>
    </row>
    <row r="35" spans="1:7" x14ac:dyDescent="0.2">
      <c r="A35" s="197" t="s">
        <v>371</v>
      </c>
      <c r="B35" s="31"/>
      <c r="C35" s="31"/>
      <c r="D35" s="31"/>
      <c r="E35" s="31"/>
      <c r="F35" s="31"/>
      <c r="G35" s="54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G1" sqref="G1"/>
    </sheetView>
  </sheetViews>
  <sheetFormatPr defaultColWidth="11.42578125" defaultRowHeight="12.75" x14ac:dyDescent="0.2"/>
  <cols>
    <col min="1" max="1" width="8" style="181" customWidth="1"/>
    <col min="2" max="14" width="14.85546875" style="181" customWidth="1"/>
    <col min="15" max="15" width="17.42578125" style="181" customWidth="1"/>
    <col min="16" max="16384" width="11.42578125" style="181"/>
  </cols>
  <sheetData>
    <row r="1" spans="1:14" x14ac:dyDescent="0.2">
      <c r="A1" s="1" t="s">
        <v>0</v>
      </c>
      <c r="B1"/>
      <c r="C1"/>
      <c r="D1"/>
      <c r="G1" s="2">
        <f>InfoInicial!E1</f>
        <v>1</v>
      </c>
    </row>
    <row r="3" spans="1:14" ht="15.75" x14ac:dyDescent="0.25">
      <c r="A3" s="182" t="s">
        <v>372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4"/>
    </row>
    <row r="4" spans="1:14" ht="25.5" x14ac:dyDescent="0.2">
      <c r="A4" s="202" t="s">
        <v>232</v>
      </c>
      <c r="B4" s="203" t="s">
        <v>332</v>
      </c>
      <c r="C4" s="203" t="s">
        <v>373</v>
      </c>
      <c r="D4" s="203" t="s">
        <v>235</v>
      </c>
      <c r="E4" s="203" t="s">
        <v>3</v>
      </c>
      <c r="F4" s="203" t="s">
        <v>236</v>
      </c>
      <c r="G4" s="203" t="s">
        <v>237</v>
      </c>
      <c r="H4" s="203" t="s">
        <v>374</v>
      </c>
      <c r="I4" s="203" t="s">
        <v>375</v>
      </c>
      <c r="J4" s="203" t="s">
        <v>96</v>
      </c>
      <c r="K4" s="203" t="s">
        <v>239</v>
      </c>
      <c r="L4" s="203" t="s">
        <v>240</v>
      </c>
      <c r="M4" s="233" t="s">
        <v>241</v>
      </c>
      <c r="N4" s="234" t="s">
        <v>242</v>
      </c>
    </row>
    <row r="5" spans="1:14" x14ac:dyDescent="0.2">
      <c r="A5" s="235">
        <v>0</v>
      </c>
      <c r="B5" s="139"/>
      <c r="C5" s="62"/>
      <c r="D5" s="62"/>
      <c r="E5" s="62"/>
      <c r="F5" s="62"/>
      <c r="G5" s="62"/>
      <c r="H5" s="62"/>
      <c r="I5" s="62"/>
      <c r="J5" s="62"/>
      <c r="K5" s="62"/>
      <c r="L5" s="62"/>
      <c r="M5" s="140"/>
      <c r="N5" s="63"/>
    </row>
    <row r="6" spans="1:14" x14ac:dyDescent="0.2">
      <c r="A6" s="236">
        <v>1</v>
      </c>
      <c r="B6" s="130"/>
      <c r="C6" s="64"/>
      <c r="D6" s="64"/>
      <c r="E6" s="64"/>
      <c r="F6" s="64"/>
      <c r="G6" s="64"/>
      <c r="H6" s="64"/>
      <c r="I6" s="64"/>
      <c r="J6" s="64"/>
      <c r="K6" s="64"/>
      <c r="L6" s="64"/>
      <c r="M6" s="119"/>
      <c r="N6" s="65"/>
    </row>
    <row r="7" spans="1:14" x14ac:dyDescent="0.2">
      <c r="A7" s="236">
        <v>2</v>
      </c>
      <c r="B7" s="130"/>
      <c r="C7" s="64"/>
      <c r="D7" s="64"/>
      <c r="E7" s="64"/>
      <c r="F7" s="64"/>
      <c r="G7" s="64"/>
      <c r="H7" s="64"/>
      <c r="I7" s="64"/>
      <c r="J7" s="64"/>
      <c r="K7" s="64"/>
      <c r="L7" s="64"/>
      <c r="M7" s="119"/>
      <c r="N7" s="65"/>
    </row>
    <row r="8" spans="1:14" x14ac:dyDescent="0.2">
      <c r="A8" s="236">
        <v>3</v>
      </c>
      <c r="B8" s="130"/>
      <c r="C8" s="64"/>
      <c r="D8" s="64"/>
      <c r="E8" s="64"/>
      <c r="F8" s="64"/>
      <c r="G8" s="64"/>
      <c r="H8" s="64"/>
      <c r="I8" s="64"/>
      <c r="J8" s="64"/>
      <c r="K8" s="64"/>
      <c r="L8" s="64"/>
      <c r="M8" s="119"/>
      <c r="N8" s="65"/>
    </row>
    <row r="9" spans="1:14" x14ac:dyDescent="0.2">
      <c r="A9" s="236">
        <v>4</v>
      </c>
      <c r="B9" s="130"/>
      <c r="C9" s="64"/>
      <c r="D9" s="64"/>
      <c r="E9" s="64"/>
      <c r="F9" s="64"/>
      <c r="G9" s="64"/>
      <c r="H9" s="64"/>
      <c r="I9" s="64"/>
      <c r="J9" s="64"/>
      <c r="K9" s="64"/>
      <c r="L9" s="64"/>
      <c r="M9" s="119"/>
      <c r="N9" s="65"/>
    </row>
    <row r="10" spans="1:14" x14ac:dyDescent="0.2">
      <c r="A10" s="236">
        <v>5</v>
      </c>
      <c r="B10" s="130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19"/>
      <c r="N10" s="65"/>
    </row>
    <row r="11" spans="1:14" x14ac:dyDescent="0.2">
      <c r="A11" s="236"/>
      <c r="B11" s="132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120"/>
      <c r="N11" s="91"/>
    </row>
    <row r="12" spans="1:14" x14ac:dyDescent="0.2">
      <c r="A12" s="237" t="s">
        <v>243</v>
      </c>
      <c r="B12" s="13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21"/>
      <c r="N12" s="75"/>
    </row>
    <row r="14" spans="1:14" x14ac:dyDescent="0.2">
      <c r="C14" s="238" t="s">
        <v>244</v>
      </c>
      <c r="D14" s="144"/>
    </row>
    <row r="15" spans="1:14" x14ac:dyDescent="0.2">
      <c r="A15" s="189"/>
      <c r="C15" s="238" t="s">
        <v>245</v>
      </c>
      <c r="D15" s="145"/>
      <c r="E15" s="181" t="s">
        <v>246</v>
      </c>
    </row>
    <row r="16" spans="1:14" x14ac:dyDescent="0.2">
      <c r="C16" s="238" t="s">
        <v>376</v>
      </c>
      <c r="D16" s="146"/>
    </row>
    <row r="17" spans="1:15" x14ac:dyDescent="0.2">
      <c r="A17" s="239"/>
      <c r="B17" s="240"/>
      <c r="C17" s="240"/>
      <c r="D17" s="240"/>
      <c r="E17" s="241"/>
      <c r="F17" s="242"/>
      <c r="G17" s="242"/>
      <c r="H17" s="242"/>
      <c r="I17" s="242"/>
      <c r="J17" s="240"/>
      <c r="K17" s="242"/>
      <c r="L17" s="242"/>
      <c r="M17" s="242"/>
      <c r="N17" s="242"/>
      <c r="O17" s="240"/>
    </row>
    <row r="18" spans="1:15" ht="15.75" x14ac:dyDescent="0.25">
      <c r="A18" s="243"/>
      <c r="B18" s="242"/>
      <c r="C18" s="244"/>
      <c r="D18" s="242"/>
      <c r="E18" s="245"/>
      <c r="F18" s="242"/>
      <c r="G18" s="242"/>
      <c r="H18" s="242"/>
      <c r="I18" s="242"/>
      <c r="J18" s="242"/>
      <c r="K18" s="242"/>
      <c r="L18" s="242"/>
      <c r="M18" s="242"/>
      <c r="N18" s="242"/>
    </row>
    <row r="20" spans="1:15" x14ac:dyDescent="0.2">
      <c r="A20" s="246"/>
    </row>
    <row r="21" spans="1:15" ht="15.75" x14ac:dyDescent="0.25">
      <c r="A21" s="182" t="s">
        <v>377</v>
      </c>
      <c r="B21" s="183"/>
      <c r="C21" s="183"/>
      <c r="D21" s="183"/>
      <c r="E21" s="183"/>
      <c r="F21" s="183"/>
      <c r="G21" s="183"/>
      <c r="H21" s="184"/>
    </row>
    <row r="22" spans="1:15" ht="38.25" x14ac:dyDescent="0.2">
      <c r="A22" s="202" t="s">
        <v>232</v>
      </c>
      <c r="B22" s="203" t="s">
        <v>378</v>
      </c>
      <c r="C22" s="203" t="s">
        <v>237</v>
      </c>
      <c r="D22" s="203" t="s">
        <v>337</v>
      </c>
      <c r="E22" s="203" t="s">
        <v>379</v>
      </c>
      <c r="F22" s="203" t="s">
        <v>240</v>
      </c>
      <c r="G22" s="233" t="s">
        <v>241</v>
      </c>
      <c r="H22" s="234" t="s">
        <v>242</v>
      </c>
    </row>
    <row r="23" spans="1:15" x14ac:dyDescent="0.2">
      <c r="A23" s="235">
        <v>0</v>
      </c>
      <c r="B23" s="139"/>
      <c r="C23" s="62"/>
      <c r="D23" s="62"/>
      <c r="E23" s="62"/>
      <c r="F23" s="62"/>
      <c r="G23" s="140"/>
      <c r="H23" s="63"/>
    </row>
    <row r="24" spans="1:15" x14ac:dyDescent="0.2">
      <c r="A24" s="236">
        <v>1</v>
      </c>
      <c r="B24" s="130"/>
      <c r="C24" s="64"/>
      <c r="D24" s="64"/>
      <c r="E24" s="64"/>
      <c r="F24" s="64"/>
      <c r="G24" s="119"/>
      <c r="H24" s="65"/>
    </row>
    <row r="25" spans="1:15" x14ac:dyDescent="0.2">
      <c r="A25" s="236">
        <v>2</v>
      </c>
      <c r="B25" s="130"/>
      <c r="C25" s="64"/>
      <c r="D25" s="64"/>
      <c r="E25" s="64"/>
      <c r="F25" s="64"/>
      <c r="G25" s="119"/>
      <c r="H25" s="65"/>
    </row>
    <row r="26" spans="1:15" x14ac:dyDescent="0.2">
      <c r="A26" s="236">
        <v>3</v>
      </c>
      <c r="B26" s="130"/>
      <c r="C26" s="64"/>
      <c r="D26" s="64"/>
      <c r="E26" s="64"/>
      <c r="F26" s="64"/>
      <c r="G26" s="119"/>
      <c r="H26" s="65"/>
    </row>
    <row r="27" spans="1:15" x14ac:dyDescent="0.2">
      <c r="A27" s="236">
        <v>4</v>
      </c>
      <c r="B27" s="130"/>
      <c r="C27" s="64"/>
      <c r="D27" s="64"/>
      <c r="E27" s="64"/>
      <c r="F27" s="64"/>
      <c r="G27" s="119"/>
      <c r="H27" s="65"/>
    </row>
    <row r="28" spans="1:15" x14ac:dyDescent="0.2">
      <c r="A28" s="236">
        <v>5</v>
      </c>
      <c r="B28" s="130"/>
      <c r="C28" s="64"/>
      <c r="D28" s="64"/>
      <c r="E28" s="64"/>
      <c r="F28" s="64"/>
      <c r="G28" s="119"/>
      <c r="H28" s="65"/>
    </row>
    <row r="29" spans="1:15" x14ac:dyDescent="0.2">
      <c r="A29" s="236"/>
      <c r="B29" s="132"/>
      <c r="C29" s="90"/>
      <c r="D29" s="90"/>
      <c r="E29" s="90"/>
      <c r="F29" s="90"/>
      <c r="G29" s="120"/>
      <c r="H29" s="91"/>
    </row>
    <row r="30" spans="1:15" x14ac:dyDescent="0.2">
      <c r="A30" s="237" t="s">
        <v>243</v>
      </c>
      <c r="B30" s="135"/>
      <c r="C30" s="74"/>
      <c r="D30" s="74"/>
      <c r="E30" s="74"/>
      <c r="F30" s="74"/>
      <c r="G30" s="121"/>
      <c r="H30" s="75"/>
    </row>
    <row r="33" spans="3:5" x14ac:dyDescent="0.2">
      <c r="C33" s="238" t="s">
        <v>244</v>
      </c>
      <c r="D33" s="144"/>
      <c r="E33" s="181" t="s">
        <v>380</v>
      </c>
    </row>
    <row r="34" spans="3:5" x14ac:dyDescent="0.2">
      <c r="C34" s="238" t="s">
        <v>245</v>
      </c>
      <c r="D34" s="145"/>
      <c r="E34" s="181" t="s">
        <v>381</v>
      </c>
    </row>
    <row r="35" spans="3:5" x14ac:dyDescent="0.2">
      <c r="C35" s="238" t="s">
        <v>382</v>
      </c>
      <c r="D35" s="146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11" workbookViewId="0">
      <selection activeCell="C26" sqref="C26"/>
    </sheetView>
  </sheetViews>
  <sheetFormatPr defaultColWidth="11.42578125" defaultRowHeight="12.75" x14ac:dyDescent="0.2"/>
  <cols>
    <col min="1" max="1" width="45.42578125" style="16" customWidth="1"/>
    <col min="2" max="7" width="14.85546875" style="16" customWidth="1"/>
    <col min="8" max="8" width="33" style="16" customWidth="1"/>
    <col min="9" max="9" width="16" style="16" customWidth="1"/>
    <col min="10" max="10" width="15.5703125" style="16" bestFit="1" customWidth="1"/>
    <col min="11" max="11" width="11.42578125" style="16"/>
    <col min="12" max="12" width="29" style="16" customWidth="1"/>
    <col min="13" max="16384" width="11.42578125" style="16"/>
  </cols>
  <sheetData>
    <row r="1" spans="1:15" x14ac:dyDescent="0.2">
      <c r="A1" s="1" t="s">
        <v>43</v>
      </c>
      <c r="B1"/>
      <c r="C1"/>
      <c r="D1"/>
      <c r="E1" s="2">
        <f>InfoInicial!E1</f>
        <v>1</v>
      </c>
    </row>
    <row r="3" spans="1:15" ht="15.75" x14ac:dyDescent="0.25">
      <c r="A3" s="17" t="s">
        <v>44</v>
      </c>
      <c r="B3" s="281" t="s">
        <v>45</v>
      </c>
      <c r="C3" s="281"/>
      <c r="D3" s="282" t="s">
        <v>46</v>
      </c>
      <c r="E3" s="282"/>
      <c r="H3" s="248" t="s">
        <v>407</v>
      </c>
      <c r="I3" s="248" t="s">
        <v>389</v>
      </c>
      <c r="J3" s="248" t="s">
        <v>390</v>
      </c>
      <c r="L3" s="248" t="s">
        <v>414</v>
      </c>
      <c r="M3" s="248" t="s">
        <v>389</v>
      </c>
      <c r="N3" s="248" t="s">
        <v>458</v>
      </c>
      <c r="O3" s="248" t="s">
        <v>464</v>
      </c>
    </row>
    <row r="4" spans="1:15" ht="15.75" x14ac:dyDescent="0.25">
      <c r="A4" s="20"/>
      <c r="B4" s="21" t="s">
        <v>47</v>
      </c>
      <c r="C4" s="21" t="s">
        <v>48</v>
      </c>
      <c r="D4" s="21" t="s">
        <v>47</v>
      </c>
      <c r="E4" s="22" t="s">
        <v>48</v>
      </c>
      <c r="H4" s="247" t="s">
        <v>406</v>
      </c>
      <c r="I4" s="248">
        <v>11118</v>
      </c>
      <c r="J4" s="248" t="s">
        <v>408</v>
      </c>
      <c r="L4" s="16" t="s">
        <v>415</v>
      </c>
      <c r="M4" s="249">
        <v>1900</v>
      </c>
      <c r="N4" s="249" t="s">
        <v>459</v>
      </c>
      <c r="O4" s="16">
        <v>21</v>
      </c>
    </row>
    <row r="5" spans="1:15" x14ac:dyDescent="0.2">
      <c r="A5" s="258"/>
      <c r="B5" s="254"/>
      <c r="C5" s="254"/>
      <c r="D5" s="254"/>
      <c r="E5" s="254"/>
      <c r="H5" s="16" t="s">
        <v>409</v>
      </c>
      <c r="I5" s="248">
        <v>7000</v>
      </c>
      <c r="J5" s="248" t="s">
        <v>408</v>
      </c>
      <c r="L5" s="16" t="s">
        <v>416</v>
      </c>
      <c r="M5" s="249">
        <v>400</v>
      </c>
      <c r="N5" s="249" t="s">
        <v>459</v>
      </c>
      <c r="O5" s="16">
        <v>60</v>
      </c>
    </row>
    <row r="6" spans="1:15" x14ac:dyDescent="0.2">
      <c r="A6" s="24" t="s">
        <v>49</v>
      </c>
      <c r="B6" s="255"/>
      <c r="C6" s="255"/>
      <c r="D6" s="255"/>
      <c r="E6" s="255"/>
      <c r="H6" s="16" t="s">
        <v>412</v>
      </c>
      <c r="I6" s="248">
        <v>40000</v>
      </c>
      <c r="J6" s="248" t="s">
        <v>408</v>
      </c>
      <c r="L6" s="16" t="s">
        <v>417</v>
      </c>
      <c r="M6" s="249">
        <v>2000</v>
      </c>
      <c r="N6" s="249" t="s">
        <v>459</v>
      </c>
      <c r="O6" s="16">
        <v>29</v>
      </c>
    </row>
    <row r="7" spans="1:15" x14ac:dyDescent="0.2">
      <c r="A7" s="26" t="s">
        <v>50</v>
      </c>
      <c r="B7" s="27">
        <f>1*I5+6000</f>
        <v>13000</v>
      </c>
      <c r="C7" s="27"/>
      <c r="D7" s="27"/>
      <c r="E7" s="27"/>
      <c r="I7" s="248"/>
      <c r="J7" s="248"/>
      <c r="L7" s="16" t="s">
        <v>418</v>
      </c>
      <c r="M7" s="249">
        <v>1200</v>
      </c>
      <c r="N7" s="249" t="s">
        <v>459</v>
      </c>
      <c r="O7" s="16">
        <v>6</v>
      </c>
    </row>
    <row r="8" spans="1:15" x14ac:dyDescent="0.2">
      <c r="A8" s="26" t="s">
        <v>51</v>
      </c>
      <c r="B8" s="27">
        <f>InfoInicial!B27*'E-Inv AF y Am'!I4</f>
        <v>17788800</v>
      </c>
      <c r="C8" s="27"/>
      <c r="D8" s="27"/>
      <c r="E8" s="27"/>
      <c r="H8" s="248" t="s">
        <v>385</v>
      </c>
      <c r="I8" s="248" t="s">
        <v>389</v>
      </c>
      <c r="J8" s="248" t="s">
        <v>390</v>
      </c>
      <c r="L8" s="250" t="s">
        <v>419</v>
      </c>
      <c r="M8" s="249">
        <v>3500</v>
      </c>
      <c r="N8" s="249" t="s">
        <v>459</v>
      </c>
      <c r="O8" s="16">
        <v>16</v>
      </c>
    </row>
    <row r="9" spans="1:15" x14ac:dyDescent="0.2">
      <c r="A9" s="26" t="s">
        <v>52</v>
      </c>
      <c r="B9" s="27">
        <f>I19</f>
        <v>700000</v>
      </c>
      <c r="C9" s="27"/>
      <c r="D9" s="27"/>
      <c r="E9" s="27"/>
      <c r="H9" s="16" t="s">
        <v>391</v>
      </c>
      <c r="I9" s="248">
        <v>400000</v>
      </c>
      <c r="J9" s="248" t="s">
        <v>410</v>
      </c>
      <c r="L9" s="16" t="s">
        <v>420</v>
      </c>
      <c r="M9" s="249">
        <v>1000</v>
      </c>
      <c r="N9" s="249" t="s">
        <v>459</v>
      </c>
      <c r="O9" s="16">
        <v>5</v>
      </c>
    </row>
    <row r="10" spans="1:15" x14ac:dyDescent="0.2">
      <c r="A10" s="26" t="s">
        <v>53</v>
      </c>
      <c r="B10" s="252"/>
      <c r="C10" s="252"/>
      <c r="D10" s="253"/>
      <c r="E10" s="252"/>
      <c r="H10" s="16" t="s">
        <v>392</v>
      </c>
      <c r="I10" s="248">
        <v>23000</v>
      </c>
      <c r="J10" s="248" t="s">
        <v>408</v>
      </c>
      <c r="L10" s="16" t="s">
        <v>421</v>
      </c>
      <c r="M10" s="249">
        <v>150</v>
      </c>
      <c r="N10" s="249" t="s">
        <v>459</v>
      </c>
      <c r="O10" s="16">
        <v>3</v>
      </c>
    </row>
    <row r="11" spans="1:15" x14ac:dyDescent="0.2">
      <c r="A11" s="26" t="s">
        <v>54</v>
      </c>
      <c r="B11" s="27"/>
      <c r="D11" s="27">
        <f>(I9+I11+I14+I15+I20+I26+I27)*1.07*InfoInicial!B32</f>
        <v>13349105.999999998</v>
      </c>
      <c r="E11" s="27"/>
      <c r="H11" s="16" t="s">
        <v>393</v>
      </c>
      <c r="I11" s="248">
        <v>90000</v>
      </c>
      <c r="J11" s="248" t="s">
        <v>410</v>
      </c>
      <c r="L11" s="16" t="s">
        <v>422</v>
      </c>
      <c r="M11" s="249">
        <v>10000</v>
      </c>
      <c r="N11" s="249" t="s">
        <v>459</v>
      </c>
      <c r="O11" s="16">
        <v>1</v>
      </c>
    </row>
    <row r="12" spans="1:15" x14ac:dyDescent="0.2">
      <c r="A12" s="26" t="s">
        <v>55</v>
      </c>
      <c r="B12" s="27">
        <f>I10+I12+I13+I16+I17+I18+I19+I21+I22+I23+I24+I25+I28+I29+I30</f>
        <v>1961800</v>
      </c>
      <c r="C12" s="27"/>
      <c r="D12" s="27"/>
      <c r="E12" s="27"/>
      <c r="H12" s="16" t="s">
        <v>394</v>
      </c>
      <c r="I12" s="248">
        <v>250000</v>
      </c>
      <c r="J12" s="248" t="s">
        <v>408</v>
      </c>
      <c r="L12" s="16" t="s">
        <v>423</v>
      </c>
      <c r="M12" s="249">
        <v>1900</v>
      </c>
      <c r="N12" s="249" t="s">
        <v>459</v>
      </c>
      <c r="O12" s="16">
        <v>2</v>
      </c>
    </row>
    <row r="13" spans="1:15" x14ac:dyDescent="0.2">
      <c r="A13" s="28" t="s">
        <v>56</v>
      </c>
      <c r="B13" s="27">
        <f>D11*0.2</f>
        <v>2669821.1999999997</v>
      </c>
      <c r="C13" s="27"/>
      <c r="D13" s="27"/>
      <c r="E13" s="27"/>
      <c r="H13" s="16" t="s">
        <v>395</v>
      </c>
      <c r="I13" s="248">
        <v>300000</v>
      </c>
      <c r="J13" s="248" t="s">
        <v>408</v>
      </c>
      <c r="L13" s="16" t="s">
        <v>424</v>
      </c>
      <c r="M13" s="249">
        <v>800</v>
      </c>
      <c r="N13" s="249" t="s">
        <v>459</v>
      </c>
      <c r="O13" s="16">
        <v>2</v>
      </c>
    </row>
    <row r="14" spans="1:15" x14ac:dyDescent="0.2">
      <c r="A14" s="26" t="s">
        <v>57</v>
      </c>
      <c r="B14" s="27">
        <f>3*I6+0.03*B12</f>
        <v>178854</v>
      </c>
      <c r="C14" s="27"/>
      <c r="D14" s="27">
        <f>D11*0.05</f>
        <v>667455.29999999993</v>
      </c>
      <c r="E14" s="27"/>
      <c r="H14" s="16" t="s">
        <v>396</v>
      </c>
      <c r="I14" s="248">
        <v>100000</v>
      </c>
      <c r="J14" s="248" t="s">
        <v>410</v>
      </c>
      <c r="L14" s="16" t="s">
        <v>425</v>
      </c>
      <c r="M14" s="249">
        <v>800</v>
      </c>
      <c r="N14" s="249" t="s">
        <v>459</v>
      </c>
      <c r="O14" s="16">
        <v>4</v>
      </c>
    </row>
    <row r="15" spans="1:15" x14ac:dyDescent="0.2">
      <c r="A15" s="26" t="s">
        <v>58</v>
      </c>
      <c r="B15" s="27">
        <f>I30*2</f>
        <v>640000</v>
      </c>
      <c r="C15" s="27"/>
      <c r="D15" s="27"/>
      <c r="E15" s="27"/>
      <c r="H15" s="16" t="s">
        <v>386</v>
      </c>
      <c r="I15" s="248">
        <v>3000</v>
      </c>
      <c r="J15" s="248" t="s">
        <v>410</v>
      </c>
      <c r="L15" s="16" t="s">
        <v>426</v>
      </c>
      <c r="M15" s="249">
        <v>400</v>
      </c>
      <c r="N15" s="249" t="s">
        <v>459</v>
      </c>
      <c r="O15" s="16">
        <v>10</v>
      </c>
    </row>
    <row r="16" spans="1:15" x14ac:dyDescent="0.2">
      <c r="A16" s="26" t="s">
        <v>59</v>
      </c>
      <c r="B16" s="27">
        <f>M4*O4+M5*O5+M6*O6+M7*O7+M8*O8+M9*O9+M10*O10+M11*O11+M12*O12+M13*O13+M14*O14+M15*O15+M16*O16+M17*O17+M18*O18+M19*O19+M20*O20+M21*O21+M22*O22+M23*O23+M24*O24+M25*O25+M26*O26+M27*O27+M28*O28+M29*O29+M30*O30+M31*O31+M32*O32+M33*O33+M34*O34+M35*O35+M36*O36+M37*O37+M38*O38+M39*O39+M40*O40+M41*O41+M42*O42+M43*O43+M44*O44+M45*O45+M46*O46+M47*O47+M48*O48+M49*O49</f>
        <v>1307716</v>
      </c>
      <c r="C16" s="27"/>
      <c r="D16" s="27"/>
      <c r="E16" s="27"/>
      <c r="H16" s="16" t="s">
        <v>388</v>
      </c>
      <c r="I16" s="248">
        <v>65000</v>
      </c>
      <c r="J16" s="248" t="s">
        <v>408</v>
      </c>
      <c r="L16" s="16" t="s">
        <v>427</v>
      </c>
      <c r="M16" s="249">
        <v>500</v>
      </c>
      <c r="N16" s="249" t="s">
        <v>459</v>
      </c>
      <c r="O16" s="16">
        <v>5</v>
      </c>
    </row>
    <row r="17" spans="1:15" x14ac:dyDescent="0.2">
      <c r="A17" s="26" t="s">
        <v>60</v>
      </c>
      <c r="B17" s="27"/>
      <c r="C17" s="27"/>
      <c r="D17" s="27"/>
      <c r="E17" s="27"/>
      <c r="H17" s="16" t="s">
        <v>387</v>
      </c>
      <c r="I17" s="248">
        <v>9800</v>
      </c>
      <c r="J17" s="248" t="s">
        <v>408</v>
      </c>
      <c r="L17" s="16" t="s">
        <v>428</v>
      </c>
      <c r="M17" s="249">
        <v>8000</v>
      </c>
      <c r="N17" s="249" t="s">
        <v>459</v>
      </c>
      <c r="O17" s="16">
        <v>29</v>
      </c>
    </row>
    <row r="18" spans="1:15" x14ac:dyDescent="0.2">
      <c r="A18" s="26" t="s">
        <v>15</v>
      </c>
      <c r="B18" s="27">
        <f>InfoInicial!B15*('E-Inv AF y Am'!B7+'E-Inv AF y Am'!B8+'E-Inv AF y Am'!B9+'E-Inv AF y Am'!B12+'E-Inv AF y Am'!B13+'E-Inv AF y Am'!B14+'E-Inv AF y Am'!B15+'E-Inv AF y Am'!B16+'E-Inv AF y Am'!B17)</f>
        <v>1894499.3399999999</v>
      </c>
      <c r="C18" s="27"/>
      <c r="D18" s="27">
        <f>(D11+D14)*InfoInicial!B15</f>
        <v>1051242.0974999999</v>
      </c>
      <c r="E18" s="27"/>
      <c r="H18" s="16" t="s">
        <v>397</v>
      </c>
      <c r="I18" s="248">
        <v>25000</v>
      </c>
      <c r="J18" s="248" t="s">
        <v>408</v>
      </c>
      <c r="L18" s="16" t="s">
        <v>429</v>
      </c>
      <c r="M18" s="249">
        <v>600</v>
      </c>
      <c r="N18" s="249" t="s">
        <v>459</v>
      </c>
      <c r="O18" s="16">
        <v>1</v>
      </c>
    </row>
    <row r="19" spans="1:15" x14ac:dyDescent="0.2">
      <c r="A19" s="26"/>
      <c r="B19" s="27"/>
      <c r="C19" s="27"/>
      <c r="D19" s="27"/>
      <c r="E19" s="27"/>
      <c r="H19" s="16" t="s">
        <v>462</v>
      </c>
      <c r="I19" s="248">
        <v>700000</v>
      </c>
      <c r="J19" s="248" t="s">
        <v>408</v>
      </c>
      <c r="L19" s="16" t="s">
        <v>461</v>
      </c>
      <c r="M19" s="249">
        <v>70</v>
      </c>
      <c r="N19" s="249" t="s">
        <v>459</v>
      </c>
      <c r="O19" s="16">
        <v>118</v>
      </c>
    </row>
    <row r="20" spans="1:15" x14ac:dyDescent="0.2">
      <c r="A20" s="24" t="s">
        <v>61</v>
      </c>
      <c r="B20" s="27">
        <f>B7+B8+B9+B12+B13+B14+B15+B16+B18</f>
        <v>27154490.539999999</v>
      </c>
      <c r="C20" s="27"/>
      <c r="D20" s="27">
        <f>D11+D14+D18</f>
        <v>15067803.397499999</v>
      </c>
      <c r="E20" s="27"/>
      <c r="H20" s="16" t="s">
        <v>463</v>
      </c>
      <c r="I20" s="248">
        <v>120000</v>
      </c>
      <c r="J20" s="248" t="s">
        <v>410</v>
      </c>
      <c r="L20" s="16" t="s">
        <v>460</v>
      </c>
      <c r="M20" s="249">
        <v>300</v>
      </c>
      <c r="N20" s="249" t="s">
        <v>459</v>
      </c>
      <c r="O20" s="16">
        <v>118</v>
      </c>
    </row>
    <row r="21" spans="1:15" x14ac:dyDescent="0.2">
      <c r="A21" s="257"/>
      <c r="B21" s="256"/>
      <c r="C21" s="256"/>
      <c r="D21" s="256"/>
      <c r="E21" s="256"/>
      <c r="H21" s="16" t="s">
        <v>411</v>
      </c>
      <c r="I21" s="248">
        <v>6000</v>
      </c>
      <c r="J21" s="248" t="s">
        <v>408</v>
      </c>
      <c r="L21" s="16" t="s">
        <v>430</v>
      </c>
      <c r="M21" s="249">
        <v>2500</v>
      </c>
      <c r="N21" s="249" t="s">
        <v>459</v>
      </c>
      <c r="O21" s="16">
        <v>7</v>
      </c>
    </row>
    <row r="22" spans="1:15" x14ac:dyDescent="0.2">
      <c r="A22" s="24" t="s">
        <v>62</v>
      </c>
      <c r="B22" s="29"/>
      <c r="C22" s="29"/>
      <c r="D22" s="29"/>
      <c r="E22" s="29"/>
      <c r="H22" s="16" t="s">
        <v>398</v>
      </c>
      <c r="I22" s="248">
        <v>100000</v>
      </c>
      <c r="J22" s="248" t="s">
        <v>408</v>
      </c>
      <c r="L22" s="16" t="s">
        <v>431</v>
      </c>
      <c r="M22" s="249">
        <v>500</v>
      </c>
      <c r="N22" s="249" t="s">
        <v>459</v>
      </c>
      <c r="O22" s="16">
        <v>5</v>
      </c>
    </row>
    <row r="23" spans="1:15" x14ac:dyDescent="0.2">
      <c r="A23" s="26" t="s">
        <v>63</v>
      </c>
      <c r="B23" s="27">
        <v>100000</v>
      </c>
      <c r="C23" s="27"/>
      <c r="D23" s="27"/>
      <c r="E23" s="27"/>
      <c r="H23" s="16" t="s">
        <v>399</v>
      </c>
      <c r="I23" s="248">
        <v>55000</v>
      </c>
      <c r="J23" s="248" t="s">
        <v>408</v>
      </c>
      <c r="L23" s="16" t="s">
        <v>432</v>
      </c>
      <c r="M23" s="249">
        <v>300</v>
      </c>
      <c r="N23" s="249" t="s">
        <v>459</v>
      </c>
      <c r="O23" s="16">
        <v>2</v>
      </c>
    </row>
    <row r="24" spans="1:15" x14ac:dyDescent="0.2">
      <c r="A24" s="26" t="s">
        <v>64</v>
      </c>
      <c r="B24" s="27">
        <v>125000</v>
      </c>
      <c r="C24" s="27"/>
      <c r="D24" s="27"/>
      <c r="E24" s="27"/>
      <c r="H24" s="16" t="s">
        <v>400</v>
      </c>
      <c r="I24" s="248">
        <v>3000</v>
      </c>
      <c r="J24" s="248" t="s">
        <v>408</v>
      </c>
      <c r="L24" s="16" t="s">
        <v>433</v>
      </c>
      <c r="M24" s="249">
        <v>6000</v>
      </c>
      <c r="N24" s="249" t="s">
        <v>459</v>
      </c>
      <c r="O24" s="16">
        <v>19</v>
      </c>
    </row>
    <row r="25" spans="1:15" x14ac:dyDescent="0.2">
      <c r="A25" s="26" t="s">
        <v>65</v>
      </c>
      <c r="B25" s="27">
        <v>1000000</v>
      </c>
      <c r="C25" s="27"/>
      <c r="D25" s="27"/>
      <c r="E25" s="27"/>
      <c r="H25" s="16" t="s">
        <v>401</v>
      </c>
      <c r="I25" s="248">
        <v>15000</v>
      </c>
      <c r="J25" s="248" t="s">
        <v>408</v>
      </c>
      <c r="L25" s="16" t="s">
        <v>434</v>
      </c>
      <c r="M25" s="249">
        <v>1500</v>
      </c>
      <c r="N25" s="249" t="s">
        <v>459</v>
      </c>
      <c r="O25" s="16">
        <v>1</v>
      </c>
    </row>
    <row r="26" spans="1:15" x14ac:dyDescent="0.2">
      <c r="A26" s="28" t="s">
        <v>66</v>
      </c>
      <c r="B26" s="27">
        <v>0</v>
      </c>
      <c r="C26" s="27">
        <f>'E-Costos'!B41</f>
        <v>2792028.4590802034</v>
      </c>
      <c r="D26" s="27"/>
      <c r="E26" s="27"/>
      <c r="H26" s="16" t="s">
        <v>402</v>
      </c>
      <c r="I26" s="248">
        <v>2100</v>
      </c>
      <c r="J26" s="248" t="s">
        <v>410</v>
      </c>
      <c r="L26" s="16" t="s">
        <v>435</v>
      </c>
      <c r="M26" s="249">
        <v>12000</v>
      </c>
      <c r="N26" s="249" t="s">
        <v>459</v>
      </c>
      <c r="O26" s="16">
        <v>4</v>
      </c>
    </row>
    <row r="27" spans="1:15" x14ac:dyDescent="0.2">
      <c r="A27" s="28" t="s">
        <v>67</v>
      </c>
      <c r="B27" s="27">
        <v>0</v>
      </c>
      <c r="C27" s="27"/>
      <c r="D27" s="27"/>
      <c r="E27" s="27"/>
      <c r="H27" s="16" t="s">
        <v>403</v>
      </c>
      <c r="I27" s="248">
        <v>1900</v>
      </c>
      <c r="J27" s="248" t="s">
        <v>410</v>
      </c>
      <c r="L27" s="16" t="s">
        <v>436</v>
      </c>
      <c r="M27" s="249">
        <v>250000</v>
      </c>
      <c r="N27" s="249" t="s">
        <v>459</v>
      </c>
      <c r="O27" s="16">
        <v>1</v>
      </c>
    </row>
    <row r="28" spans="1:15" x14ac:dyDescent="0.2">
      <c r="A28" s="28" t="s">
        <v>68</v>
      </c>
      <c r="B28" s="27">
        <v>0</v>
      </c>
      <c r="C28" s="27"/>
      <c r="D28" s="27"/>
      <c r="E28" s="27"/>
      <c r="H28" s="16" t="s">
        <v>404</v>
      </c>
      <c r="I28" s="248">
        <v>50000</v>
      </c>
      <c r="J28" s="248" t="s">
        <v>408</v>
      </c>
      <c r="L28" s="16" t="s">
        <v>437</v>
      </c>
      <c r="M28" s="249">
        <v>2500</v>
      </c>
      <c r="N28" s="249" t="s">
        <v>459</v>
      </c>
      <c r="O28" s="16">
        <v>2</v>
      </c>
    </row>
    <row r="29" spans="1:15" x14ac:dyDescent="0.2">
      <c r="A29" s="26" t="s">
        <v>15</v>
      </c>
      <c r="B29" s="27">
        <f>0.075*(B23+B24+B25+B26+B27+B28)</f>
        <v>91875</v>
      </c>
      <c r="C29" s="27"/>
      <c r="D29" s="27"/>
      <c r="E29" s="27"/>
      <c r="H29" s="16" t="s">
        <v>405</v>
      </c>
      <c r="I29" s="248">
        <v>40000</v>
      </c>
      <c r="J29" s="248" t="s">
        <v>408</v>
      </c>
      <c r="L29" s="16" t="s">
        <v>438</v>
      </c>
      <c r="M29" s="249">
        <v>11000</v>
      </c>
      <c r="N29" s="249" t="s">
        <v>459</v>
      </c>
      <c r="O29" s="16">
        <v>1</v>
      </c>
    </row>
    <row r="30" spans="1:15" x14ac:dyDescent="0.2">
      <c r="A30" s="257"/>
      <c r="B30" s="252"/>
      <c r="C30" s="252"/>
      <c r="D30" s="252"/>
      <c r="E30" s="252"/>
      <c r="H30" s="16" t="s">
        <v>413</v>
      </c>
      <c r="I30" s="248">
        <v>320000</v>
      </c>
      <c r="J30" s="248" t="s">
        <v>408</v>
      </c>
      <c r="L30" s="16" t="s">
        <v>439</v>
      </c>
      <c r="M30" s="249">
        <v>7</v>
      </c>
      <c r="N30" s="249" t="s">
        <v>459</v>
      </c>
      <c r="O30" s="16">
        <v>10</v>
      </c>
    </row>
    <row r="31" spans="1:15" x14ac:dyDescent="0.2">
      <c r="A31" s="24" t="s">
        <v>69</v>
      </c>
      <c r="B31" s="27">
        <f>B29+B28+B27+B26+B25+B24+B23</f>
        <v>1316875</v>
      </c>
      <c r="C31" s="27">
        <f>C29+C28+C27+C26+C25+C24+C23</f>
        <v>2792028.4590802034</v>
      </c>
      <c r="D31" s="27">
        <f>D29+D28+D27+D26+D25+D24+D23</f>
        <v>0</v>
      </c>
      <c r="E31" s="27"/>
      <c r="L31" s="16" t="s">
        <v>440</v>
      </c>
      <c r="M31" s="249">
        <v>9</v>
      </c>
      <c r="N31" s="249" t="s">
        <v>459</v>
      </c>
      <c r="O31" s="16">
        <v>54</v>
      </c>
    </row>
    <row r="32" spans="1:15" x14ac:dyDescent="0.2">
      <c r="A32" s="257"/>
      <c r="B32" s="256"/>
      <c r="C32" s="256"/>
      <c r="D32" s="256"/>
      <c r="E32" s="256"/>
      <c r="L32" s="16" t="s">
        <v>441</v>
      </c>
      <c r="M32" s="249">
        <v>6000</v>
      </c>
      <c r="N32" s="249" t="s">
        <v>459</v>
      </c>
      <c r="O32" s="16">
        <v>1</v>
      </c>
    </row>
    <row r="33" spans="1:15" x14ac:dyDescent="0.2">
      <c r="A33" s="24" t="s">
        <v>70</v>
      </c>
      <c r="B33" s="27">
        <f>B31+B20</f>
        <v>28471365.539999999</v>
      </c>
      <c r="C33" s="27"/>
      <c r="D33" s="27">
        <f>D31+D20</f>
        <v>15067803.397499999</v>
      </c>
      <c r="E33" s="27"/>
      <c r="L33" s="16" t="s">
        <v>442</v>
      </c>
      <c r="M33" s="249">
        <v>6000</v>
      </c>
      <c r="N33" s="249" t="s">
        <v>459</v>
      </c>
      <c r="O33" s="16">
        <v>1</v>
      </c>
    </row>
    <row r="34" spans="1:15" x14ac:dyDescent="0.2">
      <c r="A34" s="24" t="s">
        <v>71</v>
      </c>
      <c r="B34" s="27">
        <f>B33*InfoInicial!B3</f>
        <v>5978986.7633999996</v>
      </c>
      <c r="C34" s="27"/>
      <c r="D34" s="27">
        <f>D33*InfoInicial!B3</f>
        <v>3164238.7134749996</v>
      </c>
      <c r="E34" s="27"/>
      <c r="L34" s="16" t="s">
        <v>443</v>
      </c>
      <c r="M34" s="249">
        <v>20000</v>
      </c>
      <c r="N34" s="249" t="s">
        <v>459</v>
      </c>
      <c r="O34" s="16">
        <v>1</v>
      </c>
    </row>
    <row r="35" spans="1:15" x14ac:dyDescent="0.2">
      <c r="A35" s="257"/>
      <c r="B35" s="256"/>
      <c r="C35" s="256"/>
      <c r="D35" s="256"/>
      <c r="E35" s="256"/>
      <c r="L35" s="16" t="s">
        <v>444</v>
      </c>
      <c r="M35" s="249">
        <v>17000</v>
      </c>
      <c r="N35" s="249" t="s">
        <v>459</v>
      </c>
      <c r="O35" s="16">
        <v>1</v>
      </c>
    </row>
    <row r="36" spans="1:15" x14ac:dyDescent="0.2">
      <c r="A36" s="30" t="s">
        <v>72</v>
      </c>
      <c r="B36" s="31">
        <f>B34+B33</f>
        <v>34450352.303399995</v>
      </c>
      <c r="C36" s="31"/>
      <c r="D36" s="31">
        <f>D34+D33</f>
        <v>18232042.110974997</v>
      </c>
      <c r="E36" s="31"/>
      <c r="L36" s="16" t="s">
        <v>445</v>
      </c>
      <c r="M36" s="249">
        <v>300</v>
      </c>
      <c r="N36" s="249" t="s">
        <v>459</v>
      </c>
      <c r="O36" s="16">
        <v>5</v>
      </c>
    </row>
    <row r="37" spans="1:15" x14ac:dyDescent="0.2">
      <c r="L37" s="16" t="s">
        <v>449</v>
      </c>
      <c r="M37" s="249">
        <v>500</v>
      </c>
      <c r="N37" s="249" t="s">
        <v>459</v>
      </c>
      <c r="O37" s="16">
        <v>31</v>
      </c>
    </row>
    <row r="38" spans="1:15" x14ac:dyDescent="0.2">
      <c r="L38" s="16" t="s">
        <v>446</v>
      </c>
      <c r="M38" s="249">
        <v>300</v>
      </c>
      <c r="N38" s="249" t="s">
        <v>459</v>
      </c>
      <c r="O38" s="16">
        <v>10</v>
      </c>
    </row>
    <row r="39" spans="1:15" x14ac:dyDescent="0.2">
      <c r="A39" s="32" t="s">
        <v>73</v>
      </c>
      <c r="B39" s="18" t="s">
        <v>74</v>
      </c>
      <c r="C39" s="18" t="s">
        <v>75</v>
      </c>
      <c r="D39" s="281" t="s">
        <v>76</v>
      </c>
      <c r="E39" s="281"/>
      <c r="F39" s="281"/>
      <c r="G39" s="33" t="s">
        <v>77</v>
      </c>
      <c r="L39" s="16" t="s">
        <v>447</v>
      </c>
      <c r="M39" s="249">
        <v>1500</v>
      </c>
      <c r="N39" s="249" t="s">
        <v>459</v>
      </c>
      <c r="O39" s="16">
        <v>31</v>
      </c>
    </row>
    <row r="40" spans="1:15" x14ac:dyDescent="0.2">
      <c r="A40" s="34"/>
      <c r="B40" s="21" t="s">
        <v>78</v>
      </c>
      <c r="C40" s="21"/>
      <c r="D40" s="21" t="s">
        <v>79</v>
      </c>
      <c r="E40" s="21" t="s">
        <v>80</v>
      </c>
      <c r="F40" s="21"/>
      <c r="G40" s="35"/>
      <c r="L40" s="16" t="s">
        <v>448</v>
      </c>
      <c r="M40" s="249">
        <v>300</v>
      </c>
      <c r="N40" s="249" t="s">
        <v>459</v>
      </c>
      <c r="O40" s="16">
        <v>31</v>
      </c>
    </row>
    <row r="41" spans="1:15" x14ac:dyDescent="0.2">
      <c r="A41" s="36" t="s">
        <v>81</v>
      </c>
      <c r="B41" s="37"/>
      <c r="C41" s="37"/>
      <c r="D41" s="37"/>
      <c r="E41" s="37"/>
      <c r="F41" s="38"/>
      <c r="G41" s="39"/>
      <c r="L41" s="16" t="s">
        <v>450</v>
      </c>
      <c r="M41" s="249">
        <v>1200</v>
      </c>
      <c r="N41" s="249" t="s">
        <v>459</v>
      </c>
      <c r="O41" s="16">
        <v>1</v>
      </c>
    </row>
    <row r="42" spans="1:15" x14ac:dyDescent="0.2">
      <c r="A42" s="40"/>
      <c r="B42" s="41"/>
      <c r="C42" s="41"/>
      <c r="D42" s="41"/>
      <c r="E42" s="41"/>
      <c r="F42" s="42"/>
      <c r="G42" s="43"/>
      <c r="L42" s="16" t="s">
        <v>451</v>
      </c>
      <c r="M42" s="249">
        <v>220000</v>
      </c>
      <c r="N42" s="249" t="s">
        <v>459</v>
      </c>
      <c r="O42" s="16">
        <v>1</v>
      </c>
    </row>
    <row r="43" spans="1:15" x14ac:dyDescent="0.2">
      <c r="A43" s="26" t="s">
        <v>50</v>
      </c>
      <c r="B43" s="27">
        <f>B7</f>
        <v>13000</v>
      </c>
      <c r="C43" s="27"/>
      <c r="D43" s="27"/>
      <c r="E43" s="27"/>
      <c r="F43" s="27"/>
      <c r="G43" s="44">
        <f>B43</f>
        <v>13000</v>
      </c>
      <c r="L43" s="16" t="s">
        <v>452</v>
      </c>
      <c r="M43" s="249">
        <v>250</v>
      </c>
      <c r="N43" s="249" t="s">
        <v>459</v>
      </c>
      <c r="O43" s="16">
        <v>7</v>
      </c>
    </row>
    <row r="44" spans="1:15" x14ac:dyDescent="0.2">
      <c r="A44" s="26" t="s">
        <v>51</v>
      </c>
      <c r="B44" s="27">
        <f>B8</f>
        <v>17788800</v>
      </c>
      <c r="C44" s="27">
        <f>1/InfoInicial!B8</f>
        <v>3.3333333333333333E-2</v>
      </c>
      <c r="D44" s="27">
        <f t="shared" ref="D44:D50" si="0">C44*B44</f>
        <v>592960</v>
      </c>
      <c r="E44" s="27">
        <f>C44*B44</f>
        <v>592960</v>
      </c>
      <c r="F44" s="27"/>
      <c r="G44" s="44">
        <f>B44-E44*5</f>
        <v>14824000</v>
      </c>
      <c r="L44" s="16" t="s">
        <v>453</v>
      </c>
      <c r="M44" s="249">
        <v>100</v>
      </c>
      <c r="N44" s="249" t="s">
        <v>459</v>
      </c>
      <c r="O44" s="16">
        <v>4</v>
      </c>
    </row>
    <row r="45" spans="1:15" x14ac:dyDescent="0.2">
      <c r="A45" s="26" t="s">
        <v>52</v>
      </c>
      <c r="B45" s="27">
        <f>B9</f>
        <v>700000</v>
      </c>
      <c r="C45" s="27">
        <f>1/InfoInicial!B9</f>
        <v>0.1</v>
      </c>
      <c r="D45" s="27">
        <f t="shared" si="0"/>
        <v>70000</v>
      </c>
      <c r="E45" s="27">
        <f>C45*B45</f>
        <v>70000</v>
      </c>
      <c r="F45" s="27"/>
      <c r="G45" s="44">
        <f>B45-E45*5</f>
        <v>350000</v>
      </c>
      <c r="L45" s="16" t="s">
        <v>454</v>
      </c>
      <c r="M45" s="249">
        <v>2000</v>
      </c>
      <c r="N45" s="249" t="s">
        <v>459</v>
      </c>
      <c r="O45" s="16">
        <v>1</v>
      </c>
    </row>
    <row r="46" spans="1:15" x14ac:dyDescent="0.2">
      <c r="A46" s="28" t="s">
        <v>53</v>
      </c>
      <c r="B46" s="27">
        <f>D11/1.07+B12+B13+B14+D14</f>
        <v>17953730.5</v>
      </c>
      <c r="C46" s="27">
        <f>1/InfoInicial!B10</f>
        <v>0.1</v>
      </c>
      <c r="D46" s="27">
        <f t="shared" si="0"/>
        <v>1795373.05</v>
      </c>
      <c r="E46" s="27">
        <f>C46*B46</f>
        <v>1795373.05</v>
      </c>
      <c r="F46" s="27"/>
      <c r="G46" s="44">
        <f>B46-5*E46</f>
        <v>8976865.25</v>
      </c>
      <c r="L46" s="16" t="s">
        <v>455</v>
      </c>
      <c r="M46" s="249">
        <v>3000</v>
      </c>
      <c r="N46" s="249" t="s">
        <v>459</v>
      </c>
      <c r="O46" s="16">
        <v>1</v>
      </c>
    </row>
    <row r="47" spans="1:15" x14ac:dyDescent="0.2">
      <c r="A47" s="28" t="s">
        <v>58</v>
      </c>
      <c r="B47" s="259">
        <f>B15</f>
        <v>640000</v>
      </c>
      <c r="C47" s="27">
        <f>1/InfoInicial!B11</f>
        <v>0.2</v>
      </c>
      <c r="D47" s="27">
        <f t="shared" si="0"/>
        <v>128000</v>
      </c>
      <c r="E47" s="27">
        <f>D47</f>
        <v>128000</v>
      </c>
      <c r="F47" s="27"/>
      <c r="G47" s="44"/>
      <c r="L47" s="16" t="s">
        <v>456</v>
      </c>
      <c r="M47" s="249">
        <v>2000</v>
      </c>
      <c r="N47" s="249" t="s">
        <v>459</v>
      </c>
      <c r="O47" s="16">
        <v>1</v>
      </c>
    </row>
    <row r="48" spans="1:15" x14ac:dyDescent="0.2">
      <c r="A48" s="28" t="s">
        <v>59</v>
      </c>
      <c r="B48" s="27">
        <f>B16</f>
        <v>1307716</v>
      </c>
      <c r="C48" s="27">
        <f>1/InfoInicial!B12</f>
        <v>0.2</v>
      </c>
      <c r="D48" s="27">
        <f t="shared" si="0"/>
        <v>261543.2</v>
      </c>
      <c r="E48" s="27">
        <f>D48</f>
        <v>261543.2</v>
      </c>
      <c r="F48" s="27"/>
      <c r="G48" s="44"/>
      <c r="L48" s="16" t="s">
        <v>457</v>
      </c>
      <c r="M48" s="249">
        <v>500</v>
      </c>
      <c r="N48" s="249" t="s">
        <v>459</v>
      </c>
      <c r="O48" s="16">
        <v>4</v>
      </c>
    </row>
    <row r="49" spans="1:15" x14ac:dyDescent="0.2">
      <c r="A49" s="28" t="s">
        <v>15</v>
      </c>
      <c r="B49" s="27">
        <f>B18+D18</f>
        <v>2945741.4375</v>
      </c>
      <c r="C49" s="27">
        <f>1/5</f>
        <v>0.2</v>
      </c>
      <c r="D49" s="27">
        <f t="shared" si="0"/>
        <v>589148.28749999998</v>
      </c>
      <c r="E49" s="27">
        <f>D49</f>
        <v>589148.28749999998</v>
      </c>
      <c r="F49" s="27"/>
      <c r="G49" s="44"/>
      <c r="L49" s="16" t="s">
        <v>465</v>
      </c>
      <c r="M49" s="249">
        <v>8000</v>
      </c>
      <c r="N49" s="249" t="s">
        <v>459</v>
      </c>
      <c r="O49" s="16">
        <v>1</v>
      </c>
    </row>
    <row r="50" spans="1:15" x14ac:dyDescent="0.2">
      <c r="A50" s="28" t="s">
        <v>82</v>
      </c>
      <c r="B50" s="27">
        <f>D11/1.07*0.07</f>
        <v>873306</v>
      </c>
      <c r="C50" s="27">
        <f>1/InfoInicial!B13</f>
        <v>0.33333333333333331</v>
      </c>
      <c r="D50" s="27">
        <f t="shared" si="0"/>
        <v>291102</v>
      </c>
      <c r="E50" s="27"/>
      <c r="F50" s="27"/>
      <c r="G50" s="44"/>
    </row>
    <row r="51" spans="1:15" x14ac:dyDescent="0.2">
      <c r="A51" s="45" t="s">
        <v>83</v>
      </c>
      <c r="B51" s="27">
        <f>B43+B44+B45+B46+B47+B48+B49+B50</f>
        <v>42222293.9375</v>
      </c>
      <c r="C51" s="27"/>
      <c r="D51" s="27">
        <f>D50+D49+D48+D47+D46+D45+D44</f>
        <v>3728126.5375000001</v>
      </c>
      <c r="E51" s="27">
        <f>E49+E48+E47+E46+E45+E44</f>
        <v>3437024.5375000001</v>
      </c>
      <c r="F51" s="27">
        <v>0</v>
      </c>
      <c r="G51" s="44">
        <f>G50+G49+G48+G47+G46+G45+G44+G43</f>
        <v>24163865.25</v>
      </c>
      <c r="I51" s="260"/>
    </row>
    <row r="52" spans="1:15" x14ac:dyDescent="0.2">
      <c r="A52" s="24"/>
      <c r="B52" s="46"/>
      <c r="C52" s="47"/>
      <c r="D52" s="48"/>
      <c r="E52" s="48"/>
      <c r="F52" s="48"/>
      <c r="G52" s="49"/>
      <c r="I52" s="260">
        <f>B33+D33-B56</f>
        <v>0</v>
      </c>
    </row>
    <row r="53" spans="1:15" x14ac:dyDescent="0.2">
      <c r="A53" s="45" t="s">
        <v>84</v>
      </c>
      <c r="B53" s="27">
        <f>B31</f>
        <v>1316875</v>
      </c>
      <c r="C53" s="27">
        <f>1/InfoInicial!B14</f>
        <v>0.2</v>
      </c>
      <c r="D53" s="27">
        <f>C53*B53</f>
        <v>263375</v>
      </c>
      <c r="E53" s="27">
        <f>D53</f>
        <v>263375</v>
      </c>
      <c r="F53" s="27"/>
      <c r="G53" s="44"/>
    </row>
    <row r="54" spans="1:15" x14ac:dyDescent="0.2">
      <c r="A54" s="45"/>
      <c r="B54" s="27"/>
      <c r="C54" s="27"/>
      <c r="D54" s="27"/>
      <c r="E54" s="27"/>
      <c r="F54" s="27"/>
      <c r="G54" s="44"/>
      <c r="I54" s="260"/>
      <c r="J54" s="261"/>
    </row>
    <row r="55" spans="1:15" x14ac:dyDescent="0.2">
      <c r="A55" s="24"/>
      <c r="B55" s="25"/>
      <c r="C55" s="25"/>
      <c r="D55" s="50"/>
      <c r="E55" s="51"/>
      <c r="F55" s="51"/>
      <c r="G55" s="52"/>
      <c r="H55" s="53"/>
      <c r="I55" s="261"/>
      <c r="J55" s="260"/>
    </row>
    <row r="56" spans="1:15" x14ac:dyDescent="0.2">
      <c r="A56" s="30" t="s">
        <v>85</v>
      </c>
      <c r="B56" s="31">
        <f>B53+B51</f>
        <v>43539168.9375</v>
      </c>
      <c r="C56" s="31"/>
      <c r="D56" s="31">
        <f>D51+D53</f>
        <v>3991501.5375000001</v>
      </c>
      <c r="E56" s="31">
        <f>E53+E51</f>
        <v>3700399.5375000001</v>
      </c>
      <c r="F56" s="31">
        <f>F53+F51</f>
        <v>0</v>
      </c>
      <c r="G56" s="54">
        <f>G53+G51</f>
        <v>24163865.25</v>
      </c>
      <c r="H56" s="55"/>
      <c r="I56" s="55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35"/>
  <sheetViews>
    <sheetView tabSelected="1" topLeftCell="A70" workbookViewId="0">
      <selection activeCell="B52" sqref="B52"/>
    </sheetView>
  </sheetViews>
  <sheetFormatPr defaultColWidth="11.42578125" defaultRowHeight="12.75" x14ac:dyDescent="0.2"/>
  <cols>
    <col min="1" max="1" width="41" style="16" customWidth="1"/>
    <col min="2" max="6" width="14.85546875" style="16" customWidth="1"/>
    <col min="7" max="7" width="17.42578125" style="16" customWidth="1"/>
    <col min="8" max="9" width="11.42578125" style="16"/>
    <col min="10" max="10" width="14.28515625" style="16" customWidth="1"/>
    <col min="11" max="11" width="12.5703125" style="16" customWidth="1"/>
    <col min="12" max="12" width="11.42578125" style="16"/>
    <col min="13" max="13" width="13.85546875" style="16" customWidth="1"/>
    <col min="14" max="14" width="14.5703125" style="16" customWidth="1"/>
    <col min="15" max="15" width="16.7109375" style="16" customWidth="1"/>
    <col min="16" max="16" width="13.42578125" style="16" customWidth="1"/>
    <col min="17" max="17" width="20.28515625" style="16" customWidth="1"/>
    <col min="18" max="18" width="16.5703125" style="16" customWidth="1"/>
    <col min="19" max="16384" width="11.42578125" style="16"/>
  </cols>
  <sheetData>
    <row r="3" spans="1:20" x14ac:dyDescent="0.2">
      <c r="A3" s="1" t="s">
        <v>0</v>
      </c>
      <c r="B3"/>
      <c r="C3"/>
      <c r="D3"/>
      <c r="E3" s="2">
        <f>InfoInicial!E1</f>
        <v>1</v>
      </c>
    </row>
    <row r="4" spans="1:20" ht="15.75" x14ac:dyDescent="0.25">
      <c r="A4" s="56" t="s">
        <v>86</v>
      </c>
      <c r="B4" s="57"/>
      <c r="C4" s="57"/>
      <c r="D4" s="57"/>
      <c r="E4" s="57"/>
      <c r="F4" s="58"/>
      <c r="J4" s="16" t="s">
        <v>214</v>
      </c>
      <c r="K4" s="16" t="s">
        <v>389</v>
      </c>
      <c r="L4" s="16" t="s">
        <v>390</v>
      </c>
    </row>
    <row r="5" spans="1:20" x14ac:dyDescent="0.2">
      <c r="A5" s="59"/>
      <c r="B5" s="60" t="s">
        <v>87</v>
      </c>
      <c r="C5" s="60"/>
      <c r="D5" s="60"/>
      <c r="E5" s="60"/>
      <c r="F5" s="61"/>
      <c r="J5" s="16" t="s">
        <v>466</v>
      </c>
      <c r="K5" s="16">
        <v>0.32829999999999998</v>
      </c>
      <c r="L5" s="16" t="s">
        <v>473</v>
      </c>
    </row>
    <row r="6" spans="1:20" x14ac:dyDescent="0.2">
      <c r="A6" s="59" t="s">
        <v>88</v>
      </c>
      <c r="B6" s="21" t="s">
        <v>48</v>
      </c>
      <c r="C6" s="21" t="s">
        <v>89</v>
      </c>
      <c r="D6" s="21" t="s">
        <v>90</v>
      </c>
      <c r="E6" s="21" t="s">
        <v>91</v>
      </c>
      <c r="F6" s="22" t="s">
        <v>92</v>
      </c>
      <c r="J6" s="16" t="s">
        <v>467</v>
      </c>
      <c r="K6" s="16">
        <v>0.4</v>
      </c>
      <c r="L6" s="16" t="s">
        <v>474</v>
      </c>
    </row>
    <row r="7" spans="1:20" x14ac:dyDescent="0.2">
      <c r="A7" s="23" t="s">
        <v>93</v>
      </c>
      <c r="B7" s="62">
        <f>4224467.22*K5+72379.63*K6*InfoInicial!B32+4251318.79*2*40*K7</f>
        <v>7672448.3675259994</v>
      </c>
      <c r="C7" s="62">
        <f>5414607*K5+107209.22*K6*InfoInicial!B32+K7*5414607*2*40</f>
        <v>9887657.1693000011</v>
      </c>
      <c r="D7" s="62">
        <f>C7</f>
        <v>9887657.1693000011</v>
      </c>
      <c r="E7" s="62">
        <f>C7</f>
        <v>9887657.1693000011</v>
      </c>
      <c r="F7" s="62">
        <f>C7</f>
        <v>9887657.1693000011</v>
      </c>
      <c r="J7" s="16" t="s">
        <v>468</v>
      </c>
      <c r="K7" s="16">
        <v>1.7000000000000001E-2</v>
      </c>
      <c r="L7" s="16" t="s">
        <v>521</v>
      </c>
    </row>
    <row r="8" spans="1:20" x14ac:dyDescent="0.2">
      <c r="A8" s="26" t="s">
        <v>94</v>
      </c>
      <c r="B8" s="64">
        <f>K10*O10*1.65*0.92*L10</f>
        <v>12066278.4</v>
      </c>
      <c r="C8" s="64">
        <f>K10*O10*(1+O9)*L10</f>
        <v>13115520</v>
      </c>
      <c r="D8" s="64">
        <f>K10*O10*(1+O9)*L10</f>
        <v>13115520</v>
      </c>
      <c r="E8" s="64">
        <f>D8</f>
        <v>13115520</v>
      </c>
      <c r="F8" s="64">
        <f>D8</f>
        <v>13115520</v>
      </c>
    </row>
    <row r="9" spans="1:20" x14ac:dyDescent="0.2">
      <c r="A9" s="26" t="s">
        <v>95</v>
      </c>
      <c r="B9" s="263"/>
      <c r="C9" s="263"/>
      <c r="D9" s="263"/>
      <c r="E9" s="263"/>
      <c r="F9" s="264"/>
      <c r="J9" s="16" t="s">
        <v>469</v>
      </c>
      <c r="K9" s="16" t="s">
        <v>476</v>
      </c>
      <c r="L9" s="16" t="s">
        <v>464</v>
      </c>
      <c r="N9" s="16" t="s">
        <v>472</v>
      </c>
      <c r="O9" s="275">
        <v>0.65</v>
      </c>
    </row>
    <row r="10" spans="1:20" x14ac:dyDescent="0.2">
      <c r="A10" s="26" t="s">
        <v>96</v>
      </c>
      <c r="B10" s="64">
        <f>('E-Inv AF y Am'!D49+'E-Inv AF y Am'!D48+'E-Inv AF y Am'!D47+'E-Inv AF y Am'!D46+'E-Inv AF y Am'!D45+'E-Inv AF y Am'!D44+'E-Inv AF y Am'!D53)*0.9+'E-Inv AF y Am'!D50</f>
        <v>3621461.5837500002</v>
      </c>
      <c r="C10" s="64">
        <f>B10</f>
        <v>3621461.5837500002</v>
      </c>
      <c r="D10" s="64">
        <f>B10</f>
        <v>3621461.5837500002</v>
      </c>
      <c r="E10" s="64">
        <f>'E-Inv AF y Am'!E56*0.9</f>
        <v>3330359.5837500002</v>
      </c>
      <c r="F10" s="65">
        <f>E10</f>
        <v>3330359.5837500002</v>
      </c>
      <c r="J10" s="16" t="s">
        <v>470</v>
      </c>
      <c r="K10" s="16">
        <v>150</v>
      </c>
      <c r="L10" s="16">
        <v>23</v>
      </c>
      <c r="N10" s="16" t="s">
        <v>477</v>
      </c>
      <c r="O10" s="265">
        <v>2304</v>
      </c>
    </row>
    <row r="11" spans="1:20" x14ac:dyDescent="0.2">
      <c r="A11" s="26" t="s">
        <v>97</v>
      </c>
      <c r="B11" s="64">
        <f>C11*N27</f>
        <v>5695542</v>
      </c>
      <c r="C11" s="64">
        <f>O15+O16+O17+O18+O19+O20+O21+O22+M25*N25*L25*K10*2</f>
        <v>6546600</v>
      </c>
      <c r="D11" s="64">
        <f>C11</f>
        <v>6546600</v>
      </c>
      <c r="E11" s="64">
        <f>C11</f>
        <v>6546600</v>
      </c>
      <c r="F11" s="65">
        <f>C11</f>
        <v>6546600</v>
      </c>
    </row>
    <row r="12" spans="1:20" x14ac:dyDescent="0.2">
      <c r="A12" s="26" t="s">
        <v>98</v>
      </c>
      <c r="B12" s="64">
        <f>C12*N27</f>
        <v>913960.94084915984</v>
      </c>
      <c r="C12" s="64">
        <f>L30*('E-Inv AF y Am'!B51-'E-Inv AF y Am'!B50)*M12+L31*'E-Inv AF y Am'!B46+L31*'E-Inv AF y Am'!B46*'E-Costos'!N31*'E-Costos'!O31+'E-Costos'!C7*'E-Costos'!L32+('E-Costos'!C11+'E-Costos'!C8)*'E-Costos'!L33</f>
        <v>1050529.8170679999</v>
      </c>
      <c r="D12" s="64">
        <f>C12</f>
        <v>1050529.8170679999</v>
      </c>
      <c r="E12" s="64">
        <f>C12</f>
        <v>1050529.8170679999</v>
      </c>
      <c r="F12" s="65">
        <f>C12</f>
        <v>1050529.8170679999</v>
      </c>
      <c r="J12" s="288" t="s">
        <v>478</v>
      </c>
      <c r="K12" s="288"/>
      <c r="L12" s="288"/>
      <c r="M12" s="265">
        <v>0.9</v>
      </c>
    </row>
    <row r="13" spans="1:20" x14ac:dyDescent="0.2">
      <c r="A13" s="26" t="s">
        <v>99</v>
      </c>
      <c r="B13" s="64">
        <f>C13*O36</f>
        <v>404470.4731144</v>
      </c>
      <c r="C13" s="64">
        <f>(L36*Q36*4*6/1000*8*K36+N36)*11.5+R36*K36*16/1000</f>
        <v>425758.39275200001</v>
      </c>
      <c r="D13" s="64">
        <f>C13</f>
        <v>425758.39275200001</v>
      </c>
      <c r="E13" s="64">
        <f>C13</f>
        <v>425758.39275200001</v>
      </c>
      <c r="F13" s="65">
        <f>C13</f>
        <v>425758.39275200001</v>
      </c>
      <c r="R13" s="248" t="s">
        <v>466</v>
      </c>
      <c r="S13" s="248" t="s">
        <v>536</v>
      </c>
      <c r="T13" s="248" t="s">
        <v>537</v>
      </c>
    </row>
    <row r="14" spans="1:20" x14ac:dyDescent="0.2">
      <c r="A14" s="26" t="s">
        <v>100</v>
      </c>
      <c r="B14" s="64">
        <f>C14*O37</f>
        <v>39599.5625</v>
      </c>
      <c r="C14" s="64">
        <f>K40*L40+K41*L41+N37*12+K37*L37*11.5</f>
        <v>41683.75</v>
      </c>
      <c r="D14" s="64">
        <f>C14</f>
        <v>41683.75</v>
      </c>
      <c r="E14" s="64">
        <f>C14</f>
        <v>41683.75</v>
      </c>
      <c r="F14" s="65">
        <f>C14</f>
        <v>41683.75</v>
      </c>
      <c r="J14" s="284" t="s">
        <v>471</v>
      </c>
      <c r="K14" s="284"/>
      <c r="L14" s="248" t="s">
        <v>488</v>
      </c>
      <c r="M14" s="248" t="s">
        <v>472</v>
      </c>
      <c r="N14" s="248" t="s">
        <v>75</v>
      </c>
      <c r="O14" s="248" t="s">
        <v>487</v>
      </c>
      <c r="Q14" s="16" t="s">
        <v>525</v>
      </c>
      <c r="R14" s="248">
        <f>Q46/P42</f>
        <v>0.52629714909056835</v>
      </c>
      <c r="S14" s="248">
        <f>P42/Q47</f>
        <v>2.3750841177079842E-2</v>
      </c>
      <c r="T14" s="248">
        <f>Q48/P42</f>
        <v>1.05117150455999E-2</v>
      </c>
    </row>
    <row r="15" spans="1:20" x14ac:dyDescent="0.2">
      <c r="A15" s="26" t="s">
        <v>101</v>
      </c>
      <c r="B15" s="64">
        <f>C15</f>
        <v>256825.91999999998</v>
      </c>
      <c r="C15" s="64">
        <f>('E-Inv AF y Am'!B43+'E-Inv AF y Am'!B44)*L44*M44+('E-Inv AF y Am'!B43+'E-Inv AF y Am'!B44)*L45*M45+L47*2*M46*L46</f>
        <v>256825.91999999998</v>
      </c>
      <c r="D15" s="64">
        <f>C15</f>
        <v>256825.91999999998</v>
      </c>
      <c r="E15" s="64">
        <f>C15</f>
        <v>256825.91999999998</v>
      </c>
      <c r="F15" s="65">
        <f>C15</f>
        <v>256825.91999999998</v>
      </c>
      <c r="J15" s="283" t="s">
        <v>479</v>
      </c>
      <c r="K15" s="283"/>
      <c r="L15" s="16">
        <v>100000</v>
      </c>
      <c r="M15" s="16">
        <v>0.5</v>
      </c>
      <c r="N15" s="16">
        <v>0.3</v>
      </c>
      <c r="O15" s="16">
        <f>L15*(1+M15)*N15*13</f>
        <v>585000</v>
      </c>
    </row>
    <row r="16" spans="1:20" x14ac:dyDescent="0.2">
      <c r="A16" s="26" t="s">
        <v>15</v>
      </c>
      <c r="B16" s="64">
        <f>(B7+B8+B10+B11+B12+B13+B14+B15)*K49</f>
        <v>613411.74495479127</v>
      </c>
      <c r="C16" s="64">
        <f>(C7+C8+C10+C11+C12+C13+C14+C15)*K49</f>
        <v>698920.73265740008</v>
      </c>
      <c r="D16" s="64">
        <f>(D7+D8+D10+D11+D12+D13+D14+D15)*K49</f>
        <v>698920.73265740008</v>
      </c>
      <c r="E16" s="64">
        <f>(E7+E8+E10+E11+E12+E13+E14+E15)*K49</f>
        <v>693098.69265740004</v>
      </c>
      <c r="F16" s="64">
        <f>(F7+F8+F10+F11+F12+F13+F14+F15)*K49</f>
        <v>693098.69265740004</v>
      </c>
      <c r="H16" s="260"/>
      <c r="J16" s="283" t="s">
        <v>480</v>
      </c>
      <c r="K16" s="283"/>
      <c r="L16" s="16">
        <v>60000</v>
      </c>
      <c r="M16" s="16">
        <v>0.6</v>
      </c>
      <c r="N16" s="16">
        <v>0.7</v>
      </c>
      <c r="O16" s="16">
        <f>L16*(1+M16)*N16*13</f>
        <v>873600</v>
      </c>
      <c r="R16" s="249" t="s">
        <v>466</v>
      </c>
      <c r="S16" s="249" t="s">
        <v>468</v>
      </c>
      <c r="T16" s="249" t="s">
        <v>537</v>
      </c>
    </row>
    <row r="17" spans="1:20" x14ac:dyDescent="0.2">
      <c r="A17" s="24" t="s">
        <v>102</v>
      </c>
      <c r="B17" s="272">
        <f>B7+B8+B10+B11+B12+B13+B14+B15+B16</f>
        <v>31283998.992694356</v>
      </c>
      <c r="C17" s="272">
        <f t="shared" ref="C17:F17" si="0">C7+C8+C10+C11+C12+C13+C14+C15+C16</f>
        <v>35644957.365527406</v>
      </c>
      <c r="D17" s="272">
        <f t="shared" si="0"/>
        <v>35644957.365527406</v>
      </c>
      <c r="E17" s="272">
        <f t="shared" si="0"/>
        <v>35348033.325527407</v>
      </c>
      <c r="F17" s="272">
        <f t="shared" si="0"/>
        <v>35348033.325527407</v>
      </c>
      <c r="J17" s="283" t="s">
        <v>481</v>
      </c>
      <c r="K17" s="283"/>
      <c r="L17" s="16">
        <v>65000</v>
      </c>
      <c r="M17" s="16">
        <v>0.5</v>
      </c>
      <c r="N17" s="16">
        <v>1</v>
      </c>
      <c r="O17" s="16">
        <f t="shared" ref="O17:O22" si="1">L17*(1+M17)*N17*13</f>
        <v>1267500</v>
      </c>
      <c r="Q17" s="16" t="s">
        <v>538</v>
      </c>
      <c r="R17" s="248">
        <f>R29*R14</f>
        <v>313558.36807947699</v>
      </c>
      <c r="S17" s="248">
        <f>S14*R29</f>
        <v>14150.323658162983</v>
      </c>
      <c r="T17" s="248">
        <f>T14*R29</f>
        <v>6262.6906132976001</v>
      </c>
    </row>
    <row r="18" spans="1:20" x14ac:dyDescent="0.2">
      <c r="A18" s="68"/>
      <c r="B18" s="69"/>
      <c r="C18" s="69"/>
      <c r="D18" s="69"/>
      <c r="E18" s="69"/>
      <c r="F18" s="70"/>
      <c r="J18" s="283" t="s">
        <v>482</v>
      </c>
      <c r="K18" s="283"/>
      <c r="L18" s="16">
        <v>65000</v>
      </c>
      <c r="M18" s="16">
        <v>0.6</v>
      </c>
      <c r="N18" s="16">
        <v>1</v>
      </c>
      <c r="O18" s="16">
        <f t="shared" si="1"/>
        <v>1352000</v>
      </c>
    </row>
    <row r="19" spans="1:20" x14ac:dyDescent="0.2">
      <c r="A19" s="71" t="s">
        <v>103</v>
      </c>
      <c r="B19" s="274">
        <f>(B10+B11+B12+B13+B14+B15+B16)/B17</f>
        <v>0.36904719974784805</v>
      </c>
      <c r="C19" s="274">
        <f t="shared" ref="C19:F19" si="2">(C10+C11+C12+C13+C14+C15+C16)/C17</f>
        <v>0.35465830598673659</v>
      </c>
      <c r="D19" s="274">
        <f t="shared" si="2"/>
        <v>0.35465830598673659</v>
      </c>
      <c r="E19" s="274">
        <f t="shared" si="2"/>
        <v>0.34923742553202453</v>
      </c>
      <c r="F19" s="274">
        <f t="shared" si="2"/>
        <v>0.34923742553202453</v>
      </c>
      <c r="J19" s="283" t="s">
        <v>483</v>
      </c>
      <c r="K19" s="283"/>
      <c r="L19" s="16">
        <v>30000</v>
      </c>
      <c r="M19" s="16">
        <v>0.5</v>
      </c>
      <c r="N19" s="16">
        <v>0.5</v>
      </c>
      <c r="O19" s="16">
        <f t="shared" si="1"/>
        <v>292500</v>
      </c>
    </row>
    <row r="20" spans="1:20" x14ac:dyDescent="0.2">
      <c r="A20" s="34" t="s">
        <v>104</v>
      </c>
      <c r="B20" s="273">
        <f>(B7+B8)/B17</f>
        <v>0.63095280025215184</v>
      </c>
      <c r="C20" s="273">
        <f t="shared" ref="C20:F20" si="3">(C7+C8)/C17</f>
        <v>0.64534169401326325</v>
      </c>
      <c r="D20" s="273">
        <f t="shared" si="3"/>
        <v>0.64534169401326325</v>
      </c>
      <c r="E20" s="273">
        <f t="shared" si="3"/>
        <v>0.65076257446797525</v>
      </c>
      <c r="F20" s="273">
        <f t="shared" si="3"/>
        <v>0.65076257446797525</v>
      </c>
      <c r="J20" s="283" t="s">
        <v>484</v>
      </c>
      <c r="K20" s="283"/>
      <c r="L20" s="16">
        <v>50000</v>
      </c>
      <c r="M20" s="16">
        <v>0.6</v>
      </c>
      <c r="N20" s="16">
        <v>1</v>
      </c>
      <c r="O20" s="16">
        <f t="shared" si="1"/>
        <v>1040000</v>
      </c>
    </row>
    <row r="21" spans="1:20" x14ac:dyDescent="0.2">
      <c r="J21" s="283" t="s">
        <v>485</v>
      </c>
      <c r="K21" s="283"/>
      <c r="L21" s="16">
        <v>30000</v>
      </c>
      <c r="M21" s="16">
        <v>0.6</v>
      </c>
      <c r="N21" s="16">
        <v>1</v>
      </c>
      <c r="O21" s="16">
        <f t="shared" si="1"/>
        <v>624000</v>
      </c>
    </row>
    <row r="22" spans="1:20" x14ac:dyDescent="0.2">
      <c r="A22" s="76"/>
      <c r="B22" s="18" t="s">
        <v>105</v>
      </c>
      <c r="C22" s="18"/>
      <c r="D22" s="18"/>
      <c r="E22" s="18"/>
      <c r="F22" s="18"/>
      <c r="G22" s="19"/>
      <c r="J22" s="283" t="s">
        <v>486</v>
      </c>
      <c r="K22" s="283"/>
      <c r="L22" s="16">
        <v>20000</v>
      </c>
      <c r="M22" s="16">
        <v>0.6</v>
      </c>
      <c r="N22" s="16">
        <v>1</v>
      </c>
      <c r="O22" s="16">
        <f t="shared" si="1"/>
        <v>416000</v>
      </c>
    </row>
    <row r="23" spans="1:20" x14ac:dyDescent="0.2">
      <c r="A23" s="59"/>
      <c r="B23" s="60" t="s">
        <v>106</v>
      </c>
      <c r="C23" s="60"/>
      <c r="D23" s="60"/>
      <c r="E23" s="60"/>
      <c r="F23" s="60"/>
      <c r="G23" s="61" t="s">
        <v>107</v>
      </c>
    </row>
    <row r="24" spans="1:20" x14ac:dyDescent="0.2">
      <c r="A24" s="59" t="s">
        <v>88</v>
      </c>
      <c r="B24" s="77" t="s">
        <v>48</v>
      </c>
      <c r="C24" s="77" t="s">
        <v>89</v>
      </c>
      <c r="D24" s="77" t="s">
        <v>90</v>
      </c>
      <c r="E24" s="77" t="s">
        <v>91</v>
      </c>
      <c r="F24" s="77" t="s">
        <v>92</v>
      </c>
      <c r="G24" s="78" t="s">
        <v>48</v>
      </c>
      <c r="L24" s="248" t="s">
        <v>490</v>
      </c>
      <c r="M24" s="248" t="s">
        <v>475</v>
      </c>
      <c r="N24" s="248" t="s">
        <v>491</v>
      </c>
    </row>
    <row r="25" spans="1:20" x14ac:dyDescent="0.2">
      <c r="A25" s="23" t="s">
        <v>93</v>
      </c>
      <c r="B25" s="62">
        <f>S43*B7/P42</f>
        <v>19315.485775200996</v>
      </c>
      <c r="C25" s="62">
        <f>S43*C7/P43</f>
        <v>19004.054884877947</v>
      </c>
      <c r="D25" s="62">
        <f>D7*S43/P43</f>
        <v>19004.054884877947</v>
      </c>
      <c r="E25" s="62">
        <f>E7*S43/P43</f>
        <v>19004.054884877947</v>
      </c>
      <c r="F25" s="62">
        <f>F7*S43/P43</f>
        <v>19004.054884877947</v>
      </c>
      <c r="G25" s="62">
        <f>R17*K5+T17*K6*InfoInicial!B32+K7*R17*2*40</f>
        <v>572968.9194971323</v>
      </c>
      <c r="J25" s="285" t="s">
        <v>489</v>
      </c>
      <c r="K25" s="285"/>
      <c r="L25" s="248">
        <v>8</v>
      </c>
      <c r="M25" s="248">
        <v>20</v>
      </c>
      <c r="N25" s="248">
        <v>2</v>
      </c>
    </row>
    <row r="26" spans="1:20" x14ac:dyDescent="0.2">
      <c r="A26" s="26" t="s">
        <v>94</v>
      </c>
      <c r="B26" s="64">
        <f>S43*B8/P42</f>
        <v>30377.008437264692</v>
      </c>
      <c r="C26" s="64">
        <f>S43*C8/P43</f>
        <v>25208</v>
      </c>
      <c r="D26" s="64">
        <f>D8*S43/P43</f>
        <v>25208</v>
      </c>
      <c r="E26" s="64">
        <f>E8*S43/P43</f>
        <v>25208</v>
      </c>
      <c r="F26" s="64">
        <f>F8*S43/P43</f>
        <v>25208</v>
      </c>
      <c r="G26" s="64">
        <f>B8-(C8/P43)*P42-B26</f>
        <v>2022843.4390203618</v>
      </c>
    </row>
    <row r="27" spans="1:20" x14ac:dyDescent="0.2">
      <c r="A27" s="26" t="s">
        <v>95</v>
      </c>
      <c r="B27" s="277"/>
      <c r="C27" s="277"/>
      <c r="D27" s="277"/>
      <c r="E27" s="277"/>
      <c r="F27" s="277"/>
      <c r="G27" s="277"/>
      <c r="J27" s="251" t="s">
        <v>492</v>
      </c>
      <c r="K27" s="251"/>
      <c r="L27" s="251"/>
      <c r="N27" s="265">
        <v>0.87</v>
      </c>
    </row>
    <row r="28" spans="1:20" x14ac:dyDescent="0.2">
      <c r="A28" s="26" t="s">
        <v>96</v>
      </c>
      <c r="B28" s="64">
        <f>B10*S43/P42</f>
        <v>9117.0753266229731</v>
      </c>
      <c r="C28" s="64">
        <f>C10*S43/P43</f>
        <v>6960.4410349852697</v>
      </c>
      <c r="D28" s="64">
        <f>D10*S43/P43</f>
        <v>6960.4410349852697</v>
      </c>
      <c r="E28" s="64">
        <f>E10*S43/P43</f>
        <v>6400.9436444128787</v>
      </c>
      <c r="F28" s="64">
        <f>F10*S43/P43</f>
        <v>6400.9436444128787</v>
      </c>
      <c r="G28" s="64">
        <v>0</v>
      </c>
    </row>
    <row r="29" spans="1:20" x14ac:dyDescent="0.2">
      <c r="A29" s="26" t="s">
        <v>97</v>
      </c>
      <c r="B29" s="62">
        <f>S43*B11/P42</f>
        <v>14338.598999074597</v>
      </c>
      <c r="C29" s="64">
        <f>C11*S43/P43</f>
        <v>12582.550505050505</v>
      </c>
      <c r="D29" s="64">
        <f>D11*S43/P43</f>
        <v>12582.550505050505</v>
      </c>
      <c r="E29" s="64">
        <f>E11*S43/P43</f>
        <v>12582.550505050505</v>
      </c>
      <c r="F29" s="64">
        <f>F11*S43/P43</f>
        <v>12582.550505050505</v>
      </c>
      <c r="G29" s="64">
        <v>0</v>
      </c>
      <c r="J29" s="16" t="s">
        <v>493</v>
      </c>
      <c r="Q29" s="16" t="s">
        <v>545</v>
      </c>
      <c r="R29" s="249">
        <v>595782</v>
      </c>
      <c r="S29" s="16" t="s">
        <v>546</v>
      </c>
    </row>
    <row r="30" spans="1:20" x14ac:dyDescent="0.2">
      <c r="A30" s="26" t="s">
        <v>98</v>
      </c>
      <c r="B30" s="64">
        <f>S43*B12/P42</f>
        <v>2300.9082246523753</v>
      </c>
      <c r="C30" s="64">
        <f>C12*S43/P43</f>
        <v>2019.115950313075</v>
      </c>
      <c r="D30" s="64">
        <f>D12*S43/P43</f>
        <v>2019.115950313075</v>
      </c>
      <c r="E30" s="64">
        <f>E12*S43/P43</f>
        <v>2019.115950313075</v>
      </c>
      <c r="F30" s="64">
        <f>F12*S43/P43</f>
        <v>2019.115950313075</v>
      </c>
      <c r="G30" s="64">
        <f>B12-(C12/P43)*P42-(C12/P43)*S43</f>
        <v>109913.69797931783</v>
      </c>
      <c r="K30" s="16" t="s">
        <v>494</v>
      </c>
      <c r="L30" s="262">
        <v>0.01</v>
      </c>
      <c r="M30" s="16" t="s">
        <v>497</v>
      </c>
      <c r="N30" s="16" t="s">
        <v>499</v>
      </c>
      <c r="O30" s="16" t="s">
        <v>500</v>
      </c>
    </row>
    <row r="31" spans="1:20" x14ac:dyDescent="0.2">
      <c r="A31" s="26" t="s">
        <v>108</v>
      </c>
      <c r="B31" s="62">
        <f>S43*B13/P42</f>
        <v>1018.2595301647085</v>
      </c>
      <c r="C31" s="64">
        <f>C13*S43/P43</f>
        <v>818.30667518271594</v>
      </c>
      <c r="D31" s="64">
        <f>D13*S43/P43</f>
        <v>818.30667518271594</v>
      </c>
      <c r="E31" s="64">
        <f>E13*S43/P43</f>
        <v>818.30667518271594</v>
      </c>
      <c r="F31" s="64">
        <f>F13*S43/P43</f>
        <v>818.30667518271594</v>
      </c>
      <c r="G31" s="64">
        <f>B13-(C13/P43)*P42-(C13/P43)*S43</f>
        <v>78606.460252419289</v>
      </c>
      <c r="K31" s="16" t="s">
        <v>495</v>
      </c>
      <c r="L31" s="262">
        <v>0.01</v>
      </c>
      <c r="M31" s="16" t="s">
        <v>498</v>
      </c>
      <c r="N31" s="267">
        <v>0.15</v>
      </c>
      <c r="O31" s="267">
        <v>0.25</v>
      </c>
    </row>
    <row r="32" spans="1:20" x14ac:dyDescent="0.2">
      <c r="A32" s="26" t="s">
        <v>109</v>
      </c>
      <c r="B32" s="64">
        <f>S43*B14/P42</f>
        <v>99.69239928812604</v>
      </c>
      <c r="C32" s="64">
        <f>C14*S43/P43</f>
        <v>80.11607393378226</v>
      </c>
      <c r="D32" s="64">
        <f>D14*S43/P43</f>
        <v>80.11607393378226</v>
      </c>
      <c r="E32" s="64">
        <f>E14*S43/P43</f>
        <v>80.11607393378226</v>
      </c>
      <c r="F32" s="64">
        <f>F14*S43/P43</f>
        <v>80.11607393378226</v>
      </c>
      <c r="G32" s="64">
        <f>B14-(C14/P43)*P42-(C14/P43)*S43</f>
        <v>7695.9423309721469</v>
      </c>
      <c r="K32" s="16" t="s">
        <v>496</v>
      </c>
      <c r="L32" s="262">
        <v>0.01</v>
      </c>
    </row>
    <row r="33" spans="1:19" x14ac:dyDescent="0.2">
      <c r="A33" s="26" t="s">
        <v>110</v>
      </c>
      <c r="B33" s="27">
        <f>S43*B15/P42</f>
        <v>646.562500890769</v>
      </c>
      <c r="C33" s="64">
        <f>C15*S43/P43</f>
        <v>493.61884175084174</v>
      </c>
      <c r="D33" s="64">
        <f>D15*S43/P43</f>
        <v>493.61884175084174</v>
      </c>
      <c r="E33" s="64">
        <f>E15*S43/P43</f>
        <v>493.61884175084174</v>
      </c>
      <c r="F33" s="64">
        <f>F15*S43/P43</f>
        <v>493.61884175084174</v>
      </c>
      <c r="G33" s="64">
        <v>0</v>
      </c>
      <c r="K33" s="16" t="s">
        <v>126</v>
      </c>
      <c r="L33" s="262">
        <v>0.02</v>
      </c>
    </row>
    <row r="34" spans="1:19" x14ac:dyDescent="0.2">
      <c r="A34" s="26" t="s">
        <v>111</v>
      </c>
      <c r="B34" s="64">
        <f>B16*S43/P42</f>
        <v>1544.2718238631849</v>
      </c>
      <c r="C34" s="64">
        <f>C16*S43/P43</f>
        <v>1343.3240793218829</v>
      </c>
      <c r="D34" s="64">
        <f>D16*S43/P43</f>
        <v>1343.3240793218829</v>
      </c>
      <c r="E34" s="64">
        <f>E16*S43/P43</f>
        <v>1332.1341315104348</v>
      </c>
      <c r="F34" s="64">
        <f>F16*S43/P43</f>
        <v>1332.1341315104348</v>
      </c>
      <c r="G34" s="64">
        <v>0</v>
      </c>
    </row>
    <row r="35" spans="1:19" x14ac:dyDescent="0.2">
      <c r="A35" s="34" t="s">
        <v>112</v>
      </c>
      <c r="B35" s="62">
        <f>B25+B26+B27+B28+B29+B30+B31+B32+B34+B33</f>
        <v>78757.863017022406</v>
      </c>
      <c r="C35" s="64">
        <f>C17*S43/P43</f>
        <v>68509.528045416024</v>
      </c>
      <c r="D35" s="64">
        <f>D17*S43/P43</f>
        <v>68509.528045416024</v>
      </c>
      <c r="E35" s="64">
        <f>E17*S43/P43</f>
        <v>67938.840707032199</v>
      </c>
      <c r="F35" s="64">
        <f>F17*S43/P43</f>
        <v>67938.840707032199</v>
      </c>
      <c r="G35" s="64">
        <f>G25+G26+G28+G29+G30+G31+G32+G33+G34</f>
        <v>2792028.4590802034</v>
      </c>
      <c r="J35" s="248" t="s">
        <v>501</v>
      </c>
      <c r="K35" s="249" t="s">
        <v>389</v>
      </c>
      <c r="L35" s="249" t="s">
        <v>503</v>
      </c>
      <c r="M35" s="269" t="s">
        <v>504</v>
      </c>
      <c r="N35" s="269" t="s">
        <v>507</v>
      </c>
      <c r="O35" s="286" t="s">
        <v>508</v>
      </c>
      <c r="P35" s="286"/>
      <c r="Q35" s="269" t="s">
        <v>509</v>
      </c>
      <c r="R35" s="268" t="s">
        <v>510</v>
      </c>
    </row>
    <row r="36" spans="1:19" x14ac:dyDescent="0.2">
      <c r="A36" s="79"/>
      <c r="B36" s="80"/>
      <c r="C36" s="80"/>
      <c r="D36" s="80"/>
      <c r="E36" s="80"/>
      <c r="F36" s="80"/>
      <c r="G36" s="80"/>
      <c r="J36" s="16" t="s">
        <v>121</v>
      </c>
      <c r="K36" s="249">
        <v>2.7</v>
      </c>
      <c r="L36" s="270">
        <v>84458</v>
      </c>
      <c r="M36" s="249" t="s">
        <v>505</v>
      </c>
      <c r="N36" s="249">
        <v>56.9</v>
      </c>
      <c r="O36" s="287">
        <v>0.95</v>
      </c>
      <c r="P36" s="284"/>
      <c r="Q36" s="266">
        <v>0.84</v>
      </c>
      <c r="R36" s="248">
        <v>50000</v>
      </c>
    </row>
    <row r="37" spans="1:19" x14ac:dyDescent="0.2">
      <c r="A37" s="36"/>
      <c r="B37" s="81" t="s">
        <v>113</v>
      </c>
      <c r="C37" s="81"/>
      <c r="D37" s="81"/>
      <c r="E37" s="81"/>
      <c r="F37" s="82"/>
      <c r="J37" s="16" t="s">
        <v>502</v>
      </c>
      <c r="K37" s="249">
        <v>2.67</v>
      </c>
      <c r="L37" s="249">
        <v>30</v>
      </c>
      <c r="M37" s="249" t="s">
        <v>506</v>
      </c>
      <c r="N37" s="249">
        <v>623.54999999999995</v>
      </c>
      <c r="O37" s="287">
        <v>0.95</v>
      </c>
      <c r="P37" s="284"/>
      <c r="Q37" s="266">
        <v>1</v>
      </c>
    </row>
    <row r="38" spans="1:19" x14ac:dyDescent="0.2">
      <c r="A38" s="34"/>
      <c r="B38" s="77" t="s">
        <v>48</v>
      </c>
      <c r="C38" s="77" t="s">
        <v>89</v>
      </c>
      <c r="D38" s="77" t="s">
        <v>90</v>
      </c>
      <c r="E38" s="77" t="s">
        <v>91</v>
      </c>
      <c r="F38" s="22" t="s">
        <v>92</v>
      </c>
      <c r="G38" s="80"/>
    </row>
    <row r="39" spans="1:19" x14ac:dyDescent="0.2">
      <c r="A39" s="40" t="s">
        <v>102</v>
      </c>
      <c r="B39" s="62">
        <f>B17</f>
        <v>31283998.992694356</v>
      </c>
      <c r="C39" s="62">
        <f>C17</f>
        <v>35644957.365527406</v>
      </c>
      <c r="D39" s="62">
        <f>D17</f>
        <v>35644957.365527406</v>
      </c>
      <c r="E39" s="62">
        <f>E17</f>
        <v>35348033.325527407</v>
      </c>
      <c r="F39" s="63">
        <f>F17</f>
        <v>35348033.325527407</v>
      </c>
      <c r="G39" s="80"/>
      <c r="J39" s="249" t="s">
        <v>122</v>
      </c>
      <c r="K39" s="248" t="s">
        <v>513</v>
      </c>
      <c r="L39" s="248" t="s">
        <v>389</v>
      </c>
    </row>
    <row r="40" spans="1:19" x14ac:dyDescent="0.2">
      <c r="A40" s="26" t="s">
        <v>114</v>
      </c>
      <c r="B40" s="279"/>
      <c r="C40" s="279"/>
      <c r="D40" s="279"/>
      <c r="E40" s="279"/>
      <c r="F40" s="278"/>
      <c r="G40" s="80"/>
      <c r="J40" s="16" t="s">
        <v>511</v>
      </c>
      <c r="K40" s="248">
        <v>22000</v>
      </c>
      <c r="L40" s="248">
        <v>1.24</v>
      </c>
    </row>
    <row r="41" spans="1:19" x14ac:dyDescent="0.2">
      <c r="A41" s="26" t="s">
        <v>115</v>
      </c>
      <c r="B41" s="64">
        <f>G35</f>
        <v>2792028.4590802034</v>
      </c>
      <c r="C41" s="64"/>
      <c r="D41" s="64"/>
      <c r="E41" s="64"/>
      <c r="F41" s="44"/>
      <c r="G41" s="80"/>
      <c r="J41" s="16" t="s">
        <v>512</v>
      </c>
      <c r="K41" s="248">
        <v>1000</v>
      </c>
      <c r="L41" s="248">
        <v>6</v>
      </c>
      <c r="P41" s="249" t="s">
        <v>526</v>
      </c>
    </row>
    <row r="42" spans="1:19" x14ac:dyDescent="0.2">
      <c r="A42" s="26" t="s">
        <v>116</v>
      </c>
      <c r="B42" s="64">
        <f>B35</f>
        <v>78757.863017022406</v>
      </c>
      <c r="C42" s="64">
        <f>B35-C35</f>
        <v>10248.334971606382</v>
      </c>
      <c r="D42" s="64">
        <f>C35-D35</f>
        <v>0</v>
      </c>
      <c r="E42" s="64">
        <f>D35-E35</f>
        <v>570.68733838382468</v>
      </c>
      <c r="F42" s="65">
        <f>E35-F35</f>
        <v>0</v>
      </c>
      <c r="G42" s="80"/>
      <c r="O42" s="16" t="s">
        <v>523</v>
      </c>
      <c r="P42" s="270">
        <v>8026772</v>
      </c>
    </row>
    <row r="43" spans="1:19" x14ac:dyDescent="0.2">
      <c r="A43" s="24" t="s">
        <v>117</v>
      </c>
      <c r="B43" s="64">
        <f>B39-B41-B42</f>
        <v>28413212.670597129</v>
      </c>
      <c r="C43" s="64">
        <f>C39+C42</f>
        <v>35655205.700499013</v>
      </c>
      <c r="D43" s="64">
        <f>D39+D42</f>
        <v>35644957.365527406</v>
      </c>
      <c r="E43" s="64">
        <f>E39+E42</f>
        <v>35348604.012865789</v>
      </c>
      <c r="F43" s="65">
        <f>F39+F42</f>
        <v>35348033.325527407</v>
      </c>
      <c r="G43" s="80"/>
      <c r="J43" s="284" t="s">
        <v>514</v>
      </c>
      <c r="K43" s="284"/>
      <c r="L43" s="16" t="s">
        <v>518</v>
      </c>
      <c r="M43" s="16" t="s">
        <v>519</v>
      </c>
      <c r="O43" s="16" t="s">
        <v>524</v>
      </c>
      <c r="P43" s="270">
        <v>10513800</v>
      </c>
      <c r="R43" s="16" t="s">
        <v>522</v>
      </c>
      <c r="S43" s="265">
        <f>10103.75*2</f>
        <v>20207.5</v>
      </c>
    </row>
    <row r="44" spans="1:19" x14ac:dyDescent="0.2">
      <c r="A44" s="71" t="s">
        <v>118</v>
      </c>
      <c r="B44" s="83">
        <f>B43/P42</f>
        <v>3.5398056243029115</v>
      </c>
      <c r="C44" s="83">
        <f>C43/P43</f>
        <v>3.3912767696264923</v>
      </c>
      <c r="D44" s="83">
        <f>D43/P43</f>
        <v>3.3903020188254871</v>
      </c>
      <c r="E44" s="83">
        <f>E43/P43</f>
        <v>3.3621149358810123</v>
      </c>
      <c r="F44" s="84">
        <f>F43/P43</f>
        <v>3.3620606560451414</v>
      </c>
      <c r="G44" s="80"/>
      <c r="J44" s="283" t="s">
        <v>515</v>
      </c>
      <c r="K44" s="283"/>
      <c r="L44" s="271">
        <v>8.0000000000000002E-3</v>
      </c>
      <c r="M44" s="16">
        <v>0.8</v>
      </c>
    </row>
    <row r="45" spans="1:19" x14ac:dyDescent="0.2">
      <c r="A45" s="71"/>
      <c r="B45" s="83"/>
      <c r="C45" s="83"/>
      <c r="D45" s="83"/>
      <c r="E45" s="83"/>
      <c r="F45" s="84"/>
      <c r="G45" s="80"/>
      <c r="J45" s="283" t="s">
        <v>516</v>
      </c>
      <c r="K45" s="283"/>
      <c r="L45" s="262">
        <v>0.01</v>
      </c>
      <c r="M45" s="16">
        <v>0.8</v>
      </c>
      <c r="Q45" s="248" t="s">
        <v>464</v>
      </c>
      <c r="R45" s="248" t="s">
        <v>390</v>
      </c>
    </row>
    <row r="46" spans="1:19" x14ac:dyDescent="0.2">
      <c r="A46" s="71" t="s">
        <v>103</v>
      </c>
      <c r="B46" s="85"/>
      <c r="C46" s="85"/>
      <c r="D46" s="85"/>
      <c r="E46" s="85"/>
      <c r="F46" s="86"/>
      <c r="G46" s="80"/>
      <c r="J46" s="283" t="s">
        <v>517</v>
      </c>
      <c r="K46" s="283"/>
      <c r="L46" s="262">
        <v>0.03</v>
      </c>
      <c r="M46" s="16">
        <v>0.4</v>
      </c>
      <c r="O46" s="283" t="s">
        <v>527</v>
      </c>
      <c r="P46" s="283"/>
      <c r="Q46" s="276">
        <v>4224467.22</v>
      </c>
      <c r="R46" s="248" t="s">
        <v>533</v>
      </c>
    </row>
    <row r="47" spans="1:19" x14ac:dyDescent="0.2">
      <c r="A47" s="34" t="s">
        <v>104</v>
      </c>
      <c r="B47" s="87"/>
      <c r="C47" s="87"/>
      <c r="D47" s="87"/>
      <c r="E47" s="87"/>
      <c r="F47" s="88"/>
      <c r="G47" s="80"/>
      <c r="K47" s="16" t="s">
        <v>520</v>
      </c>
      <c r="L47" s="16">
        <v>20000</v>
      </c>
      <c r="O47" s="283" t="s">
        <v>528</v>
      </c>
      <c r="P47" s="283"/>
      <c r="Q47" s="248">
        <f>4224467.22*2*40</f>
        <v>337957377.59999996</v>
      </c>
      <c r="R47" s="248" t="s">
        <v>535</v>
      </c>
    </row>
    <row r="48" spans="1:19" x14ac:dyDescent="0.2">
      <c r="O48" s="283" t="s">
        <v>529</v>
      </c>
      <c r="P48" s="283"/>
      <c r="Q48" s="276">
        <v>84375.14</v>
      </c>
      <c r="R48" s="248" t="s">
        <v>534</v>
      </c>
    </row>
    <row r="49" spans="1:18" x14ac:dyDescent="0.2">
      <c r="J49" s="16" t="s">
        <v>15</v>
      </c>
      <c r="K49" s="262">
        <v>0.02</v>
      </c>
      <c r="O49" s="283" t="s">
        <v>530</v>
      </c>
      <c r="P49" s="283"/>
      <c r="Q49" s="276">
        <v>5414607</v>
      </c>
      <c r="R49" s="248" t="s">
        <v>533</v>
      </c>
    </row>
    <row r="50" spans="1:18" x14ac:dyDescent="0.2">
      <c r="A50" s="32"/>
      <c r="B50" s="18" t="s">
        <v>119</v>
      </c>
      <c r="C50" s="18"/>
      <c r="D50" s="18"/>
      <c r="E50" s="18"/>
      <c r="F50" s="19"/>
      <c r="O50" s="283" t="s">
        <v>532</v>
      </c>
      <c r="P50" s="283"/>
      <c r="Q50" s="276">
        <f>5414607*2*40</f>
        <v>433168560</v>
      </c>
      <c r="R50" s="248" t="s">
        <v>535</v>
      </c>
    </row>
    <row r="51" spans="1:18" x14ac:dyDescent="0.2">
      <c r="A51" s="89" t="s">
        <v>88</v>
      </c>
      <c r="B51" s="21" t="s">
        <v>48</v>
      </c>
      <c r="C51" s="21" t="s">
        <v>89</v>
      </c>
      <c r="D51" s="21" t="s">
        <v>90</v>
      </c>
      <c r="E51" s="21" t="s">
        <v>91</v>
      </c>
      <c r="F51" s="22" t="s">
        <v>92</v>
      </c>
      <c r="O51" s="283" t="s">
        <v>531</v>
      </c>
      <c r="P51" s="283"/>
      <c r="Q51" s="276">
        <v>48731.46</v>
      </c>
      <c r="R51" s="248" t="s">
        <v>534</v>
      </c>
    </row>
    <row r="52" spans="1:18" x14ac:dyDescent="0.2">
      <c r="A52" s="26" t="s">
        <v>120</v>
      </c>
      <c r="B52" s="64"/>
      <c r="C52" s="64"/>
      <c r="D52" s="64"/>
      <c r="E52" s="64"/>
      <c r="F52" s="44"/>
    </row>
    <row r="53" spans="1:18" x14ac:dyDescent="0.2">
      <c r="A53" s="26" t="s">
        <v>98</v>
      </c>
      <c r="B53" s="64">
        <v>14000</v>
      </c>
      <c r="C53" s="64">
        <v>14000</v>
      </c>
      <c r="D53" s="64">
        <v>14000</v>
      </c>
      <c r="E53" s="64">
        <v>14000</v>
      </c>
      <c r="F53" s="64">
        <v>14000</v>
      </c>
      <c r="O53" s="283" t="s">
        <v>539</v>
      </c>
      <c r="P53" s="283"/>
      <c r="Q53" s="16">
        <f>4063478.56</f>
        <v>4063478.56</v>
      </c>
      <c r="R53" s="248" t="s">
        <v>533</v>
      </c>
    </row>
    <row r="54" spans="1:18" x14ac:dyDescent="0.2">
      <c r="A54" s="26" t="s">
        <v>121</v>
      </c>
      <c r="B54" s="64">
        <v>36000</v>
      </c>
      <c r="C54" s="64">
        <v>36000</v>
      </c>
      <c r="D54" s="64">
        <v>36000</v>
      </c>
      <c r="E54" s="64">
        <v>36000</v>
      </c>
      <c r="F54" s="64">
        <v>36000</v>
      </c>
      <c r="O54" s="283" t="s">
        <v>540</v>
      </c>
      <c r="P54" s="283"/>
      <c r="Q54" s="16">
        <f>Q53*2*40</f>
        <v>325078284.80000001</v>
      </c>
      <c r="R54" s="248" t="s">
        <v>535</v>
      </c>
    </row>
    <row r="55" spans="1:18" x14ac:dyDescent="0.2">
      <c r="A55" s="26" t="s">
        <v>122</v>
      </c>
      <c r="B55" s="64">
        <v>0</v>
      </c>
      <c r="C55" s="64">
        <v>0</v>
      </c>
      <c r="D55" s="64">
        <v>0</v>
      </c>
      <c r="E55" s="64">
        <v>0</v>
      </c>
      <c r="F55" s="64">
        <v>0</v>
      </c>
      <c r="O55" s="283" t="s">
        <v>541</v>
      </c>
      <c r="P55" s="283"/>
      <c r="Q55" s="16">
        <f>81187.56</f>
        <v>81187.56</v>
      </c>
      <c r="R55" s="248" t="s">
        <v>534</v>
      </c>
    </row>
    <row r="56" spans="1:18" x14ac:dyDescent="0.2">
      <c r="A56" s="26" t="s">
        <v>123</v>
      </c>
      <c r="B56" s="64">
        <f>9600*12</f>
        <v>115200</v>
      </c>
      <c r="C56" s="64">
        <f>9600*12</f>
        <v>115200</v>
      </c>
      <c r="D56" s="64">
        <f>9600*12</f>
        <v>115200</v>
      </c>
      <c r="E56" s="64">
        <f>9600*12</f>
        <v>115200</v>
      </c>
      <c r="F56" s="64">
        <f>9600*12</f>
        <v>115200</v>
      </c>
      <c r="O56" s="283" t="s">
        <v>542</v>
      </c>
      <c r="P56" s="283"/>
      <c r="Q56" s="16">
        <v>5256900</v>
      </c>
      <c r="R56" s="248" t="s">
        <v>533</v>
      </c>
    </row>
    <row r="57" spans="1:18" x14ac:dyDescent="0.2">
      <c r="A57" s="26" t="s">
        <v>101</v>
      </c>
      <c r="B57" s="64">
        <f>4000*12</f>
        <v>48000</v>
      </c>
      <c r="C57" s="64">
        <f>4000*12</f>
        <v>48000</v>
      </c>
      <c r="D57" s="64">
        <f>4000*12</f>
        <v>48000</v>
      </c>
      <c r="E57" s="64">
        <f>4000*12</f>
        <v>48000</v>
      </c>
      <c r="F57" s="64">
        <f>4000*12</f>
        <v>48000</v>
      </c>
      <c r="O57" s="283" t="s">
        <v>543</v>
      </c>
      <c r="P57" s="283"/>
      <c r="Q57" s="16">
        <f>Q56*2*40</f>
        <v>420552000</v>
      </c>
      <c r="R57" s="248" t="s">
        <v>535</v>
      </c>
    </row>
    <row r="58" spans="1:18" x14ac:dyDescent="0.2">
      <c r="A58" s="26" t="s">
        <v>15</v>
      </c>
      <c r="B58" s="64">
        <f>6500*12</f>
        <v>78000</v>
      </c>
      <c r="C58" s="64">
        <f>6500*12</f>
        <v>78000</v>
      </c>
      <c r="D58" s="64">
        <f>6500*12</f>
        <v>78000</v>
      </c>
      <c r="E58" s="64">
        <f>6500*12</f>
        <v>78000</v>
      </c>
      <c r="F58" s="64">
        <f>6500*12</f>
        <v>78000</v>
      </c>
      <c r="O58" s="283" t="s">
        <v>544</v>
      </c>
      <c r="P58" s="283"/>
      <c r="Q58" s="16">
        <f>104086.62</f>
        <v>104086.62</v>
      </c>
      <c r="R58" s="248" t="s">
        <v>534</v>
      </c>
    </row>
    <row r="59" spans="1:18" x14ac:dyDescent="0.2">
      <c r="A59" s="26"/>
      <c r="B59" s="46"/>
      <c r="C59" s="46"/>
      <c r="D59" s="46"/>
      <c r="E59" s="46"/>
      <c r="F59" s="49"/>
    </row>
    <row r="60" spans="1:18" x14ac:dyDescent="0.2">
      <c r="A60" s="24" t="s">
        <v>124</v>
      </c>
      <c r="B60" s="64">
        <f>SUM(B52:B58)</f>
        <v>291200</v>
      </c>
      <c r="C60" s="64">
        <f>SUM(C52:C58)</f>
        <v>291200</v>
      </c>
      <c r="D60" s="64">
        <f>SUM(D52:D58)</f>
        <v>291200</v>
      </c>
      <c r="E60" s="64">
        <f>SUM(E52:E58)</f>
        <v>291200</v>
      </c>
      <c r="F60" s="64">
        <f>SUM(F52:F58)</f>
        <v>291200</v>
      </c>
    </row>
    <row r="61" spans="1:18" x14ac:dyDescent="0.2">
      <c r="A61" s="24"/>
      <c r="B61" s="90"/>
      <c r="C61" s="90"/>
      <c r="D61" s="90"/>
      <c r="E61" s="90"/>
      <c r="F61" s="91"/>
      <c r="G61" s="80"/>
    </row>
    <row r="62" spans="1:18" x14ac:dyDescent="0.2">
      <c r="A62" s="71" t="s">
        <v>103</v>
      </c>
      <c r="B62" s="92">
        <v>0.84399999999999997</v>
      </c>
      <c r="C62" s="92">
        <v>0.83399999999999996</v>
      </c>
      <c r="D62" s="92">
        <v>0.83399999999999996</v>
      </c>
      <c r="E62" s="92">
        <v>0.83399999999999996</v>
      </c>
      <c r="F62" s="92">
        <v>0.83399999999999996</v>
      </c>
      <c r="G62" s="80"/>
    </row>
    <row r="63" spans="1:18" x14ac:dyDescent="0.2">
      <c r="A63" s="34" t="s">
        <v>104</v>
      </c>
      <c r="B63" s="87">
        <v>0.156</v>
      </c>
      <c r="C63" s="87">
        <v>0.156</v>
      </c>
      <c r="D63" s="87">
        <v>0.156</v>
      </c>
      <c r="E63" s="87">
        <v>0.156</v>
      </c>
      <c r="F63" s="87">
        <v>0.156</v>
      </c>
      <c r="G63" s="80"/>
    </row>
    <row r="66" spans="1:6" x14ac:dyDescent="0.2">
      <c r="A66" s="32"/>
      <c r="B66" s="18" t="s">
        <v>125</v>
      </c>
      <c r="C66" s="18"/>
      <c r="D66" s="18"/>
      <c r="E66" s="18"/>
      <c r="F66" s="19"/>
    </row>
    <row r="67" spans="1:6" x14ac:dyDescent="0.2">
      <c r="A67" s="89" t="s">
        <v>88</v>
      </c>
      <c r="B67" s="21" t="s">
        <v>48</v>
      </c>
      <c r="C67" s="21" t="s">
        <v>89</v>
      </c>
      <c r="D67" s="21" t="s">
        <v>90</v>
      </c>
      <c r="E67" s="21" t="s">
        <v>91</v>
      </c>
      <c r="F67" s="22" t="s">
        <v>92</v>
      </c>
    </row>
    <row r="68" spans="1:6" x14ac:dyDescent="0.2">
      <c r="A68" s="23" t="s">
        <v>126</v>
      </c>
      <c r="B68" s="62">
        <v>3139500</v>
      </c>
      <c r="C68" s="62">
        <v>3139500</v>
      </c>
      <c r="D68" s="62">
        <v>3139500</v>
      </c>
      <c r="E68" s="62">
        <v>3139500</v>
      </c>
      <c r="F68" s="62">
        <v>3139500</v>
      </c>
    </row>
    <row r="69" spans="1:6" x14ac:dyDescent="0.2">
      <c r="A69" s="26" t="s">
        <v>120</v>
      </c>
      <c r="B69" s="64"/>
      <c r="C69" s="64"/>
      <c r="D69" s="64"/>
      <c r="E69" s="64"/>
      <c r="F69" s="44"/>
    </row>
    <row r="70" spans="1:6" x14ac:dyDescent="0.2">
      <c r="A70" s="26" t="s">
        <v>98</v>
      </c>
      <c r="B70" s="64">
        <v>16700</v>
      </c>
      <c r="C70" s="64">
        <v>16700</v>
      </c>
      <c r="D70" s="64">
        <v>16700</v>
      </c>
      <c r="E70" s="64">
        <v>16700</v>
      </c>
      <c r="F70" s="64">
        <v>16700</v>
      </c>
    </row>
    <row r="71" spans="1:6" x14ac:dyDescent="0.2">
      <c r="A71" s="26" t="s">
        <v>127</v>
      </c>
      <c r="B71" s="64">
        <v>5600</v>
      </c>
      <c r="C71" s="64">
        <v>5600</v>
      </c>
      <c r="D71" s="64">
        <v>5600</v>
      </c>
      <c r="E71" s="64">
        <v>5600</v>
      </c>
      <c r="F71" s="64">
        <v>5600</v>
      </c>
    </row>
    <row r="72" spans="1:6" x14ac:dyDescent="0.2">
      <c r="A72" s="26" t="s">
        <v>122</v>
      </c>
      <c r="B72" s="64">
        <v>4800</v>
      </c>
      <c r="C72" s="64">
        <v>4800</v>
      </c>
      <c r="D72" s="64">
        <v>4800</v>
      </c>
      <c r="E72" s="64">
        <v>4800</v>
      </c>
      <c r="F72" s="64">
        <v>4800</v>
      </c>
    </row>
    <row r="73" spans="1:6" x14ac:dyDescent="0.2">
      <c r="A73" s="26" t="s">
        <v>123</v>
      </c>
      <c r="B73" s="64">
        <v>136300</v>
      </c>
      <c r="C73" s="64">
        <v>136300</v>
      </c>
      <c r="D73" s="64">
        <v>136300</v>
      </c>
      <c r="E73" s="64">
        <v>136300</v>
      </c>
      <c r="F73" s="64">
        <v>136300</v>
      </c>
    </row>
    <row r="74" spans="1:6" x14ac:dyDescent="0.2">
      <c r="A74" s="26" t="s">
        <v>101</v>
      </c>
      <c r="B74" s="64">
        <v>5400</v>
      </c>
      <c r="C74" s="64">
        <v>5400</v>
      </c>
      <c r="D74" s="64">
        <v>5400</v>
      </c>
      <c r="E74" s="64">
        <v>5400</v>
      </c>
      <c r="F74" s="64">
        <v>5400</v>
      </c>
    </row>
    <row r="75" spans="1:6" x14ac:dyDescent="0.2">
      <c r="A75" s="26" t="s">
        <v>15</v>
      </c>
      <c r="B75" s="64">
        <v>63000</v>
      </c>
      <c r="C75" s="64">
        <v>63000</v>
      </c>
      <c r="D75" s="64">
        <v>63000</v>
      </c>
      <c r="E75" s="64">
        <v>63000</v>
      </c>
      <c r="F75" s="64">
        <v>63000</v>
      </c>
    </row>
    <row r="76" spans="1:6" x14ac:dyDescent="0.2">
      <c r="A76" s="26"/>
      <c r="B76" s="46"/>
      <c r="C76" s="46"/>
      <c r="D76" s="46"/>
      <c r="E76" s="46"/>
      <c r="F76" s="49"/>
    </row>
    <row r="77" spans="1:6" x14ac:dyDescent="0.2">
      <c r="A77" s="24" t="s">
        <v>128</v>
      </c>
      <c r="B77" s="64">
        <f>SUM(B68:B75)</f>
        <v>3371300</v>
      </c>
      <c r="C77" s="64">
        <f>SUM(C68:C75)</f>
        <v>3371300</v>
      </c>
      <c r="D77" s="64">
        <f>SUM(D68:D75)</f>
        <v>3371300</v>
      </c>
      <c r="E77" s="64">
        <f>SUM(E68:E75)</f>
        <v>3371300</v>
      </c>
      <c r="F77" s="64">
        <f>SUM(F68:F75)</f>
        <v>3371300</v>
      </c>
    </row>
    <row r="78" spans="1:6" x14ac:dyDescent="0.2">
      <c r="A78" s="24"/>
      <c r="B78" s="90"/>
      <c r="C78" s="90"/>
      <c r="D78" s="90"/>
      <c r="E78" s="90"/>
      <c r="F78" s="91"/>
    </row>
    <row r="79" spans="1:6" x14ac:dyDescent="0.2">
      <c r="A79" s="71" t="s">
        <v>103</v>
      </c>
      <c r="B79" s="92">
        <v>0.76</v>
      </c>
      <c r="C79" s="92">
        <v>0.76</v>
      </c>
      <c r="D79" s="92">
        <v>0.76</v>
      </c>
      <c r="E79" s="92">
        <v>0.76</v>
      </c>
      <c r="F79" s="92">
        <v>0.76</v>
      </c>
    </row>
    <row r="80" spans="1:6" x14ac:dyDescent="0.2">
      <c r="A80" s="34" t="s">
        <v>104</v>
      </c>
      <c r="B80" s="87">
        <v>0.34</v>
      </c>
      <c r="C80" s="87">
        <v>0.34</v>
      </c>
      <c r="D80" s="87">
        <v>0.34</v>
      </c>
      <c r="E80" s="87">
        <v>0.34</v>
      </c>
      <c r="F80" s="87">
        <v>0.34</v>
      </c>
    </row>
    <row r="83" spans="1:6" ht="15.75" x14ac:dyDescent="0.25">
      <c r="A83" s="94" t="s">
        <v>129</v>
      </c>
      <c r="B83" s="95"/>
      <c r="C83" s="95"/>
      <c r="D83" s="95"/>
      <c r="E83" s="95"/>
      <c r="F83" s="96"/>
    </row>
    <row r="84" spans="1:6" x14ac:dyDescent="0.2">
      <c r="A84" s="26"/>
      <c r="B84" s="60" t="s">
        <v>48</v>
      </c>
      <c r="C84" s="60" t="s">
        <v>89</v>
      </c>
      <c r="D84" s="60" t="s">
        <v>90</v>
      </c>
      <c r="E84" s="60" t="s">
        <v>91</v>
      </c>
      <c r="F84" s="22" t="s">
        <v>92</v>
      </c>
    </row>
    <row r="85" spans="1:6" x14ac:dyDescent="0.2">
      <c r="A85" s="26" t="s">
        <v>130</v>
      </c>
      <c r="B85" s="97"/>
      <c r="C85" s="97"/>
      <c r="D85" s="97"/>
      <c r="E85" s="97"/>
      <c r="F85" s="98"/>
    </row>
    <row r="86" spans="1:6" x14ac:dyDescent="0.2">
      <c r="A86" s="26" t="s">
        <v>131</v>
      </c>
      <c r="B86" s="64"/>
      <c r="C86" s="64"/>
      <c r="D86" s="64"/>
      <c r="E86" s="64"/>
      <c r="F86" s="65"/>
    </row>
    <row r="87" spans="1:6" x14ac:dyDescent="0.2">
      <c r="A87" s="24" t="s">
        <v>132</v>
      </c>
      <c r="B87" s="64"/>
      <c r="C87" s="64"/>
      <c r="D87" s="64"/>
      <c r="E87" s="64"/>
      <c r="F87" s="65"/>
    </row>
    <row r="88" spans="1:6" x14ac:dyDescent="0.2">
      <c r="A88" s="26"/>
      <c r="B88" s="90"/>
      <c r="C88" s="90"/>
      <c r="D88" s="90"/>
      <c r="E88" s="90"/>
      <c r="F88" s="91"/>
    </row>
    <row r="89" spans="1:6" x14ac:dyDescent="0.2">
      <c r="A89" s="26" t="s">
        <v>133</v>
      </c>
      <c r="B89" s="64"/>
      <c r="C89" s="64"/>
      <c r="D89" s="64"/>
      <c r="E89" s="64"/>
      <c r="F89" s="65"/>
    </row>
    <row r="90" spans="1:6" x14ac:dyDescent="0.2">
      <c r="A90" s="26" t="s">
        <v>94</v>
      </c>
      <c r="B90" s="64"/>
      <c r="C90" s="64"/>
      <c r="D90" s="64"/>
      <c r="E90" s="64"/>
      <c r="F90" s="65"/>
    </row>
    <row r="91" spans="1:6" x14ac:dyDescent="0.2">
      <c r="A91" s="26" t="s">
        <v>134</v>
      </c>
      <c r="B91" s="64"/>
      <c r="C91" s="64"/>
      <c r="D91" s="64"/>
      <c r="E91" s="64"/>
      <c r="F91" s="65"/>
    </row>
    <row r="92" spans="1:6" x14ac:dyDescent="0.2">
      <c r="A92" s="26"/>
      <c r="B92" s="90"/>
      <c r="C92" s="90"/>
      <c r="D92" s="90"/>
      <c r="E92" s="90"/>
      <c r="F92" s="91"/>
    </row>
    <row r="93" spans="1:6" x14ac:dyDescent="0.2">
      <c r="A93" s="26" t="s">
        <v>135</v>
      </c>
      <c r="B93" s="99"/>
      <c r="C93" s="99"/>
      <c r="D93" s="99"/>
      <c r="E93" s="99"/>
      <c r="F93" s="100"/>
    </row>
    <row r="94" spans="1:6" x14ac:dyDescent="0.2">
      <c r="A94" s="26"/>
      <c r="B94" s="90"/>
      <c r="C94" s="90"/>
      <c r="D94" s="90"/>
      <c r="E94" s="90"/>
      <c r="F94" s="91"/>
    </row>
    <row r="95" spans="1:6" x14ac:dyDescent="0.2">
      <c r="A95" s="26" t="s">
        <v>114</v>
      </c>
      <c r="B95" s="90"/>
      <c r="C95" s="90"/>
      <c r="D95" s="90"/>
      <c r="E95" s="90"/>
      <c r="F95" s="91"/>
    </row>
    <row r="96" spans="1:6" x14ac:dyDescent="0.2">
      <c r="A96" s="28" t="s">
        <v>107</v>
      </c>
      <c r="B96" s="64"/>
      <c r="C96" s="64"/>
      <c r="D96" s="64"/>
      <c r="E96" s="64"/>
      <c r="F96" s="65"/>
    </row>
    <row r="97" spans="1:6" x14ac:dyDescent="0.2">
      <c r="A97" s="28" t="s">
        <v>116</v>
      </c>
      <c r="B97" s="64"/>
      <c r="C97" s="64"/>
      <c r="D97" s="64"/>
      <c r="E97" s="64"/>
      <c r="F97" s="65"/>
    </row>
    <row r="98" spans="1:6" x14ac:dyDescent="0.2">
      <c r="A98" s="26"/>
      <c r="B98" s="90"/>
      <c r="C98" s="90"/>
      <c r="D98" s="90"/>
      <c r="E98" s="90"/>
      <c r="F98" s="91"/>
    </row>
    <row r="99" spans="1:6" x14ac:dyDescent="0.2">
      <c r="A99" s="24" t="s">
        <v>136</v>
      </c>
      <c r="B99" s="64"/>
      <c r="C99" s="64"/>
      <c r="D99" s="64"/>
      <c r="E99" s="64"/>
      <c r="F99" s="65"/>
    </row>
    <row r="100" spans="1:6" x14ac:dyDescent="0.2">
      <c r="A100" s="28" t="s">
        <v>137</v>
      </c>
      <c r="B100" s="99"/>
      <c r="C100" s="99"/>
      <c r="D100" s="99"/>
      <c r="E100" s="99"/>
      <c r="F100" s="100"/>
    </row>
    <row r="101" spans="1:6" x14ac:dyDescent="0.2">
      <c r="A101" s="26" t="s">
        <v>138</v>
      </c>
      <c r="B101" s="64"/>
      <c r="C101" s="64"/>
      <c r="D101" s="64"/>
      <c r="E101" s="64"/>
      <c r="F101" s="65"/>
    </row>
    <row r="102" spans="1:6" x14ac:dyDescent="0.2">
      <c r="A102" s="26"/>
      <c r="B102" s="101"/>
      <c r="C102" s="101"/>
      <c r="D102" s="101"/>
      <c r="E102" s="101"/>
      <c r="F102" s="102"/>
    </row>
    <row r="103" spans="1:6" x14ac:dyDescent="0.2">
      <c r="A103" s="26" t="s">
        <v>114</v>
      </c>
      <c r="B103" s="101"/>
      <c r="C103" s="101"/>
      <c r="D103" s="101"/>
      <c r="E103" s="101"/>
      <c r="F103" s="102"/>
    </row>
    <row r="104" spans="1:6" x14ac:dyDescent="0.2">
      <c r="A104" s="26" t="s">
        <v>139</v>
      </c>
      <c r="B104" s="64"/>
      <c r="C104" s="64"/>
      <c r="D104" s="64"/>
      <c r="E104" s="64"/>
      <c r="F104" s="65"/>
    </row>
    <row r="105" spans="1:6" x14ac:dyDescent="0.2">
      <c r="A105" s="26"/>
      <c r="B105" s="101"/>
      <c r="C105" s="101"/>
      <c r="D105" s="101"/>
      <c r="E105" s="101"/>
      <c r="F105" s="102"/>
    </row>
    <row r="106" spans="1:6" x14ac:dyDescent="0.2">
      <c r="A106" s="24" t="s">
        <v>140</v>
      </c>
      <c r="B106" s="64"/>
      <c r="C106" s="64"/>
      <c r="D106" s="64"/>
      <c r="E106" s="64"/>
      <c r="F106" s="65"/>
    </row>
    <row r="107" spans="1:6" x14ac:dyDescent="0.2">
      <c r="A107" s="26"/>
      <c r="B107" s="90"/>
      <c r="C107" s="90"/>
      <c r="D107" s="90"/>
      <c r="E107" s="90"/>
      <c r="F107" s="91"/>
    </row>
    <row r="108" spans="1:6" x14ac:dyDescent="0.2">
      <c r="A108" s="24" t="s">
        <v>141</v>
      </c>
      <c r="B108" s="64"/>
      <c r="C108" s="64"/>
      <c r="D108" s="64"/>
      <c r="E108" s="64"/>
      <c r="F108" s="65"/>
    </row>
    <row r="109" spans="1:6" x14ac:dyDescent="0.2">
      <c r="A109" s="24" t="s">
        <v>142</v>
      </c>
      <c r="B109" s="99"/>
      <c r="C109" s="99"/>
      <c r="D109" s="99"/>
      <c r="E109" s="99"/>
      <c r="F109" s="100"/>
    </row>
    <row r="110" spans="1:6" x14ac:dyDescent="0.2">
      <c r="A110" s="26"/>
      <c r="B110" s="101"/>
      <c r="C110" s="101"/>
      <c r="D110" s="101"/>
      <c r="E110" s="101"/>
      <c r="F110" s="102"/>
    </row>
    <row r="111" spans="1:6" x14ac:dyDescent="0.2">
      <c r="A111" s="24" t="s">
        <v>143</v>
      </c>
      <c r="B111" s="99"/>
      <c r="C111" s="99"/>
      <c r="D111" s="99"/>
      <c r="E111" s="99"/>
      <c r="F111" s="100"/>
    </row>
    <row r="112" spans="1:6" x14ac:dyDescent="0.2">
      <c r="A112" s="26"/>
      <c r="B112" s="101"/>
      <c r="C112" s="101"/>
      <c r="D112" s="101"/>
      <c r="E112" s="101"/>
      <c r="F112" s="102"/>
    </row>
    <row r="113" spans="1:6" x14ac:dyDescent="0.2">
      <c r="A113" s="24" t="s">
        <v>144</v>
      </c>
      <c r="B113" s="99"/>
      <c r="C113" s="99"/>
      <c r="D113" s="99"/>
      <c r="E113" s="99"/>
      <c r="F113" s="100"/>
    </row>
    <row r="114" spans="1:6" x14ac:dyDescent="0.2">
      <c r="A114" s="26"/>
      <c r="B114" s="101"/>
      <c r="C114" s="101"/>
      <c r="D114" s="101"/>
      <c r="E114" s="101"/>
      <c r="F114" s="102"/>
    </row>
    <row r="115" spans="1:6" x14ac:dyDescent="0.2">
      <c r="A115" s="24" t="s">
        <v>145</v>
      </c>
      <c r="B115" s="99"/>
      <c r="C115" s="99"/>
      <c r="D115" s="99"/>
      <c r="E115" s="99"/>
      <c r="F115" s="100"/>
    </row>
    <row r="116" spans="1:6" x14ac:dyDescent="0.2">
      <c r="A116" s="24" t="s">
        <v>3</v>
      </c>
      <c r="B116" s="99"/>
      <c r="C116" s="99"/>
      <c r="D116" s="99"/>
      <c r="E116" s="99"/>
      <c r="F116" s="100"/>
    </row>
    <row r="117" spans="1:6" x14ac:dyDescent="0.2">
      <c r="A117" s="45" t="s">
        <v>146</v>
      </c>
      <c r="B117" s="99"/>
      <c r="C117" s="99"/>
      <c r="D117" s="99"/>
      <c r="E117" s="99"/>
      <c r="F117" s="100"/>
    </row>
    <row r="118" spans="1:6" x14ac:dyDescent="0.2">
      <c r="A118" s="24"/>
      <c r="B118" s="101"/>
      <c r="C118" s="101"/>
      <c r="D118" s="101"/>
      <c r="E118" s="101"/>
      <c r="F118" s="102"/>
    </row>
    <row r="119" spans="1:6" x14ac:dyDescent="0.2">
      <c r="A119" s="45" t="s">
        <v>147</v>
      </c>
      <c r="B119" s="99"/>
      <c r="C119" s="99"/>
      <c r="D119" s="99"/>
      <c r="E119" s="99"/>
      <c r="F119" s="100"/>
    </row>
    <row r="120" spans="1:6" x14ac:dyDescent="0.2">
      <c r="A120" s="24" t="s">
        <v>148</v>
      </c>
      <c r="B120" s="103"/>
      <c r="C120" s="103"/>
      <c r="D120" s="103"/>
      <c r="E120" s="103"/>
      <c r="F120" s="104"/>
    </row>
    <row r="121" spans="1:6" x14ac:dyDescent="0.2">
      <c r="A121" s="24"/>
      <c r="B121" s="105"/>
      <c r="C121" s="105"/>
      <c r="D121" s="105"/>
      <c r="E121" s="105"/>
      <c r="F121" s="106"/>
    </row>
    <row r="122" spans="1:6" x14ac:dyDescent="0.2">
      <c r="A122" s="24" t="s">
        <v>149</v>
      </c>
      <c r="B122" s="103"/>
      <c r="C122" s="103"/>
      <c r="D122" s="103"/>
      <c r="E122" s="103"/>
      <c r="F122" s="104"/>
    </row>
    <row r="123" spans="1:6" x14ac:dyDescent="0.2">
      <c r="A123" s="45" t="s">
        <v>150</v>
      </c>
      <c r="B123" s="103"/>
      <c r="C123" s="103"/>
      <c r="D123" s="103"/>
      <c r="E123" s="103"/>
      <c r="F123" s="104"/>
    </row>
    <row r="124" spans="1:6" x14ac:dyDescent="0.2">
      <c r="A124" s="24" t="s">
        <v>151</v>
      </c>
      <c r="B124" s="103"/>
      <c r="C124" s="103"/>
      <c r="D124" s="103"/>
      <c r="E124" s="103"/>
      <c r="F124" s="104"/>
    </row>
    <row r="125" spans="1:6" x14ac:dyDescent="0.2">
      <c r="A125" s="34" t="s">
        <v>152</v>
      </c>
      <c r="B125" s="103"/>
      <c r="C125" s="103"/>
      <c r="D125" s="103"/>
      <c r="E125" s="103"/>
      <c r="F125" s="104"/>
    </row>
    <row r="126" spans="1:6" x14ac:dyDescent="0.2">
      <c r="A126" s="24"/>
      <c r="B126" s="29"/>
      <c r="C126" s="29"/>
      <c r="D126" s="29"/>
      <c r="E126" s="29"/>
      <c r="F126" s="107"/>
    </row>
    <row r="127" spans="1:6" x14ac:dyDescent="0.2">
      <c r="A127" s="24" t="s">
        <v>153</v>
      </c>
      <c r="B127" s="27"/>
      <c r="C127" s="27"/>
      <c r="D127" s="27"/>
      <c r="E127" s="27"/>
      <c r="F127" s="44"/>
    </row>
    <row r="128" spans="1:6" x14ac:dyDescent="0.2">
      <c r="A128" s="45" t="s">
        <v>154</v>
      </c>
      <c r="B128" s="27"/>
      <c r="C128" s="27"/>
      <c r="D128" s="27"/>
      <c r="E128" s="27"/>
      <c r="F128" s="44"/>
    </row>
    <row r="129" spans="1:6" x14ac:dyDescent="0.2">
      <c r="A129" s="24" t="s">
        <v>155</v>
      </c>
      <c r="B129" s="27"/>
      <c r="C129" s="27"/>
      <c r="D129" s="27"/>
      <c r="E129" s="27"/>
      <c r="F129" s="44"/>
    </row>
    <row r="130" spans="1:6" x14ac:dyDescent="0.2">
      <c r="A130" s="45" t="s">
        <v>156</v>
      </c>
      <c r="B130" s="27"/>
      <c r="C130" s="27"/>
      <c r="D130" s="27"/>
      <c r="E130" s="27"/>
      <c r="F130" s="44"/>
    </row>
    <row r="131" spans="1:6" x14ac:dyDescent="0.2">
      <c r="A131" s="24" t="s">
        <v>157</v>
      </c>
      <c r="B131" s="27"/>
      <c r="C131" s="27"/>
      <c r="D131" s="27"/>
      <c r="E131" s="27"/>
      <c r="F131" s="44"/>
    </row>
    <row r="132" spans="1:6" x14ac:dyDescent="0.2">
      <c r="A132" s="45" t="s">
        <v>158</v>
      </c>
      <c r="B132" s="27"/>
      <c r="C132" s="27"/>
      <c r="D132" s="27"/>
      <c r="E132" s="27"/>
      <c r="F132" s="44"/>
    </row>
    <row r="133" spans="1:6" x14ac:dyDescent="0.2">
      <c r="A133" s="24" t="s">
        <v>159</v>
      </c>
      <c r="B133" s="27"/>
      <c r="C133" s="27"/>
      <c r="D133" s="27"/>
      <c r="E133" s="27"/>
      <c r="F133" s="44"/>
    </row>
    <row r="134" spans="1:6" x14ac:dyDescent="0.2">
      <c r="A134" s="34" t="s">
        <v>160</v>
      </c>
      <c r="B134" s="31"/>
      <c r="C134" s="31"/>
      <c r="D134" s="31"/>
      <c r="E134" s="31"/>
      <c r="F134" s="54"/>
    </row>
    <row r="135" spans="1:6" ht="15.75" x14ac:dyDescent="0.25">
      <c r="A135" s="108" t="s">
        <v>161</v>
      </c>
    </row>
  </sheetData>
  <sheetProtection selectLockedCells="1" selectUnlockedCells="1"/>
  <mergeCells count="30">
    <mergeCell ref="O37:P37"/>
    <mergeCell ref="J12:L12"/>
    <mergeCell ref="J22:K22"/>
    <mergeCell ref="J21:K21"/>
    <mergeCell ref="J20:K20"/>
    <mergeCell ref="J19:K19"/>
    <mergeCell ref="J18:K18"/>
    <mergeCell ref="J17:K17"/>
    <mergeCell ref="J16:K16"/>
    <mergeCell ref="J15:K15"/>
    <mergeCell ref="J14:K14"/>
    <mergeCell ref="J25:K25"/>
    <mergeCell ref="O35:P35"/>
    <mergeCell ref="O36:P36"/>
    <mergeCell ref="O58:P58"/>
    <mergeCell ref="J46:K46"/>
    <mergeCell ref="J45:K45"/>
    <mergeCell ref="J44:K44"/>
    <mergeCell ref="J43:K43"/>
    <mergeCell ref="O51:P51"/>
    <mergeCell ref="O50:P50"/>
    <mergeCell ref="O49:P49"/>
    <mergeCell ref="O48:P48"/>
    <mergeCell ref="O47:P47"/>
    <mergeCell ref="O46:P46"/>
    <mergeCell ref="O53:P53"/>
    <mergeCell ref="O54:P54"/>
    <mergeCell ref="O55:P55"/>
    <mergeCell ref="O56:P56"/>
    <mergeCell ref="O57:P57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E1" sqref="E1"/>
    </sheetView>
  </sheetViews>
  <sheetFormatPr defaultColWidth="11.42578125" defaultRowHeight="12.75" x14ac:dyDescent="0.2"/>
  <cols>
    <col min="1" max="1" width="45.5703125" style="16" customWidth="1"/>
    <col min="2" max="7" width="14.8554687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E1" s="2">
        <f>InfoInicial!E1</f>
        <v>1</v>
      </c>
    </row>
    <row r="2" spans="1:7" x14ac:dyDescent="0.2">
      <c r="A2" s="1"/>
      <c r="B2"/>
      <c r="C2"/>
      <c r="D2"/>
      <c r="E2" s="109"/>
    </row>
    <row r="3" spans="1:7" ht="15.75" x14ac:dyDescent="0.25">
      <c r="A3" s="56" t="s">
        <v>162</v>
      </c>
      <c r="B3" s="57"/>
      <c r="C3" s="57"/>
      <c r="D3" s="57"/>
      <c r="E3" s="57"/>
      <c r="F3" s="57"/>
      <c r="G3" s="58"/>
    </row>
    <row r="4" spans="1:7" x14ac:dyDescent="0.2">
      <c r="A4" s="59" t="s">
        <v>88</v>
      </c>
      <c r="B4" s="21" t="s">
        <v>47</v>
      </c>
      <c r="C4" s="21" t="s">
        <v>48</v>
      </c>
      <c r="D4" s="21" t="s">
        <v>89</v>
      </c>
      <c r="E4" s="21" t="s">
        <v>90</v>
      </c>
      <c r="F4" s="21" t="s">
        <v>91</v>
      </c>
      <c r="G4" s="22" t="s">
        <v>92</v>
      </c>
    </row>
    <row r="5" spans="1:7" x14ac:dyDescent="0.2">
      <c r="A5" s="110" t="s">
        <v>163</v>
      </c>
      <c r="B5" s="111"/>
      <c r="C5" s="111"/>
      <c r="D5" s="111"/>
      <c r="E5" s="111"/>
      <c r="F5" s="111"/>
      <c r="G5" s="112"/>
    </row>
    <row r="6" spans="1:7" x14ac:dyDescent="0.2">
      <c r="A6" s="110" t="s">
        <v>164</v>
      </c>
      <c r="B6" s="64"/>
      <c r="C6" s="64"/>
      <c r="D6" s="64"/>
      <c r="E6" s="64"/>
      <c r="F6" s="64"/>
      <c r="G6" s="65"/>
    </row>
    <row r="7" spans="1:7" x14ac:dyDescent="0.2">
      <c r="A7" s="110" t="s">
        <v>165</v>
      </c>
      <c r="B7" s="64"/>
      <c r="C7" s="64"/>
      <c r="D7" s="64"/>
      <c r="E7" s="64"/>
      <c r="F7" s="64"/>
      <c r="G7" s="65"/>
    </row>
    <row r="8" spans="1:7" x14ac:dyDescent="0.2">
      <c r="A8" s="113"/>
      <c r="B8" s="90"/>
      <c r="C8" s="90"/>
      <c r="D8" s="90"/>
      <c r="E8" s="90"/>
      <c r="F8" s="90"/>
      <c r="G8" s="91"/>
    </row>
    <row r="9" spans="1:7" x14ac:dyDescent="0.2">
      <c r="A9" s="110" t="s">
        <v>166</v>
      </c>
      <c r="B9" s="90"/>
      <c r="C9" s="90"/>
      <c r="D9" s="90"/>
      <c r="E9" s="90"/>
      <c r="F9" s="90"/>
      <c r="G9" s="91"/>
    </row>
    <row r="10" spans="1:7" x14ac:dyDescent="0.2">
      <c r="A10" s="113" t="s">
        <v>167</v>
      </c>
      <c r="B10" s="64"/>
      <c r="C10" s="64"/>
      <c r="D10" s="64"/>
      <c r="E10" s="64"/>
      <c r="F10" s="64"/>
      <c r="G10" s="65"/>
    </row>
    <row r="11" spans="1:7" x14ac:dyDescent="0.2">
      <c r="A11" s="113" t="s">
        <v>168</v>
      </c>
      <c r="B11" s="64"/>
      <c r="C11" s="64"/>
      <c r="D11" s="64"/>
      <c r="E11" s="64"/>
      <c r="F11" s="64"/>
      <c r="G11" s="65"/>
    </row>
    <row r="12" spans="1:7" x14ac:dyDescent="0.2">
      <c r="A12" s="113" t="s">
        <v>169</v>
      </c>
      <c r="B12" s="64"/>
      <c r="C12" s="64"/>
      <c r="D12" s="64"/>
      <c r="E12" s="64"/>
      <c r="F12" s="64"/>
      <c r="G12" s="65"/>
    </row>
    <row r="13" spans="1:7" x14ac:dyDescent="0.2">
      <c r="A13" s="113" t="s">
        <v>170</v>
      </c>
      <c r="B13" s="64"/>
      <c r="C13" s="64"/>
      <c r="D13" s="64"/>
      <c r="E13" s="64"/>
      <c r="F13" s="64"/>
      <c r="G13" s="65"/>
    </row>
    <row r="14" spans="1:7" x14ac:dyDescent="0.2">
      <c r="A14" s="113"/>
      <c r="B14" s="90"/>
      <c r="C14" s="90"/>
      <c r="D14" s="90"/>
      <c r="E14" s="90"/>
      <c r="F14" s="90"/>
      <c r="G14" s="91"/>
    </row>
    <row r="15" spans="1:7" x14ac:dyDescent="0.2">
      <c r="A15" s="110" t="s">
        <v>171</v>
      </c>
      <c r="B15" s="64"/>
      <c r="C15" s="64"/>
      <c r="D15" s="64"/>
      <c r="E15" s="64"/>
      <c r="F15" s="64"/>
      <c r="G15" s="65"/>
    </row>
    <row r="16" spans="1:7" x14ac:dyDescent="0.2">
      <c r="A16" s="110" t="s">
        <v>172</v>
      </c>
      <c r="B16" s="90"/>
      <c r="C16" s="90"/>
      <c r="D16" s="90"/>
      <c r="E16" s="90"/>
      <c r="F16" s="90"/>
      <c r="G16" s="91"/>
    </row>
    <row r="17" spans="1:7" x14ac:dyDescent="0.2">
      <c r="A17" s="113" t="s">
        <v>173</v>
      </c>
      <c r="B17" s="64"/>
      <c r="C17" s="64"/>
      <c r="D17" s="64"/>
      <c r="E17" s="64"/>
      <c r="F17" s="64"/>
      <c r="G17" s="65"/>
    </row>
    <row r="18" spans="1:7" x14ac:dyDescent="0.2">
      <c r="A18" s="113" t="s">
        <v>174</v>
      </c>
      <c r="B18" s="64"/>
      <c r="C18" s="64"/>
      <c r="D18" s="64"/>
      <c r="E18" s="64"/>
      <c r="F18" s="64"/>
      <c r="G18" s="65"/>
    </row>
    <row r="19" spans="1:7" x14ac:dyDescent="0.2">
      <c r="A19" s="113" t="s">
        <v>175</v>
      </c>
      <c r="B19" s="64"/>
      <c r="C19" s="64"/>
      <c r="D19" s="64"/>
      <c r="E19" s="64"/>
      <c r="F19" s="64"/>
      <c r="G19" s="65"/>
    </row>
    <row r="20" spans="1:7" x14ac:dyDescent="0.2">
      <c r="A20" s="113" t="s">
        <v>176</v>
      </c>
      <c r="B20" s="64"/>
      <c r="C20" s="64"/>
      <c r="D20" s="64"/>
      <c r="E20" s="64"/>
      <c r="F20" s="64"/>
      <c r="G20" s="65"/>
    </row>
    <row r="21" spans="1:7" x14ac:dyDescent="0.2">
      <c r="A21" s="113"/>
      <c r="B21" s="90"/>
      <c r="C21" s="90"/>
      <c r="D21" s="90"/>
      <c r="E21" s="90"/>
      <c r="F21" s="90"/>
      <c r="G21" s="91"/>
    </row>
    <row r="22" spans="1:7" x14ac:dyDescent="0.2">
      <c r="A22" s="110" t="s">
        <v>177</v>
      </c>
      <c r="B22" s="64"/>
      <c r="C22" s="64"/>
      <c r="D22" s="64"/>
      <c r="E22" s="64"/>
      <c r="F22" s="64"/>
      <c r="G22" s="65"/>
    </row>
    <row r="23" spans="1:7" x14ac:dyDescent="0.2">
      <c r="A23" s="113"/>
      <c r="B23" s="90"/>
      <c r="C23" s="90"/>
      <c r="D23" s="90"/>
      <c r="E23" s="90"/>
      <c r="F23" s="90"/>
      <c r="G23" s="91"/>
    </row>
    <row r="24" spans="1:7" x14ac:dyDescent="0.2">
      <c r="A24" s="110" t="s">
        <v>178</v>
      </c>
      <c r="B24" s="64"/>
      <c r="C24" s="64"/>
      <c r="D24" s="64"/>
      <c r="E24" s="64"/>
      <c r="F24" s="64"/>
      <c r="G24" s="65"/>
    </row>
    <row r="25" spans="1:7" x14ac:dyDescent="0.2">
      <c r="A25" s="110" t="s">
        <v>179</v>
      </c>
      <c r="B25" s="64"/>
      <c r="C25" s="64"/>
      <c r="D25" s="64"/>
      <c r="E25" s="64"/>
      <c r="F25" s="64"/>
      <c r="G25" s="65"/>
    </row>
    <row r="26" spans="1:7" x14ac:dyDescent="0.2">
      <c r="A26" s="113"/>
      <c r="B26" s="90"/>
      <c r="C26" s="90"/>
      <c r="D26" s="90"/>
      <c r="E26" s="90"/>
      <c r="F26" s="90"/>
      <c r="G26" s="91"/>
    </row>
    <row r="27" spans="1:7" x14ac:dyDescent="0.2">
      <c r="A27" s="110" t="s">
        <v>180</v>
      </c>
      <c r="B27" s="90"/>
      <c r="C27" s="90"/>
      <c r="D27" s="90"/>
      <c r="E27" s="90"/>
      <c r="F27" s="90"/>
      <c r="G27" s="91"/>
    </row>
    <row r="28" spans="1:7" x14ac:dyDescent="0.2">
      <c r="A28" s="113" t="s">
        <v>181</v>
      </c>
      <c r="B28" s="64"/>
      <c r="C28" s="64"/>
      <c r="D28" s="64"/>
      <c r="E28" s="64"/>
      <c r="F28" s="64"/>
      <c r="G28" s="65"/>
    </row>
    <row r="29" spans="1:7" x14ac:dyDescent="0.2">
      <c r="A29" s="113" t="s">
        <v>182</v>
      </c>
      <c r="B29" s="64"/>
      <c r="C29" s="64"/>
      <c r="D29" s="64"/>
      <c r="E29" s="64"/>
      <c r="F29" s="64"/>
      <c r="G29" s="65"/>
    </row>
    <row r="30" spans="1:7" x14ac:dyDescent="0.2">
      <c r="A30" s="113" t="s">
        <v>183</v>
      </c>
      <c r="B30" s="64"/>
      <c r="C30" s="64"/>
      <c r="D30" s="64"/>
      <c r="E30" s="64"/>
      <c r="F30" s="64"/>
      <c r="G30" s="65"/>
    </row>
    <row r="31" spans="1:7" x14ac:dyDescent="0.2">
      <c r="A31" s="113" t="s">
        <v>184</v>
      </c>
      <c r="B31" s="64"/>
      <c r="C31" s="64"/>
      <c r="D31" s="64"/>
      <c r="E31" s="64"/>
      <c r="F31" s="64"/>
      <c r="G31" s="65"/>
    </row>
    <row r="32" spans="1:7" x14ac:dyDescent="0.2">
      <c r="A32" s="113" t="s">
        <v>185</v>
      </c>
      <c r="B32" s="64"/>
      <c r="C32" s="64"/>
      <c r="D32" s="64"/>
      <c r="E32" s="64"/>
      <c r="F32" s="64"/>
      <c r="G32" s="65"/>
    </row>
    <row r="33" spans="1:7" x14ac:dyDescent="0.2">
      <c r="A33" s="113" t="s">
        <v>186</v>
      </c>
      <c r="B33" s="66"/>
      <c r="C33" s="66"/>
      <c r="D33" s="66"/>
      <c r="E33" s="66"/>
      <c r="F33" s="66"/>
      <c r="G33" s="67"/>
    </row>
    <row r="34" spans="1:7" x14ac:dyDescent="0.2">
      <c r="A34" s="110" t="s">
        <v>187</v>
      </c>
      <c r="B34" s="72"/>
      <c r="C34" s="72"/>
      <c r="D34" s="72"/>
      <c r="E34" s="72"/>
      <c r="F34" s="72"/>
      <c r="G34" s="73"/>
    </row>
    <row r="35" spans="1:7" x14ac:dyDescent="0.2">
      <c r="A35" s="113"/>
      <c r="B35" s="69"/>
      <c r="C35" s="69"/>
      <c r="D35" s="69"/>
      <c r="E35" s="69"/>
      <c r="F35" s="69"/>
      <c r="G35" s="70"/>
    </row>
    <row r="36" spans="1:7" x14ac:dyDescent="0.2">
      <c r="A36" s="114" t="s">
        <v>188</v>
      </c>
      <c r="B36" s="74"/>
      <c r="C36" s="74"/>
      <c r="D36" s="74"/>
      <c r="E36" s="74"/>
      <c r="F36" s="74"/>
      <c r="G36" s="75"/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I8" sqref="I8"/>
    </sheetView>
  </sheetViews>
  <sheetFormatPr defaultColWidth="11.42578125" defaultRowHeight="12.75" x14ac:dyDescent="0.2"/>
  <cols>
    <col min="1" max="1" width="28.140625" style="16" customWidth="1"/>
    <col min="2" max="2" width="14" style="16" customWidth="1"/>
    <col min="3" max="3" width="14.85546875" style="16" customWidth="1"/>
    <col min="4" max="8" width="14" style="16" customWidth="1"/>
    <col min="9" max="9" width="15.85546875" style="16" customWidth="1"/>
    <col min="10" max="10" width="17.42578125" style="16" customWidth="1"/>
    <col min="11" max="16384" width="11.42578125" style="16"/>
  </cols>
  <sheetData>
    <row r="1" spans="1:9" x14ac:dyDescent="0.2">
      <c r="A1" s="1" t="s">
        <v>0</v>
      </c>
      <c r="B1"/>
      <c r="C1"/>
      <c r="D1"/>
      <c r="G1" s="2">
        <f>InfoInicial!E1</f>
        <v>1</v>
      </c>
    </row>
    <row r="3" spans="1:9" ht="15.75" x14ac:dyDescent="0.25">
      <c r="A3" s="56" t="s">
        <v>189</v>
      </c>
      <c r="B3" s="57"/>
      <c r="C3" s="57"/>
      <c r="D3" s="57"/>
      <c r="E3" s="57"/>
      <c r="F3" s="57"/>
      <c r="G3" s="57"/>
      <c r="H3" s="57"/>
      <c r="I3" s="58"/>
    </row>
    <row r="4" spans="1:9" ht="25.5" x14ac:dyDescent="0.2">
      <c r="A4" s="59" t="s">
        <v>88</v>
      </c>
      <c r="B4" s="115" t="s">
        <v>190</v>
      </c>
      <c r="C4" s="115" t="s">
        <v>191</v>
      </c>
      <c r="D4" s="21" t="s">
        <v>48</v>
      </c>
      <c r="E4" s="21" t="s">
        <v>89</v>
      </c>
      <c r="F4" s="21" t="s">
        <v>90</v>
      </c>
      <c r="G4" s="21" t="s">
        <v>91</v>
      </c>
      <c r="H4" s="116" t="s">
        <v>92</v>
      </c>
      <c r="I4" s="22" t="s">
        <v>192</v>
      </c>
    </row>
    <row r="5" spans="1:9" x14ac:dyDescent="0.2">
      <c r="A5" s="110" t="s">
        <v>193</v>
      </c>
      <c r="B5" s="111"/>
      <c r="C5" s="111"/>
      <c r="D5" s="111"/>
      <c r="E5" s="111"/>
      <c r="F5" s="111"/>
      <c r="G5" s="111"/>
      <c r="H5" s="117"/>
      <c r="I5" s="112"/>
    </row>
    <row r="6" spans="1:9" x14ac:dyDescent="0.2">
      <c r="A6" s="118" t="s">
        <v>194</v>
      </c>
      <c r="B6" s="64"/>
      <c r="C6" s="64">
        <f>'E-Inv AF y Am'!B51</f>
        <v>42222293.9375</v>
      </c>
      <c r="D6" s="64"/>
      <c r="E6" s="64"/>
      <c r="F6" s="64"/>
      <c r="G6" s="64"/>
      <c r="H6" s="119"/>
      <c r="I6" s="65">
        <f>H6+G6+F6+E6+D6+C6+B6</f>
        <v>42222293.9375</v>
      </c>
    </row>
    <row r="7" spans="1:9" x14ac:dyDescent="0.2">
      <c r="A7" s="118" t="s">
        <v>195</v>
      </c>
      <c r="B7" s="64">
        <f>'E-Inv AF y Am'!B23</f>
        <v>100000</v>
      </c>
      <c r="C7" s="64">
        <f>'E-Inv AF y Am'!B31-'E-Inv AF y Am'!B23</f>
        <v>1216875</v>
      </c>
      <c r="D7" s="64">
        <f>'E-Inv AF y Am'!C26</f>
        <v>2792028.4590802034</v>
      </c>
      <c r="E7" s="64"/>
      <c r="F7" s="64"/>
      <c r="G7" s="64"/>
      <c r="H7" s="119"/>
      <c r="I7" s="65">
        <f>H7+G7+F7+E7+D7+C7+B7</f>
        <v>4108903.4590802034</v>
      </c>
    </row>
    <row r="8" spans="1:9" x14ac:dyDescent="0.2">
      <c r="A8" s="110" t="s">
        <v>196</v>
      </c>
      <c r="B8" s="64">
        <f>B6+B7</f>
        <v>100000</v>
      </c>
      <c r="C8" s="64">
        <f>C6+C7</f>
        <v>43439168.9375</v>
      </c>
      <c r="D8" s="64">
        <f>D6+D7</f>
        <v>2792028.4590802034</v>
      </c>
      <c r="E8" s="64"/>
      <c r="F8" s="64"/>
      <c r="G8" s="64"/>
      <c r="H8" s="119"/>
      <c r="I8" s="65">
        <f>H8+G8+F8+E8+D8+C8+B8</f>
        <v>46331197.396580204</v>
      </c>
    </row>
    <row r="9" spans="1:9" x14ac:dyDescent="0.2">
      <c r="A9" s="118"/>
      <c r="B9" s="90"/>
      <c r="C9" s="90"/>
      <c r="D9" s="90"/>
      <c r="E9" s="90"/>
      <c r="F9" s="90"/>
      <c r="G9" s="90"/>
      <c r="H9" s="120"/>
      <c r="I9" s="91"/>
    </row>
    <row r="10" spans="1:9" x14ac:dyDescent="0.2">
      <c r="A10" s="110" t="s">
        <v>197</v>
      </c>
      <c r="B10" s="64"/>
      <c r="C10" s="64"/>
      <c r="D10" s="64"/>
      <c r="E10" s="64"/>
      <c r="F10" s="64"/>
      <c r="G10" s="64"/>
      <c r="H10" s="119"/>
      <c r="I10" s="65"/>
    </row>
    <row r="11" spans="1:9" x14ac:dyDescent="0.2">
      <c r="A11" s="118" t="s">
        <v>198</v>
      </c>
      <c r="B11" s="64"/>
      <c r="C11" s="64"/>
      <c r="D11" s="64"/>
      <c r="E11" s="64"/>
      <c r="F11" s="64"/>
      <c r="G11" s="64"/>
      <c r="H11" s="119"/>
      <c r="I11" s="65"/>
    </row>
    <row r="12" spans="1:9" x14ac:dyDescent="0.2">
      <c r="A12" s="118" t="s">
        <v>199</v>
      </c>
      <c r="B12" s="64"/>
      <c r="C12" s="64"/>
      <c r="D12" s="64"/>
      <c r="E12" s="64"/>
      <c r="F12" s="64"/>
      <c r="G12" s="64"/>
      <c r="H12" s="119"/>
      <c r="I12" s="65"/>
    </row>
    <row r="13" spans="1:9" x14ac:dyDescent="0.2">
      <c r="A13" s="118" t="s">
        <v>200</v>
      </c>
      <c r="B13" s="64"/>
      <c r="C13" s="64"/>
      <c r="D13" s="64"/>
      <c r="E13" s="64"/>
      <c r="F13" s="64"/>
      <c r="G13" s="64"/>
      <c r="H13" s="119"/>
      <c r="I13" s="65"/>
    </row>
    <row r="14" spans="1:9" x14ac:dyDescent="0.2">
      <c r="A14" s="118" t="s">
        <v>201</v>
      </c>
      <c r="B14" s="64"/>
      <c r="C14" s="64"/>
      <c r="D14" s="64"/>
      <c r="E14" s="64"/>
      <c r="F14" s="64"/>
      <c r="G14" s="64"/>
      <c r="H14" s="119"/>
      <c r="I14" s="65"/>
    </row>
    <row r="15" spans="1:9" x14ac:dyDescent="0.2">
      <c r="A15" s="118" t="s">
        <v>202</v>
      </c>
      <c r="B15" s="64"/>
      <c r="C15" s="64"/>
      <c r="D15" s="64"/>
      <c r="E15" s="64"/>
      <c r="F15" s="64"/>
      <c r="G15" s="64"/>
      <c r="H15" s="119"/>
      <c r="I15" s="65"/>
    </row>
    <row r="16" spans="1:9" x14ac:dyDescent="0.2">
      <c r="A16" s="118" t="s">
        <v>203</v>
      </c>
      <c r="B16" s="64"/>
      <c r="C16" s="64"/>
      <c r="D16" s="64"/>
      <c r="E16" s="64"/>
      <c r="F16" s="64"/>
      <c r="G16" s="64"/>
      <c r="H16" s="119"/>
      <c r="I16" s="65"/>
    </row>
    <row r="17" spans="1:9" x14ac:dyDescent="0.2">
      <c r="A17" s="118" t="s">
        <v>204</v>
      </c>
      <c r="B17" s="64"/>
      <c r="C17" s="64"/>
      <c r="D17" s="64"/>
      <c r="E17" s="64"/>
      <c r="F17" s="64"/>
      <c r="G17" s="64"/>
      <c r="H17" s="119"/>
      <c r="I17" s="65"/>
    </row>
    <row r="18" spans="1:9" x14ac:dyDescent="0.2">
      <c r="A18" s="110" t="s">
        <v>205</v>
      </c>
      <c r="B18" s="64"/>
      <c r="C18" s="64"/>
      <c r="D18" s="64"/>
      <c r="E18" s="64"/>
      <c r="F18" s="64"/>
      <c r="G18" s="64"/>
      <c r="H18" s="119"/>
      <c r="I18" s="65"/>
    </row>
    <row r="19" spans="1:9" x14ac:dyDescent="0.2">
      <c r="A19" s="118"/>
      <c r="B19" s="90"/>
      <c r="C19" s="90"/>
      <c r="D19" s="90"/>
      <c r="E19" s="90"/>
      <c r="F19" s="90"/>
      <c r="G19" s="90"/>
      <c r="H19" s="120"/>
      <c r="I19" s="91"/>
    </row>
    <row r="20" spans="1:9" x14ac:dyDescent="0.2">
      <c r="A20" s="110" t="s">
        <v>206</v>
      </c>
      <c r="B20" s="90"/>
      <c r="C20" s="90"/>
      <c r="D20" s="90"/>
      <c r="E20" s="90"/>
      <c r="F20" s="90"/>
      <c r="G20" s="90"/>
      <c r="H20" s="120"/>
      <c r="I20" s="91"/>
    </row>
    <row r="21" spans="1:9" x14ac:dyDescent="0.2">
      <c r="A21" s="118" t="s">
        <v>207</v>
      </c>
      <c r="B21" s="64"/>
      <c r="C21" s="64"/>
      <c r="D21" s="64"/>
      <c r="E21" s="64"/>
      <c r="F21" s="64"/>
      <c r="G21" s="64"/>
      <c r="H21" s="119"/>
      <c r="I21" s="65"/>
    </row>
    <row r="22" spans="1:9" x14ac:dyDescent="0.2">
      <c r="A22" s="118" t="s">
        <v>208</v>
      </c>
      <c r="B22" s="64"/>
      <c r="C22" s="64"/>
      <c r="D22" s="64"/>
      <c r="E22" s="64"/>
      <c r="F22" s="64"/>
      <c r="G22" s="64"/>
      <c r="H22" s="119"/>
      <c r="I22" s="65"/>
    </row>
    <row r="23" spans="1:9" x14ac:dyDescent="0.2">
      <c r="A23" s="110" t="s">
        <v>209</v>
      </c>
      <c r="B23" s="64"/>
      <c r="C23" s="64"/>
      <c r="D23" s="64"/>
      <c r="E23" s="64"/>
      <c r="F23" s="64"/>
      <c r="G23" s="64"/>
      <c r="H23" s="119"/>
      <c r="I23" s="65"/>
    </row>
    <row r="24" spans="1:9" x14ac:dyDescent="0.2">
      <c r="A24" s="110"/>
      <c r="B24" s="90"/>
      <c r="C24" s="90"/>
      <c r="D24" s="90"/>
      <c r="E24" s="90"/>
      <c r="F24" s="90"/>
      <c r="G24" s="90"/>
      <c r="H24" s="120"/>
      <c r="I24" s="91"/>
    </row>
    <row r="25" spans="1:9" x14ac:dyDescent="0.2">
      <c r="A25" s="114" t="s">
        <v>210</v>
      </c>
      <c r="B25" s="74"/>
      <c r="C25" s="74"/>
      <c r="D25" s="74"/>
      <c r="E25" s="74"/>
      <c r="F25" s="74"/>
      <c r="G25" s="74"/>
      <c r="H25" s="121"/>
      <c r="I25" s="7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B46" sqref="B46"/>
    </sheetView>
  </sheetViews>
  <sheetFormatPr defaultColWidth="11.42578125" defaultRowHeight="12.75" x14ac:dyDescent="0.2"/>
  <cols>
    <col min="1" max="1" width="28.140625" style="16" customWidth="1"/>
    <col min="2" max="7" width="14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G1" s="2">
        <f>InfoInicial!E1</f>
        <v>1</v>
      </c>
    </row>
    <row r="2" spans="1:7" ht="15.75" x14ac:dyDescent="0.25">
      <c r="A2" s="122" t="s">
        <v>211</v>
      </c>
      <c r="B2" s="57"/>
      <c r="C2" s="57"/>
      <c r="D2" s="57"/>
      <c r="E2" s="57"/>
      <c r="F2" s="57"/>
      <c r="G2" s="58"/>
    </row>
    <row r="3" spans="1:7" ht="15.75" x14ac:dyDescent="0.25">
      <c r="A3" s="123"/>
      <c r="B3" s="124" t="s">
        <v>212</v>
      </c>
      <c r="C3" s="124"/>
      <c r="D3" s="124"/>
      <c r="E3" s="124"/>
      <c r="F3" s="124"/>
      <c r="G3" s="125"/>
    </row>
    <row r="4" spans="1:7" x14ac:dyDescent="0.2">
      <c r="A4" s="126" t="s">
        <v>88</v>
      </c>
      <c r="B4" s="115" t="s">
        <v>47</v>
      </c>
      <c r="C4" s="21" t="s">
        <v>48</v>
      </c>
      <c r="D4" s="21" t="s">
        <v>89</v>
      </c>
      <c r="E4" s="21" t="s">
        <v>90</v>
      </c>
      <c r="F4" s="21" t="s">
        <v>91</v>
      </c>
      <c r="G4" s="22" t="s">
        <v>92</v>
      </c>
    </row>
    <row r="5" spans="1:7" x14ac:dyDescent="0.2">
      <c r="A5" s="127" t="s">
        <v>213</v>
      </c>
      <c r="B5" s="128"/>
      <c r="C5" s="111"/>
      <c r="D5" s="111"/>
      <c r="E5" s="111"/>
      <c r="F5" s="111"/>
      <c r="G5" s="112"/>
    </row>
    <row r="6" spans="1:7" x14ac:dyDescent="0.2">
      <c r="A6" s="129" t="s">
        <v>214</v>
      </c>
      <c r="B6" s="130"/>
      <c r="C6" s="64"/>
      <c r="D6" s="64"/>
      <c r="E6" s="64"/>
      <c r="F6" s="64"/>
      <c r="G6" s="65"/>
    </row>
    <row r="7" spans="1:7" x14ac:dyDescent="0.2">
      <c r="A7" s="129" t="s">
        <v>98</v>
      </c>
      <c r="B7" s="130"/>
      <c r="C7" s="64"/>
      <c r="D7" s="64"/>
      <c r="E7" s="64"/>
      <c r="F7" s="64"/>
      <c r="G7" s="65"/>
    </row>
    <row r="8" spans="1:7" x14ac:dyDescent="0.2">
      <c r="A8" s="129" t="s">
        <v>99</v>
      </c>
      <c r="B8" s="130"/>
      <c r="C8" s="64"/>
      <c r="D8" s="64"/>
      <c r="E8" s="64"/>
      <c r="F8" s="64"/>
      <c r="G8" s="65"/>
    </row>
    <row r="9" spans="1:7" x14ac:dyDescent="0.2">
      <c r="A9" s="129" t="s">
        <v>100</v>
      </c>
      <c r="B9" s="130"/>
      <c r="C9" s="64"/>
      <c r="D9" s="64"/>
      <c r="E9" s="64"/>
      <c r="F9" s="64"/>
      <c r="G9" s="65"/>
    </row>
    <row r="10" spans="1:7" x14ac:dyDescent="0.2">
      <c r="A10" s="129" t="s">
        <v>215</v>
      </c>
      <c r="B10" s="130"/>
      <c r="C10" s="64"/>
      <c r="D10" s="64"/>
      <c r="E10" s="64"/>
      <c r="F10" s="64"/>
      <c r="G10" s="65"/>
    </row>
    <row r="11" spans="1:7" x14ac:dyDescent="0.2">
      <c r="A11" s="129" t="s">
        <v>123</v>
      </c>
      <c r="B11" s="130"/>
      <c r="C11" s="64"/>
      <c r="D11" s="64"/>
      <c r="E11" s="64"/>
      <c r="F11" s="64"/>
      <c r="G11" s="65"/>
    </row>
    <row r="12" spans="1:7" x14ac:dyDescent="0.2">
      <c r="A12" s="131" t="s">
        <v>83</v>
      </c>
      <c r="B12" s="130"/>
      <c r="C12" s="64"/>
      <c r="D12" s="64"/>
      <c r="E12" s="64"/>
      <c r="F12" s="64"/>
      <c r="G12" s="65"/>
    </row>
    <row r="13" spans="1:7" x14ac:dyDescent="0.2">
      <c r="A13" s="129" t="s">
        <v>216</v>
      </c>
      <c r="B13" s="130"/>
      <c r="C13" s="64"/>
      <c r="D13" s="64"/>
      <c r="E13" s="64"/>
      <c r="F13" s="64"/>
      <c r="G13" s="65"/>
    </row>
    <row r="14" spans="1:7" x14ac:dyDescent="0.2">
      <c r="A14" s="129" t="s">
        <v>217</v>
      </c>
      <c r="B14" s="132"/>
      <c r="C14" s="90"/>
      <c r="D14" s="90"/>
      <c r="E14" s="90"/>
      <c r="F14" s="90"/>
      <c r="G14" s="91"/>
    </row>
    <row r="15" spans="1:7" x14ac:dyDescent="0.2">
      <c r="A15" s="129" t="s">
        <v>218</v>
      </c>
      <c r="B15" s="130"/>
      <c r="C15" s="64"/>
      <c r="D15" s="64"/>
      <c r="E15" s="64"/>
      <c r="F15" s="64"/>
      <c r="G15" s="65"/>
    </row>
    <row r="16" spans="1:7" x14ac:dyDescent="0.2">
      <c r="A16" s="129" t="s">
        <v>219</v>
      </c>
      <c r="B16" s="130"/>
      <c r="C16" s="64"/>
      <c r="D16" s="64"/>
      <c r="E16" s="64"/>
      <c r="F16" s="64"/>
      <c r="G16" s="65"/>
    </row>
    <row r="17" spans="1:7" x14ac:dyDescent="0.2">
      <c r="A17" s="131" t="s">
        <v>220</v>
      </c>
      <c r="B17" s="130"/>
      <c r="C17" s="64"/>
      <c r="D17" s="64"/>
      <c r="E17" s="64"/>
      <c r="F17" s="64"/>
      <c r="G17" s="65"/>
    </row>
    <row r="18" spans="1:7" x14ac:dyDescent="0.2">
      <c r="A18" s="131" t="s">
        <v>221</v>
      </c>
      <c r="B18" s="130"/>
      <c r="C18" s="64"/>
      <c r="D18" s="64"/>
      <c r="E18" s="64"/>
      <c r="F18" s="64"/>
      <c r="G18" s="65"/>
    </row>
    <row r="19" spans="1:7" x14ac:dyDescent="0.2">
      <c r="A19" s="131" t="s">
        <v>222</v>
      </c>
      <c r="B19" s="130"/>
      <c r="C19" s="64"/>
      <c r="D19" s="64"/>
      <c r="E19" s="64"/>
      <c r="F19" s="64"/>
      <c r="G19" s="65"/>
    </row>
    <row r="20" spans="1:7" x14ac:dyDescent="0.2">
      <c r="A20" s="131"/>
      <c r="B20" s="132"/>
      <c r="C20" s="90"/>
      <c r="D20" s="90"/>
      <c r="E20" s="90"/>
      <c r="F20" s="90"/>
      <c r="G20" s="91"/>
    </row>
    <row r="21" spans="1:7" x14ac:dyDescent="0.2">
      <c r="A21" s="129" t="s">
        <v>223</v>
      </c>
      <c r="B21" s="130"/>
      <c r="C21" s="64"/>
      <c r="D21" s="64"/>
      <c r="E21" s="64"/>
      <c r="F21" s="64"/>
      <c r="G21" s="65"/>
    </row>
    <row r="22" spans="1:7" x14ac:dyDescent="0.2">
      <c r="A22" s="129" t="s">
        <v>224</v>
      </c>
      <c r="B22" s="130"/>
      <c r="C22" s="64"/>
      <c r="D22" s="64"/>
      <c r="E22" s="64"/>
      <c r="F22" s="64"/>
      <c r="G22" s="65"/>
    </row>
    <row r="23" spans="1:7" x14ac:dyDescent="0.2">
      <c r="A23" s="131" t="s">
        <v>225</v>
      </c>
      <c r="B23" s="130"/>
      <c r="C23" s="64"/>
      <c r="D23" s="64"/>
      <c r="E23" s="64"/>
      <c r="F23" s="64"/>
      <c r="G23" s="65"/>
    </row>
    <row r="24" spans="1:7" x14ac:dyDescent="0.2">
      <c r="A24" s="129"/>
      <c r="B24" s="132"/>
      <c r="C24" s="90"/>
      <c r="D24" s="90"/>
      <c r="E24" s="90"/>
      <c r="F24" s="90"/>
      <c r="G24" s="91"/>
    </row>
    <row r="25" spans="1:7" x14ac:dyDescent="0.2">
      <c r="A25" s="133" t="s">
        <v>226</v>
      </c>
      <c r="B25" s="130"/>
      <c r="C25" s="64"/>
      <c r="D25" s="64"/>
      <c r="E25" s="64"/>
      <c r="F25" s="64"/>
      <c r="G25" s="65"/>
    </row>
    <row r="26" spans="1:7" x14ac:dyDescent="0.2">
      <c r="A26" s="133" t="s">
        <v>227</v>
      </c>
      <c r="B26" s="130"/>
      <c r="C26" s="64"/>
      <c r="D26" s="64"/>
      <c r="E26" s="64"/>
      <c r="F26" s="64"/>
      <c r="G26" s="65"/>
    </row>
    <row r="27" spans="1:7" x14ac:dyDescent="0.2">
      <c r="A27" s="131" t="s">
        <v>228</v>
      </c>
      <c r="B27" s="130"/>
      <c r="C27" s="64"/>
      <c r="D27" s="64"/>
      <c r="E27" s="64"/>
      <c r="F27" s="64"/>
      <c r="G27" s="65"/>
    </row>
    <row r="28" spans="1:7" x14ac:dyDescent="0.2">
      <c r="A28" s="131" t="s">
        <v>229</v>
      </c>
      <c r="B28" s="130"/>
      <c r="C28" s="64"/>
      <c r="D28" s="64"/>
      <c r="E28" s="64"/>
      <c r="F28" s="64"/>
      <c r="G28" s="65"/>
    </row>
    <row r="29" spans="1:7" x14ac:dyDescent="0.2">
      <c r="A29" s="129"/>
      <c r="B29" s="132"/>
      <c r="C29" s="90"/>
      <c r="D29" s="90"/>
      <c r="E29" s="90"/>
      <c r="F29" s="90"/>
      <c r="G29" s="91"/>
    </row>
    <row r="30" spans="1:7" x14ac:dyDescent="0.2">
      <c r="A30" s="134" t="s">
        <v>230</v>
      </c>
      <c r="B30" s="135"/>
      <c r="C30" s="74"/>
      <c r="D30" s="74"/>
      <c r="E30" s="74"/>
      <c r="F30" s="74"/>
      <c r="G30" s="7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selection activeCell="G1" sqref="G1"/>
    </sheetView>
  </sheetViews>
  <sheetFormatPr defaultColWidth="11.42578125" defaultRowHeight="12.75" x14ac:dyDescent="0.2"/>
  <cols>
    <col min="1" max="1" width="8" style="16" customWidth="1"/>
    <col min="2" max="13" width="14.85546875" style="16" customWidth="1"/>
    <col min="14" max="14" width="17.42578125" style="16" customWidth="1"/>
    <col min="15" max="16384" width="11.42578125" style="16"/>
  </cols>
  <sheetData>
    <row r="1" spans="1:13" x14ac:dyDescent="0.2">
      <c r="A1" s="1" t="s">
        <v>0</v>
      </c>
      <c r="B1"/>
      <c r="C1"/>
      <c r="D1"/>
      <c r="G1" s="16">
        <f>InfoInicial!E1</f>
        <v>1</v>
      </c>
      <c r="H1" s="2"/>
    </row>
    <row r="2" spans="1:13" ht="15.75" x14ac:dyDescent="0.25">
      <c r="A2" s="122" t="s">
        <v>231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8.25" x14ac:dyDescent="0.2">
      <c r="A3" s="126" t="s">
        <v>232</v>
      </c>
      <c r="B3" s="115" t="s">
        <v>233</v>
      </c>
      <c r="C3" s="115" t="s">
        <v>234</v>
      </c>
      <c r="D3" s="115" t="s">
        <v>235</v>
      </c>
      <c r="E3" s="115" t="s">
        <v>3</v>
      </c>
      <c r="F3" s="115" t="s">
        <v>236</v>
      </c>
      <c r="G3" s="115" t="s">
        <v>237</v>
      </c>
      <c r="H3" s="115" t="s">
        <v>238</v>
      </c>
      <c r="I3" s="115" t="s">
        <v>96</v>
      </c>
      <c r="J3" s="115" t="s">
        <v>239</v>
      </c>
      <c r="K3" s="115" t="s">
        <v>240</v>
      </c>
      <c r="L3" s="136" t="s">
        <v>241</v>
      </c>
      <c r="M3" s="137" t="s">
        <v>242</v>
      </c>
    </row>
    <row r="4" spans="1:13" x14ac:dyDescent="0.2">
      <c r="A4" s="138">
        <v>0</v>
      </c>
      <c r="B4" s="139"/>
      <c r="C4" s="62"/>
      <c r="D4" s="62"/>
      <c r="E4" s="62"/>
      <c r="F4" s="62"/>
      <c r="G4" s="62"/>
      <c r="H4" s="62"/>
      <c r="I4" s="62"/>
      <c r="J4" s="62"/>
      <c r="K4" s="62"/>
      <c r="L4" s="140"/>
      <c r="M4" s="63"/>
    </row>
    <row r="5" spans="1:13" x14ac:dyDescent="0.2">
      <c r="A5" s="141">
        <v>1</v>
      </c>
      <c r="B5" s="130"/>
      <c r="C5" s="64"/>
      <c r="D5" s="64"/>
      <c r="E5" s="64"/>
      <c r="F5" s="64"/>
      <c r="G5" s="64"/>
      <c r="H5" s="64"/>
      <c r="I5" s="64"/>
      <c r="J5" s="64"/>
      <c r="K5" s="64"/>
      <c r="L5" s="119"/>
      <c r="M5" s="65"/>
    </row>
    <row r="6" spans="1:13" x14ac:dyDescent="0.2">
      <c r="A6" s="141">
        <v>2</v>
      </c>
      <c r="B6" s="130"/>
      <c r="C6" s="64"/>
      <c r="D6" s="64"/>
      <c r="E6" s="64"/>
      <c r="F6" s="64"/>
      <c r="G6" s="64"/>
      <c r="H6" s="64"/>
      <c r="I6" s="64"/>
      <c r="J6" s="64"/>
      <c r="K6" s="64"/>
      <c r="L6" s="119"/>
      <c r="M6" s="65"/>
    </row>
    <row r="7" spans="1:13" x14ac:dyDescent="0.2">
      <c r="A7" s="141">
        <v>3</v>
      </c>
      <c r="B7" s="130"/>
      <c r="C7" s="64"/>
      <c r="D7" s="64"/>
      <c r="E7" s="64"/>
      <c r="F7" s="64"/>
      <c r="G7" s="64"/>
      <c r="H7" s="64"/>
      <c r="I7" s="64"/>
      <c r="J7" s="64"/>
      <c r="K7" s="64"/>
      <c r="L7" s="119"/>
      <c r="M7" s="65"/>
    </row>
    <row r="8" spans="1:13" x14ac:dyDescent="0.2">
      <c r="A8" s="141">
        <v>4</v>
      </c>
      <c r="B8" s="130"/>
      <c r="C8" s="64"/>
      <c r="D8" s="64"/>
      <c r="E8" s="64"/>
      <c r="F8" s="64"/>
      <c r="G8" s="64"/>
      <c r="H8" s="64"/>
      <c r="I8" s="64"/>
      <c r="J8" s="64"/>
      <c r="K8" s="64"/>
      <c r="L8" s="119"/>
      <c r="M8" s="65"/>
    </row>
    <row r="9" spans="1:13" x14ac:dyDescent="0.2">
      <c r="A9" s="141">
        <v>5</v>
      </c>
      <c r="B9" s="130"/>
      <c r="C9" s="64"/>
      <c r="D9" s="64"/>
      <c r="E9" s="64"/>
      <c r="F9" s="64"/>
      <c r="G9" s="64"/>
      <c r="H9" s="64"/>
      <c r="I9" s="64"/>
      <c r="J9" s="64"/>
      <c r="K9" s="64"/>
      <c r="L9" s="119"/>
      <c r="M9" s="65"/>
    </row>
    <row r="10" spans="1:13" x14ac:dyDescent="0.2">
      <c r="A10" s="141"/>
      <c r="B10" s="132"/>
      <c r="C10" s="90"/>
      <c r="D10" s="90"/>
      <c r="E10" s="90"/>
      <c r="F10" s="90"/>
      <c r="G10" s="90"/>
      <c r="H10" s="90"/>
      <c r="I10" s="90"/>
      <c r="J10" s="90"/>
      <c r="K10" s="90"/>
      <c r="L10" s="120"/>
      <c r="M10" s="91"/>
    </row>
    <row r="11" spans="1:13" x14ac:dyDescent="0.2">
      <c r="A11" s="142" t="s">
        <v>243</v>
      </c>
      <c r="B11" s="135"/>
      <c r="C11" s="74"/>
      <c r="D11" s="74"/>
      <c r="E11" s="74"/>
      <c r="F11" s="74"/>
      <c r="G11" s="74"/>
      <c r="H11" s="74"/>
      <c r="I11" s="74"/>
      <c r="J11" s="74"/>
      <c r="K11" s="74"/>
      <c r="L11" s="121"/>
      <c r="M11" s="75"/>
    </row>
    <row r="13" spans="1:13" x14ac:dyDescent="0.2">
      <c r="C13" s="143" t="s">
        <v>244</v>
      </c>
      <c r="D13" s="144"/>
    </row>
    <row r="14" spans="1:13" x14ac:dyDescent="0.2">
      <c r="A14" s="79"/>
      <c r="C14" s="143" t="s">
        <v>245</v>
      </c>
      <c r="D14" s="145"/>
      <c r="E14" s="16" t="s">
        <v>246</v>
      </c>
    </row>
    <row r="15" spans="1:13" x14ac:dyDescent="0.2">
      <c r="C15" s="143" t="s">
        <v>247</v>
      </c>
      <c r="D15" s="146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F1" sqref="F1"/>
    </sheetView>
  </sheetViews>
  <sheetFormatPr defaultColWidth="11.42578125" defaultRowHeight="12.75" x14ac:dyDescent="0.2"/>
  <cols>
    <col min="1" max="1" width="27.28515625" style="16" customWidth="1"/>
    <col min="2" max="9" width="15.140625" style="16" customWidth="1"/>
    <col min="10" max="16384" width="11.42578125" style="16"/>
  </cols>
  <sheetData>
    <row r="1" spans="1:9" x14ac:dyDescent="0.2">
      <c r="A1" s="1" t="s">
        <v>0</v>
      </c>
      <c r="B1"/>
      <c r="C1"/>
      <c r="D1"/>
      <c r="F1" s="147">
        <f>InfoInicial!E1</f>
        <v>1</v>
      </c>
      <c r="G1" s="2"/>
    </row>
    <row r="2" spans="1:9" ht="15.75" x14ac:dyDescent="0.25">
      <c r="A2" s="148" t="s">
        <v>248</v>
      </c>
      <c r="B2" s="95"/>
      <c r="C2" s="95"/>
      <c r="D2" s="95"/>
      <c r="E2" s="95"/>
      <c r="F2" s="95"/>
      <c r="G2" s="96"/>
    </row>
    <row r="3" spans="1:9" x14ac:dyDescent="0.2">
      <c r="A3" s="59" t="s">
        <v>88</v>
      </c>
      <c r="B3" s="289" t="s">
        <v>249</v>
      </c>
      <c r="C3" s="289"/>
      <c r="D3" s="289" t="s">
        <v>250</v>
      </c>
      <c r="E3" s="289"/>
      <c r="F3" s="290" t="s">
        <v>251</v>
      </c>
      <c r="G3" s="290"/>
    </row>
    <row r="4" spans="1:9" x14ac:dyDescent="0.2">
      <c r="A4" s="59" t="s">
        <v>74</v>
      </c>
      <c r="B4" s="149" t="s">
        <v>252</v>
      </c>
      <c r="C4" s="149" t="s">
        <v>253</v>
      </c>
      <c r="D4" s="149" t="s">
        <v>252</v>
      </c>
      <c r="E4" s="149" t="s">
        <v>253</v>
      </c>
      <c r="F4" s="149" t="s">
        <v>252</v>
      </c>
      <c r="G4" s="150" t="s">
        <v>253</v>
      </c>
    </row>
    <row r="5" spans="1:9" x14ac:dyDescent="0.2">
      <c r="A5" s="28" t="s">
        <v>254</v>
      </c>
      <c r="B5" s="64"/>
      <c r="C5" s="92"/>
      <c r="D5" s="64"/>
      <c r="E5" s="92"/>
      <c r="F5" s="64"/>
      <c r="G5" s="93"/>
    </row>
    <row r="6" spans="1:9" x14ac:dyDescent="0.2">
      <c r="A6" s="26" t="s">
        <v>255</v>
      </c>
      <c r="B6" s="64"/>
      <c r="C6" s="92"/>
      <c r="D6" s="64"/>
      <c r="E6" s="92"/>
      <c r="F6" s="64"/>
      <c r="G6" s="93"/>
    </row>
    <row r="7" spans="1:9" x14ac:dyDescent="0.2">
      <c r="A7" s="26" t="s">
        <v>256</v>
      </c>
      <c r="B7" s="64"/>
      <c r="C7" s="92"/>
      <c r="D7" s="64"/>
      <c r="E7" s="103"/>
      <c r="F7" s="64"/>
      <c r="G7" s="93"/>
    </row>
    <row r="8" spans="1:9" x14ac:dyDescent="0.2">
      <c r="A8" s="34" t="s">
        <v>192</v>
      </c>
      <c r="B8" s="151"/>
      <c r="C8" s="152"/>
      <c r="D8" s="151"/>
      <c r="E8" s="152"/>
      <c r="F8" s="151"/>
      <c r="G8" s="153"/>
    </row>
    <row r="9" spans="1:9" x14ac:dyDescent="0.2">
      <c r="A9" s="79"/>
      <c r="B9" s="55"/>
      <c r="C9" s="154"/>
      <c r="D9" s="55"/>
      <c r="E9" s="55"/>
      <c r="F9" s="55"/>
      <c r="G9" s="55"/>
    </row>
    <row r="10" spans="1:9" ht="15.75" x14ac:dyDescent="0.25">
      <c r="A10" s="155" t="s">
        <v>257</v>
      </c>
      <c r="B10" s="156"/>
      <c r="C10" s="156"/>
      <c r="D10" s="156"/>
      <c r="E10" s="156"/>
      <c r="F10" s="156"/>
      <c r="G10" s="156"/>
      <c r="H10" s="156"/>
      <c r="I10" s="157"/>
    </row>
    <row r="11" spans="1:9" x14ac:dyDescent="0.2">
      <c r="A11" s="158" t="s">
        <v>258</v>
      </c>
      <c r="B11" s="159" t="s">
        <v>259</v>
      </c>
      <c r="C11" s="159" t="s">
        <v>260</v>
      </c>
      <c r="D11" s="159" t="s">
        <v>261</v>
      </c>
      <c r="E11" s="159" t="s">
        <v>260</v>
      </c>
      <c r="F11" s="159" t="s">
        <v>262</v>
      </c>
      <c r="G11" s="159" t="s">
        <v>261</v>
      </c>
      <c r="H11" s="159"/>
      <c r="I11" s="160" t="s">
        <v>263</v>
      </c>
    </row>
    <row r="12" spans="1:9" x14ac:dyDescent="0.2">
      <c r="A12" s="161"/>
      <c r="B12" s="162"/>
      <c r="C12" s="162" t="s">
        <v>264</v>
      </c>
      <c r="D12" s="162" t="s">
        <v>264</v>
      </c>
      <c r="E12" s="162" t="s">
        <v>35</v>
      </c>
      <c r="F12" s="162" t="s">
        <v>265</v>
      </c>
      <c r="G12" s="162" t="s">
        <v>35</v>
      </c>
      <c r="H12" s="162" t="s">
        <v>266</v>
      </c>
      <c r="I12" s="163" t="s">
        <v>267</v>
      </c>
    </row>
    <row r="13" spans="1:9" x14ac:dyDescent="0.2">
      <c r="A13" s="164"/>
      <c r="B13" s="165"/>
      <c r="C13" s="165"/>
      <c r="D13" s="165"/>
      <c r="E13" s="165"/>
      <c r="F13" s="166"/>
      <c r="G13" s="165"/>
      <c r="H13" s="167"/>
      <c r="I13" s="168"/>
    </row>
    <row r="14" spans="1:9" x14ac:dyDescent="0.2">
      <c r="A14" s="169"/>
      <c r="B14" s="64"/>
      <c r="C14" s="64"/>
      <c r="D14" s="64"/>
      <c r="E14" s="64"/>
      <c r="F14" s="27"/>
      <c r="G14" s="64"/>
      <c r="H14" s="103"/>
      <c r="I14" s="65"/>
    </row>
    <row r="15" spans="1:9" x14ac:dyDescent="0.2">
      <c r="A15" s="169"/>
      <c r="B15" s="64"/>
      <c r="C15" s="64"/>
      <c r="D15" s="64"/>
      <c r="E15" s="64"/>
      <c r="F15" s="27"/>
      <c r="G15" s="64"/>
      <c r="H15" s="103"/>
      <c r="I15" s="65"/>
    </row>
    <row r="16" spans="1:9" x14ac:dyDescent="0.2">
      <c r="A16" s="169"/>
      <c r="B16" s="64"/>
      <c r="C16" s="64"/>
      <c r="D16" s="64"/>
      <c r="E16" s="64"/>
      <c r="F16" s="27"/>
      <c r="G16" s="64"/>
      <c r="H16" s="103"/>
      <c r="I16" s="65"/>
    </row>
    <row r="17" spans="1:9" x14ac:dyDescent="0.2">
      <c r="A17" s="169"/>
      <c r="B17" s="64"/>
      <c r="C17" s="64"/>
      <c r="D17" s="64"/>
      <c r="E17" s="64"/>
      <c r="F17" s="27"/>
      <c r="G17" s="64"/>
      <c r="H17" s="103"/>
      <c r="I17" s="65"/>
    </row>
    <row r="18" spans="1:9" x14ac:dyDescent="0.2">
      <c r="A18" s="169"/>
      <c r="B18" s="64"/>
      <c r="C18" s="64"/>
      <c r="D18" s="64"/>
      <c r="E18" s="64"/>
      <c r="F18" s="27"/>
      <c r="G18" s="64"/>
      <c r="H18" s="103"/>
      <c r="I18" s="65"/>
    </row>
    <row r="19" spans="1:9" x14ac:dyDescent="0.2">
      <c r="A19" s="169"/>
      <c r="B19" s="64"/>
      <c r="C19" s="64"/>
      <c r="D19" s="64"/>
      <c r="E19" s="64"/>
      <c r="F19" s="27"/>
      <c r="G19" s="64"/>
      <c r="H19" s="103"/>
      <c r="I19" s="65"/>
    </row>
    <row r="20" spans="1:9" x14ac:dyDescent="0.2">
      <c r="A20" s="170"/>
      <c r="B20" s="74"/>
      <c r="C20" s="74"/>
      <c r="D20" s="83"/>
      <c r="E20" s="74"/>
      <c r="F20" s="31"/>
      <c r="G20" s="83"/>
      <c r="H20" s="171"/>
      <c r="I20" s="84"/>
    </row>
    <row r="21" spans="1:9" x14ac:dyDescent="0.2">
      <c r="A21" s="172" t="s">
        <v>268</v>
      </c>
      <c r="B21" s="173"/>
      <c r="C21" s="173"/>
      <c r="D21" s="174"/>
      <c r="E21" s="173"/>
      <c r="F21" s="175"/>
      <c r="G21" s="174"/>
      <c r="H21" s="176"/>
      <c r="I21" s="174"/>
    </row>
    <row r="22" spans="1:9" x14ac:dyDescent="0.2">
      <c r="A22" s="164"/>
      <c r="B22" s="165"/>
      <c r="C22" s="165"/>
      <c r="D22" s="62"/>
      <c r="E22" s="165"/>
      <c r="F22" s="166"/>
      <c r="G22" s="62"/>
      <c r="H22" s="167"/>
      <c r="I22" s="63"/>
    </row>
    <row r="23" spans="1:9" x14ac:dyDescent="0.2">
      <c r="A23" s="169"/>
      <c r="B23" s="64"/>
      <c r="C23" s="64"/>
      <c r="D23" s="64"/>
      <c r="E23" s="64"/>
      <c r="F23" s="27"/>
      <c r="G23" s="64"/>
      <c r="H23" s="103"/>
      <c r="I23" s="65"/>
    </row>
    <row r="24" spans="1:9" x14ac:dyDescent="0.2">
      <c r="A24" s="177"/>
      <c r="B24" s="64"/>
      <c r="C24" s="64"/>
      <c r="D24" s="64"/>
      <c r="E24" s="64"/>
      <c r="F24" s="64"/>
      <c r="G24" s="64"/>
      <c r="H24" s="92"/>
      <c r="I24" s="65"/>
    </row>
    <row r="25" spans="1:9" x14ac:dyDescent="0.2">
      <c r="A25" s="177"/>
      <c r="B25" s="64"/>
      <c r="C25" s="64"/>
      <c r="D25" s="64"/>
      <c r="E25" s="64"/>
      <c r="F25" s="64"/>
      <c r="G25" s="64"/>
      <c r="H25" s="92"/>
      <c r="I25" s="65"/>
    </row>
    <row r="26" spans="1:9" x14ac:dyDescent="0.2">
      <c r="A26" s="177"/>
      <c r="B26" s="64"/>
      <c r="C26" s="64"/>
      <c r="D26" s="64"/>
      <c r="E26" s="64"/>
      <c r="F26" s="64"/>
      <c r="G26" s="64"/>
      <c r="H26" s="92"/>
      <c r="I26" s="65"/>
    </row>
    <row r="27" spans="1:9" x14ac:dyDescent="0.2">
      <c r="A27" s="177"/>
      <c r="B27" s="64"/>
      <c r="C27" s="64"/>
      <c r="D27" s="64"/>
      <c r="E27" s="64"/>
      <c r="F27" s="64"/>
      <c r="G27" s="64"/>
      <c r="H27" s="92"/>
      <c r="I27" s="65"/>
    </row>
    <row r="28" spans="1:9" x14ac:dyDescent="0.2">
      <c r="A28" s="177"/>
      <c r="B28" s="64"/>
      <c r="C28" s="64"/>
      <c r="D28" s="64"/>
      <c r="E28" s="64"/>
      <c r="F28" s="64"/>
      <c r="G28" s="64"/>
      <c r="H28" s="92"/>
      <c r="I28" s="65"/>
    </row>
    <row r="29" spans="1:9" x14ac:dyDescent="0.2">
      <c r="A29" s="177"/>
      <c r="B29" s="64"/>
      <c r="C29" s="64"/>
      <c r="D29" s="64"/>
      <c r="E29" s="64"/>
      <c r="F29" s="64"/>
      <c r="G29" s="64"/>
      <c r="H29" s="92"/>
      <c r="I29" s="65"/>
    </row>
    <row r="30" spans="1:9" x14ac:dyDescent="0.2">
      <c r="A30" s="177"/>
      <c r="B30" s="64"/>
      <c r="C30" s="64"/>
      <c r="D30" s="64"/>
      <c r="E30" s="64"/>
      <c r="F30" s="64"/>
      <c r="G30" s="64"/>
      <c r="H30" s="92"/>
      <c r="I30" s="65"/>
    </row>
    <row r="31" spans="1:9" x14ac:dyDescent="0.2">
      <c r="A31" s="177"/>
      <c r="B31" s="64"/>
      <c r="C31" s="64"/>
      <c r="D31" s="64"/>
      <c r="E31" s="64"/>
      <c r="F31" s="64"/>
      <c r="G31" s="64"/>
      <c r="H31" s="92"/>
      <c r="I31" s="65"/>
    </row>
    <row r="32" spans="1:9" x14ac:dyDescent="0.2">
      <c r="A32" s="177"/>
      <c r="B32" s="64"/>
      <c r="C32" s="64"/>
      <c r="D32" s="64"/>
      <c r="E32" s="64"/>
      <c r="F32" s="64"/>
      <c r="G32" s="64"/>
      <c r="H32" s="92"/>
      <c r="I32" s="65"/>
    </row>
    <row r="33" spans="1:9" x14ac:dyDescent="0.2">
      <c r="A33" s="177"/>
      <c r="B33" s="64"/>
      <c r="C33" s="64"/>
      <c r="D33" s="64"/>
      <c r="E33" s="64"/>
      <c r="F33" s="64"/>
      <c r="G33" s="64"/>
      <c r="H33" s="92"/>
      <c r="I33" s="65"/>
    </row>
    <row r="34" spans="1:9" x14ac:dyDescent="0.2">
      <c r="A34" s="177"/>
      <c r="B34" s="64"/>
      <c r="C34" s="64"/>
      <c r="D34" s="64"/>
      <c r="E34" s="64"/>
      <c r="F34" s="64"/>
      <c r="G34" s="64"/>
      <c r="H34" s="92"/>
      <c r="I34" s="65"/>
    </row>
    <row r="35" spans="1:9" x14ac:dyDescent="0.2">
      <c r="A35" s="177"/>
      <c r="B35" s="64"/>
      <c r="C35" s="64"/>
      <c r="D35" s="64"/>
      <c r="E35" s="64"/>
      <c r="F35" s="27"/>
      <c r="G35" s="64"/>
      <c r="H35" s="103"/>
      <c r="I35" s="65"/>
    </row>
    <row r="36" spans="1:9" x14ac:dyDescent="0.2">
      <c r="A36" s="177"/>
      <c r="B36" s="64"/>
      <c r="C36" s="64"/>
      <c r="D36" s="64"/>
      <c r="E36" s="64"/>
      <c r="F36" s="64"/>
      <c r="G36" s="64"/>
      <c r="H36" s="92"/>
      <c r="I36" s="65"/>
    </row>
    <row r="37" spans="1:9" x14ac:dyDescent="0.2">
      <c r="A37" s="177"/>
      <c r="B37" s="64"/>
      <c r="C37" s="64"/>
      <c r="D37" s="64"/>
      <c r="E37" s="64"/>
      <c r="F37" s="27"/>
      <c r="G37" s="64"/>
      <c r="H37" s="103"/>
      <c r="I37" s="65"/>
    </row>
    <row r="38" spans="1:9" x14ac:dyDescent="0.2">
      <c r="A38" s="177"/>
      <c r="B38" s="64"/>
      <c r="C38" s="64"/>
      <c r="D38" s="64"/>
      <c r="E38" s="64"/>
      <c r="F38" s="64"/>
      <c r="G38" s="64"/>
      <c r="H38" s="92"/>
      <c r="I38" s="65"/>
    </row>
    <row r="39" spans="1:9" x14ac:dyDescent="0.2">
      <c r="A39" s="177"/>
      <c r="B39" s="64"/>
      <c r="C39" s="64"/>
      <c r="D39" s="64"/>
      <c r="E39" s="64"/>
      <c r="F39" s="27"/>
      <c r="G39" s="64"/>
      <c r="H39" s="103"/>
      <c r="I39" s="65"/>
    </row>
    <row r="40" spans="1:9" x14ac:dyDescent="0.2">
      <c r="A40" s="177"/>
      <c r="B40" s="64"/>
      <c r="C40" s="64"/>
      <c r="D40" s="64"/>
      <c r="E40" s="64"/>
      <c r="F40" s="64"/>
      <c r="G40" s="64"/>
      <c r="H40" s="92"/>
      <c r="I40" s="65"/>
    </row>
    <row r="41" spans="1:9" x14ac:dyDescent="0.2">
      <c r="A41" s="177"/>
      <c r="B41" s="64"/>
      <c r="C41" s="64"/>
      <c r="D41" s="64"/>
      <c r="E41" s="64"/>
      <c r="F41" s="27"/>
      <c r="G41" s="64"/>
      <c r="H41" s="103"/>
      <c r="I41" s="65"/>
    </row>
    <row r="42" spans="1:9" x14ac:dyDescent="0.2">
      <c r="A42" s="177"/>
      <c r="B42" s="64"/>
      <c r="C42" s="64"/>
      <c r="D42" s="64"/>
      <c r="E42" s="64"/>
      <c r="F42" s="64"/>
      <c r="G42" s="64"/>
      <c r="H42" s="92"/>
      <c r="I42" s="65"/>
    </row>
    <row r="43" spans="1:9" x14ac:dyDescent="0.2">
      <c r="A43" s="177"/>
      <c r="B43" s="64"/>
      <c r="C43" s="64"/>
      <c r="D43" s="64"/>
      <c r="E43" s="64"/>
      <c r="F43" s="27"/>
      <c r="G43" s="64"/>
      <c r="H43" s="103"/>
      <c r="I43" s="65"/>
    </row>
    <row r="44" spans="1:9" x14ac:dyDescent="0.2">
      <c r="A44" s="177"/>
      <c r="B44" s="64"/>
      <c r="C44" s="64"/>
      <c r="D44" s="64"/>
      <c r="E44" s="64"/>
      <c r="F44" s="64"/>
      <c r="G44" s="64"/>
      <c r="H44" s="92"/>
      <c r="I44" s="65"/>
    </row>
    <row r="45" spans="1:9" x14ac:dyDescent="0.2">
      <c r="A45" s="177"/>
      <c r="B45" s="64"/>
      <c r="C45" s="64"/>
      <c r="D45" s="64"/>
      <c r="E45" s="64"/>
      <c r="F45" s="27"/>
      <c r="G45" s="64"/>
      <c r="H45" s="103"/>
      <c r="I45" s="65"/>
    </row>
    <row r="46" spans="1:9" x14ac:dyDescent="0.2">
      <c r="A46" s="177"/>
      <c r="B46" s="64"/>
      <c r="C46" s="64"/>
      <c r="D46" s="64"/>
      <c r="E46" s="64"/>
      <c r="F46" s="64"/>
      <c r="G46" s="64"/>
      <c r="H46" s="92"/>
      <c r="I46" s="65"/>
    </row>
    <row r="47" spans="1:9" x14ac:dyDescent="0.2">
      <c r="A47" s="177"/>
      <c r="B47" s="64"/>
      <c r="C47" s="64"/>
      <c r="D47" s="64"/>
      <c r="E47" s="64"/>
      <c r="F47" s="27"/>
      <c r="G47" s="64"/>
      <c r="H47" s="103"/>
      <c r="I47" s="65"/>
    </row>
    <row r="48" spans="1:9" x14ac:dyDescent="0.2">
      <c r="A48" s="177"/>
      <c r="B48" s="64"/>
      <c r="C48" s="64"/>
      <c r="D48" s="64"/>
      <c r="E48" s="64"/>
      <c r="F48" s="64"/>
      <c r="G48" s="64"/>
      <c r="H48" s="92"/>
      <c r="I48" s="65"/>
    </row>
    <row r="49" spans="1:9" x14ac:dyDescent="0.2">
      <c r="A49" s="177"/>
      <c r="B49" s="64"/>
      <c r="C49" s="64"/>
      <c r="D49" s="64"/>
      <c r="E49" s="64"/>
      <c r="F49" s="27"/>
      <c r="G49" s="64"/>
      <c r="H49" s="103"/>
      <c r="I49" s="65"/>
    </row>
    <row r="50" spans="1:9" x14ac:dyDescent="0.2">
      <c r="A50" s="177"/>
      <c r="B50" s="64"/>
      <c r="C50" s="64"/>
      <c r="D50" s="64"/>
      <c r="E50" s="64"/>
      <c r="F50" s="64"/>
      <c r="G50" s="64"/>
      <c r="H50" s="92"/>
      <c r="I50" s="65"/>
    </row>
    <row r="51" spans="1:9" x14ac:dyDescent="0.2">
      <c r="A51" s="177"/>
      <c r="B51" s="64"/>
      <c r="C51" s="64"/>
      <c r="D51" s="64"/>
      <c r="E51" s="64"/>
      <c r="F51" s="27"/>
      <c r="G51" s="64"/>
      <c r="H51" s="103"/>
      <c r="I51" s="65"/>
    </row>
    <row r="52" spans="1:9" x14ac:dyDescent="0.2">
      <c r="A52" s="177"/>
      <c r="B52" s="64"/>
      <c r="C52" s="64"/>
      <c r="D52" s="64"/>
      <c r="E52" s="64"/>
      <c r="F52" s="64"/>
      <c r="G52" s="64"/>
      <c r="H52" s="92"/>
      <c r="I52" s="65"/>
    </row>
    <row r="53" spans="1:9" x14ac:dyDescent="0.2">
      <c r="A53" s="169"/>
      <c r="B53" s="64"/>
      <c r="C53" s="64"/>
      <c r="D53" s="64"/>
      <c r="E53" s="64"/>
      <c r="F53" s="27"/>
      <c r="G53" s="64"/>
      <c r="H53" s="103"/>
      <c r="I53" s="65"/>
    </row>
    <row r="54" spans="1:9" x14ac:dyDescent="0.2">
      <c r="A54" s="89" t="s">
        <v>269</v>
      </c>
      <c r="B54" s="151"/>
      <c r="C54" s="151"/>
      <c r="D54" s="151"/>
      <c r="E54" s="151"/>
      <c r="F54" s="178"/>
      <c r="G54" s="151"/>
      <c r="H54" s="179"/>
      <c r="I54" s="180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C1" workbookViewId="0">
      <selection activeCell="F1" sqref="F1"/>
    </sheetView>
  </sheetViews>
  <sheetFormatPr defaultColWidth="11.42578125" defaultRowHeight="12.75" x14ac:dyDescent="0.2"/>
  <cols>
    <col min="1" max="1" width="32.140625" style="181" customWidth="1"/>
    <col min="2" max="7" width="14" style="181" customWidth="1"/>
    <col min="8" max="8" width="17.42578125" style="181" customWidth="1"/>
    <col min="9" max="16384" width="11.42578125" style="181"/>
  </cols>
  <sheetData>
    <row r="1" spans="1:7" x14ac:dyDescent="0.2">
      <c r="A1" s="1" t="s">
        <v>0</v>
      </c>
      <c r="B1"/>
      <c r="C1"/>
      <c r="D1"/>
      <c r="E1" s="147"/>
      <c r="F1" s="2">
        <f>InfoInicial!E1</f>
        <v>1</v>
      </c>
    </row>
    <row r="2" spans="1:7" ht="15.75" x14ac:dyDescent="0.25">
      <c r="A2" s="182" t="s">
        <v>270</v>
      </c>
      <c r="B2" s="183"/>
      <c r="C2" s="183"/>
      <c r="D2" s="183"/>
      <c r="E2" s="183"/>
      <c r="F2" s="183"/>
      <c r="G2" s="184"/>
    </row>
    <row r="3" spans="1:7" x14ac:dyDescent="0.2">
      <c r="A3" s="185" t="s">
        <v>88</v>
      </c>
      <c r="B3" s="186" t="s">
        <v>48</v>
      </c>
      <c r="C3" s="186" t="s">
        <v>89</v>
      </c>
      <c r="D3" s="186" t="s">
        <v>90</v>
      </c>
      <c r="E3" s="186" t="s">
        <v>91</v>
      </c>
      <c r="F3" s="187" t="s">
        <v>92</v>
      </c>
      <c r="G3" s="188" t="s">
        <v>192</v>
      </c>
    </row>
    <row r="4" spans="1:7" x14ac:dyDescent="0.2">
      <c r="A4" s="181" t="s">
        <v>271</v>
      </c>
      <c r="B4" s="64"/>
      <c r="C4" s="64"/>
      <c r="D4" s="64"/>
      <c r="E4" s="64"/>
      <c r="F4" s="119"/>
      <c r="G4" s="65"/>
    </row>
    <row r="5" spans="1:7" x14ac:dyDescent="0.2">
      <c r="A5" s="181" t="s">
        <v>272</v>
      </c>
      <c r="B5" s="64"/>
      <c r="C5" s="64"/>
      <c r="D5" s="64"/>
      <c r="E5" s="64"/>
      <c r="F5" s="119"/>
      <c r="G5" s="65"/>
    </row>
    <row r="6" spans="1:7" x14ac:dyDescent="0.2">
      <c r="A6" s="181" t="s">
        <v>273</v>
      </c>
      <c r="B6" s="64"/>
      <c r="C6" s="64"/>
      <c r="D6" s="64"/>
      <c r="E6" s="64"/>
      <c r="F6" s="119"/>
      <c r="G6" s="65"/>
    </row>
    <row r="7" spans="1:7" x14ac:dyDescent="0.2">
      <c r="A7" s="181" t="s">
        <v>114</v>
      </c>
      <c r="B7" s="90"/>
      <c r="C7" s="90"/>
      <c r="D7" s="90"/>
      <c r="E7" s="90"/>
      <c r="F7" s="120"/>
      <c r="G7" s="91"/>
    </row>
    <row r="8" spans="1:7" x14ac:dyDescent="0.2">
      <c r="A8" s="181" t="s">
        <v>274</v>
      </c>
      <c r="B8" s="64"/>
      <c r="C8" s="64"/>
      <c r="D8" s="64"/>
      <c r="E8" s="64"/>
      <c r="F8" s="119"/>
      <c r="G8" s="65"/>
    </row>
    <row r="9" spans="1:7" x14ac:dyDescent="0.2">
      <c r="A9" s="181" t="s">
        <v>275</v>
      </c>
      <c r="B9" s="64"/>
      <c r="C9" s="64"/>
      <c r="D9" s="64"/>
      <c r="E9" s="64"/>
      <c r="F9" s="119"/>
      <c r="G9" s="65"/>
    </row>
    <row r="10" spans="1:7" x14ac:dyDescent="0.2">
      <c r="A10" s="181" t="s">
        <v>276</v>
      </c>
      <c r="B10" s="64"/>
      <c r="C10" s="64"/>
      <c r="D10" s="64"/>
      <c r="E10" s="64"/>
      <c r="F10" s="119"/>
      <c r="G10" s="65"/>
    </row>
    <row r="11" spans="1:7" x14ac:dyDescent="0.2">
      <c r="A11" s="189" t="s">
        <v>277</v>
      </c>
      <c r="B11" s="64"/>
      <c r="C11" s="64"/>
      <c r="D11" s="64"/>
      <c r="E11" s="64"/>
      <c r="F11" s="119"/>
      <c r="G11" s="65"/>
    </row>
    <row r="12" spans="1:7" x14ac:dyDescent="0.2">
      <c r="A12" s="181" t="s">
        <v>278</v>
      </c>
      <c r="B12" s="64"/>
      <c r="C12" s="64"/>
      <c r="D12" s="64"/>
      <c r="E12" s="64"/>
      <c r="F12" s="119"/>
      <c r="G12" s="65"/>
    </row>
    <row r="13" spans="1:7" x14ac:dyDescent="0.2">
      <c r="A13" s="190" t="s">
        <v>279</v>
      </c>
      <c r="B13" s="64"/>
      <c r="C13" s="64"/>
      <c r="D13" s="64"/>
      <c r="E13" s="64"/>
      <c r="F13" s="119"/>
      <c r="G13" s="65"/>
    </row>
    <row r="14" spans="1:7" x14ac:dyDescent="0.2">
      <c r="A14" s="191" t="s">
        <v>280</v>
      </c>
      <c r="B14" s="74"/>
      <c r="C14" s="74"/>
      <c r="D14" s="74"/>
      <c r="E14" s="74"/>
      <c r="F14" s="121"/>
      <c r="G14" s="7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'E-Costos'!Print_Area</vt:lpstr>
      <vt:lpstr>'F- CFyU'!Print_Area</vt:lpstr>
      <vt:lpstr>'F-Balance'!Print_Area</vt:lpstr>
      <vt:lpstr>'F-Cred'!Print_Area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Usuario de Windows</cp:lastModifiedBy>
  <dcterms:created xsi:type="dcterms:W3CDTF">2017-09-01T03:27:48Z</dcterms:created>
  <dcterms:modified xsi:type="dcterms:W3CDTF">2017-09-01T21:07:22Z</dcterms:modified>
</cp:coreProperties>
</file>