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8915" windowHeight="3150" activeTab="6"/>
  </bookViews>
  <sheets>
    <sheet name="Plan de Ventas" sheetId="11" r:id="rId1"/>
    <sheet name="Ej1" sheetId="7" r:id="rId2"/>
    <sheet name="Ej2" sheetId="10" r:id="rId3"/>
    <sheet name="Ej3-4-5" sheetId="8" r:id="rId4"/>
    <sheet name="Ej 6 " sheetId="13" r:id="rId5"/>
    <sheet name="Ej 7 y 8" sheetId="12" r:id="rId6"/>
    <sheet name="Ej 9" sheetId="14" r:id="rId7"/>
    <sheet name="Ej 10 y 11" sheetId="15" r:id="rId8"/>
    <sheet name="Maquinas Especificaciones" sheetId="9" r:id="rId9"/>
    <sheet name="Borrador" sheetId="4" r:id="rId10"/>
  </sheets>
  <calcPr calcId="124519"/>
</workbook>
</file>

<file path=xl/calcChain.xml><?xml version="1.0" encoding="utf-8"?>
<calcChain xmlns="http://schemas.openxmlformats.org/spreadsheetml/2006/main">
  <c r="E55" i="15"/>
  <c r="E56"/>
  <c r="G54"/>
  <c r="F54"/>
  <c r="G53"/>
  <c r="F53"/>
  <c r="F52"/>
  <c r="G37" i="14"/>
  <c r="G44"/>
  <c r="G45" s="1"/>
  <c r="G43"/>
  <c r="G52" i="15"/>
  <c r="G51"/>
  <c r="F51"/>
  <c r="G50"/>
  <c r="F50"/>
  <c r="G49"/>
  <c r="F49"/>
  <c r="D7"/>
  <c r="G20" s="1"/>
  <c r="N14"/>
  <c r="F12" s="1"/>
  <c r="F12" i="13"/>
  <c r="G49" i="14"/>
  <c r="G47"/>
  <c r="G48"/>
  <c r="F40"/>
  <c r="F36"/>
  <c r="F35"/>
  <c r="E34"/>
  <c r="I33"/>
  <c r="G17"/>
  <c r="F14"/>
  <c r="K4"/>
  <c r="D14" i="7"/>
  <c r="F14" i="13"/>
  <c r="F13"/>
  <c r="C5"/>
  <c r="L3" i="12" s="1"/>
  <c r="E19" s="1"/>
  <c r="G23" i="15" l="1"/>
  <c r="G22"/>
  <c r="G12"/>
  <c r="G19"/>
  <c r="G14"/>
  <c r="G15" s="1"/>
  <c r="E12"/>
  <c r="G18"/>
  <c r="G13"/>
  <c r="G17"/>
  <c r="G21"/>
  <c r="J5"/>
  <c r="G16"/>
  <c r="H13" i="13"/>
  <c r="E8"/>
  <c r="E19" s="1"/>
  <c r="C6" i="12"/>
  <c r="F8" s="1"/>
  <c r="G13" i="13"/>
  <c r="G12"/>
  <c r="H12" s="1"/>
  <c r="E21"/>
  <c r="G14"/>
  <c r="H14" s="1"/>
  <c r="E13" i="15" l="1"/>
  <c r="J24" i="14"/>
  <c r="H15" i="13"/>
  <c r="J23" i="14" s="1"/>
  <c r="J25" s="1"/>
  <c r="C1" i="8"/>
  <c r="J8" i="9"/>
  <c r="H13" i="15" l="1"/>
  <c r="F13" s="1"/>
  <c r="E20" i="13"/>
  <c r="C9" i="7"/>
  <c r="C11"/>
  <c r="E14" i="15" l="1"/>
  <c r="H14" s="1"/>
  <c r="F14" s="1"/>
  <c r="E15"/>
  <c r="H15" s="1"/>
  <c r="F15" s="1"/>
  <c r="E16" s="1"/>
  <c r="J27" i="14"/>
  <c r="J29" s="1"/>
  <c r="E16" i="12"/>
  <c r="H16" i="9"/>
  <c r="F6" i="8" s="1"/>
  <c r="E12" i="7"/>
  <c r="B28" i="10"/>
  <c r="L4" i="11"/>
  <c r="J4"/>
  <c r="H4"/>
  <c r="F4"/>
  <c r="B4"/>
  <c r="C4"/>
  <c r="D4" s="1"/>
  <c r="H16" i="15" l="1"/>
  <c r="F16" s="1"/>
  <c r="E17" s="1"/>
  <c r="B7" i="4"/>
  <c r="H18" i="9"/>
  <c r="F8" i="8" s="1"/>
  <c r="H2" i="9"/>
  <c r="C26" i="10"/>
  <c r="C24"/>
  <c r="B19"/>
  <c r="D17"/>
  <c r="D16"/>
  <c r="D15"/>
  <c r="D14"/>
  <c r="E7"/>
  <c r="E6"/>
  <c r="P10" i="9"/>
  <c r="P9"/>
  <c r="P7"/>
  <c r="J7"/>
  <c r="E18" i="15" l="1"/>
  <c r="H17"/>
  <c r="F17" s="1"/>
  <c r="H17" i="9"/>
  <c r="F7" i="8" s="1"/>
  <c r="P8" i="9"/>
  <c r="H19" s="1"/>
  <c r="F9" i="8" s="1"/>
  <c r="D12" i="7"/>
  <c r="H18" i="15" l="1"/>
  <c r="F18" s="1"/>
  <c r="E19" s="1"/>
  <c r="G23" i="4"/>
  <c r="D9" i="8"/>
  <c r="E9" s="1"/>
  <c r="G9" s="1"/>
  <c r="B20" i="4"/>
  <c r="H19" i="15" l="1"/>
  <c r="F19" s="1"/>
  <c r="E20" s="1"/>
  <c r="D20" i="8"/>
  <c r="D8"/>
  <c r="E8" s="1"/>
  <c r="D7"/>
  <c r="E7" s="1"/>
  <c r="D6"/>
  <c r="E6" s="1"/>
  <c r="G6" s="1"/>
  <c r="D17" s="1"/>
  <c r="E11" i="7"/>
  <c r="B11" i="4"/>
  <c r="H20" i="15" l="1"/>
  <c r="F20" s="1"/>
  <c r="E21" s="1"/>
  <c r="G7" i="8"/>
  <c r="D18" s="1"/>
  <c r="G8"/>
  <c r="D19" s="1"/>
  <c r="C12" i="7"/>
  <c r="D17"/>
  <c r="P20" i="4"/>
  <c r="R10"/>
  <c r="R8"/>
  <c r="R9" s="1"/>
  <c r="B14"/>
  <c r="E22" i="15" l="1"/>
  <c r="H21"/>
  <c r="F21" s="1"/>
  <c r="D16" i="7"/>
  <c r="B11"/>
  <c r="C20" i="8" s="1"/>
  <c r="R11" i="4"/>
  <c r="R14" s="1"/>
  <c r="R15" s="1"/>
  <c r="P6"/>
  <c r="R7"/>
  <c r="Q17" s="1"/>
  <c r="Q20" s="1"/>
  <c r="E23" i="15" l="1"/>
  <c r="H22"/>
  <c r="F22" s="1"/>
  <c r="E10" i="7"/>
  <c r="B10" s="1"/>
  <c r="E20" i="8"/>
  <c r="F20" s="1"/>
  <c r="G20" s="1"/>
  <c r="A20" s="1"/>
  <c r="H23" i="15" l="1"/>
  <c r="F23" s="1"/>
  <c r="G56" s="1"/>
  <c r="F25"/>
  <c r="E9" i="7"/>
  <c r="B9" s="1"/>
  <c r="C19" i="8"/>
  <c r="E19" s="1"/>
  <c r="F19" s="1"/>
  <c r="G19" s="1"/>
  <c r="A19" s="1"/>
  <c r="I25" i="15" l="1"/>
  <c r="G55"/>
  <c r="F55"/>
  <c r="F56" s="1"/>
  <c r="E8" i="7"/>
  <c r="B8" s="1"/>
  <c r="C18" i="8"/>
  <c r="E18" s="1"/>
  <c r="F18" s="1"/>
  <c r="G18" s="1"/>
  <c r="A18" s="1"/>
  <c r="B12" i="7" l="1"/>
  <c r="C17" i="8"/>
  <c r="E17" s="1"/>
  <c r="F17" s="1"/>
  <c r="G17" s="1"/>
  <c r="A17" s="1"/>
  <c r="C26" s="1"/>
  <c r="D15" i="7" l="1"/>
  <c r="C25" i="8"/>
</calcChain>
</file>

<file path=xl/sharedStrings.xml><?xml version="1.0" encoding="utf-8"?>
<sst xmlns="http://schemas.openxmlformats.org/spreadsheetml/2006/main" count="483" uniqueCount="341">
  <si>
    <t>Producción en estado de régimen</t>
  </si>
  <si>
    <t>unidades anuales</t>
  </si>
  <si>
    <t>kg</t>
  </si>
  <si>
    <t>unidades</t>
  </si>
  <si>
    <t>Desperdicios</t>
  </si>
  <si>
    <t>Recuperables</t>
  </si>
  <si>
    <t>No Recuperables</t>
  </si>
  <si>
    <t>Inyección</t>
  </si>
  <si>
    <t>Impresión</t>
  </si>
  <si>
    <t>-</t>
  </si>
  <si>
    <t>Inserto estanqueidad</t>
  </si>
  <si>
    <t>Troquel</t>
  </si>
  <si>
    <t>Alimentación</t>
  </si>
  <si>
    <t>Producción
por área</t>
  </si>
  <si>
    <t>Peso de una tapa plástica</t>
  </si>
  <si>
    <t>kgs</t>
  </si>
  <si>
    <t>Inyección-Troquel</t>
  </si>
  <si>
    <t>kilogramos/año</t>
  </si>
  <si>
    <t xml:space="preserve">Total </t>
  </si>
  <si>
    <t>Volumen ingresado para la producción anual</t>
  </si>
  <si>
    <t>kilos</t>
  </si>
  <si>
    <t>Consumo real de MP</t>
  </si>
  <si>
    <t>Porcentaje de desperdicio operativo</t>
  </si>
  <si>
    <t>%</t>
  </si>
  <si>
    <t>Porcentaje de desperdicio real</t>
  </si>
  <si>
    <t>Inyectora</t>
  </si>
  <si>
    <t>Capacidad</t>
  </si>
  <si>
    <t>25000-30000/h</t>
  </si>
  <si>
    <t>unidades/hora</t>
  </si>
  <si>
    <t>12000-25000caps/hour</t>
  </si>
  <si>
    <t>cm3</t>
  </si>
  <si>
    <t>capacidad inyeccion</t>
  </si>
  <si>
    <t>Radio</t>
  </si>
  <si>
    <t>cm</t>
  </si>
  <si>
    <t>Volumen Tapa</t>
  </si>
  <si>
    <t>Volumen contorno</t>
  </si>
  <si>
    <t>Vol total tapa</t>
  </si>
  <si>
    <t>Cavidades necesarias</t>
  </si>
  <si>
    <t>area parte plana</t>
  </si>
  <si>
    <t>Area * Pi</t>
  </si>
  <si>
    <t>clamp tonage</t>
  </si>
  <si>
    <t>kilo = 1 unidad</t>
  </si>
  <si>
    <t>14400 uni/hr</t>
  </si>
  <si>
    <t>Info Augusto</t>
  </si>
  <si>
    <t>Molde proforma</t>
  </si>
  <si>
    <t>cavidades</t>
  </si>
  <si>
    <t>Capacidad de inyector</t>
  </si>
  <si>
    <t>segundos</t>
  </si>
  <si>
    <t>uni/segundo</t>
  </si>
  <si>
    <t>uni/hora</t>
  </si>
  <si>
    <t>Guarnicionadora</t>
  </si>
  <si>
    <t>http://www.megamachinery.com/old/spain/32_cavity_cap_mold_22.html</t>
  </si>
  <si>
    <t>http://www.tuzma.com/Automatica-Impresora-tampografica-de-tapas-de-4-colores-p-346.html</t>
  </si>
  <si>
    <t>días</t>
  </si>
  <si>
    <t>Mañana</t>
  </si>
  <si>
    <t>Tarde</t>
  </si>
  <si>
    <t>Noche</t>
  </si>
  <si>
    <t>hs</t>
  </si>
  <si>
    <t>Desperdicios anual (UNIDADES)</t>
  </si>
  <si>
    <t>Horas laborales en un año</t>
  </si>
  <si>
    <t>Hs activas 
x año</t>
  </si>
  <si>
    <t>Capacidad 
teorica anual</t>
  </si>
  <si>
    <t>Secciones Operativas</t>
  </si>
  <si>
    <t>Capacidad teórica
(unidades x hora)</t>
  </si>
  <si>
    <t>Programa Anual
 de Producción</t>
  </si>
  <si>
    <t>Cantidad Máq. 
Necesarias</t>
  </si>
  <si>
    <t>Aprovechamiento 
seccional (%)</t>
  </si>
  <si>
    <t>Capacidad real
(unidades x año)</t>
  </si>
  <si>
    <t>Capacidad real
(kilos x año)</t>
  </si>
  <si>
    <t>Capacidad real 
sección x año</t>
  </si>
  <si>
    <t>CUELLO DE BOTELLA</t>
  </si>
  <si>
    <t>Capacidad real del cuello de botella</t>
  </si>
  <si>
    <t>kilos por año</t>
  </si>
  <si>
    <t>Especificaciones técnicas de la máquina</t>
  </si>
  <si>
    <t>Troqueladora</t>
  </si>
  <si>
    <t>Impresora</t>
  </si>
  <si>
    <t>Guarnición</t>
  </si>
  <si>
    <t>Capacidad de Producción</t>
  </si>
  <si>
    <t>Potencia eléctrica instalada</t>
  </si>
  <si>
    <t>kW (50Hz)</t>
  </si>
  <si>
    <t>Potencia absorbida eléctrica</t>
  </si>
  <si>
    <t xml:space="preserve">kW </t>
  </si>
  <si>
    <t>Consumo aire comprimido</t>
  </si>
  <si>
    <t>N/min</t>
  </si>
  <si>
    <t>ype</t>
  </si>
  <si>
    <t>Automatic</t>
  </si>
  <si>
    <t>Total power</t>
  </si>
  <si>
    <t>0.7KW</t>
  </si>
  <si>
    <t>Cap diameter</t>
  </si>
  <si>
    <t>25mm-60mm </t>
  </si>
  <si>
    <t>Supply voltage</t>
  </si>
  <si>
    <t>220V,50Hz</t>
  </si>
  <si>
    <t>Cap height</t>
  </si>
  <si>
    <t>15mm-25mm</t>
  </si>
  <si>
    <t>Compressed air consumption</t>
  </si>
  <si>
    <t>Up to 600N1/min</t>
  </si>
  <si>
    <t>Capacity</t>
  </si>
  <si>
    <t>15000-20000pcs/hr</t>
  </si>
  <si>
    <t>Machine weight</t>
  </si>
  <si>
    <t>150KG</t>
  </si>
  <si>
    <t>Power</t>
  </si>
  <si>
    <t>1KW</t>
  </si>
  <si>
    <t>Machine size</t>
  </si>
  <si>
    <t>1780mm×620mm×1000mm</t>
  </si>
  <si>
    <t>15.000-20.000</t>
  </si>
  <si>
    <t>JND1680</t>
  </si>
  <si>
    <t>JND2280</t>
  </si>
  <si>
    <t>JND2680</t>
  </si>
  <si>
    <t>JND3280</t>
  </si>
  <si>
    <t>JND3980</t>
  </si>
  <si>
    <t>Unidad de inyección</t>
  </si>
  <si>
    <t>Diámetro de tornillo (mm)</t>
  </si>
  <si>
    <t>Relación L/D de tornillo</t>
  </si>
  <si>
    <r>
      <t>Volumen de tiro (Teórico) (cm</t>
    </r>
    <r>
      <rPr>
        <vertAlign val="superscript"/>
        <sz val="8"/>
        <color rgb="FF333333"/>
        <rFont val="Verdana"/>
        <family val="2"/>
      </rPr>
      <t>3</t>
    </r>
    <r>
      <rPr>
        <sz val="8"/>
        <color rgb="FF333333"/>
        <rFont val="Verdana"/>
        <family val="2"/>
      </rPr>
      <t>)</t>
    </r>
  </si>
  <si>
    <t>Peso de inyección (PET) (g)</t>
  </si>
  <si>
    <t>Índice de inyección (g/s)</t>
  </si>
  <si>
    <t>Capacidad de plastificación (g/446s)</t>
  </si>
  <si>
    <t>Presión de inyección (Mpa)</t>
  </si>
  <si>
    <t>Velocidad de tornillo (rpm)</t>
  </si>
  <si>
    <t>0-150</t>
  </si>
  <si>
    <t>0-180</t>
  </si>
  <si>
    <t>0-190</t>
  </si>
  <si>
    <t>0-160</t>
  </si>
  <si>
    <t>0-165</t>
  </si>
  <si>
    <t>Unidad de sujeción</t>
  </si>
  <si>
    <t>Fuerza de sujeción (kn)</t>
  </si>
  <si>
    <t>Recorrido de placa de molde móvil (mm)</t>
  </si>
  <si>
    <t>Especio entre barras de union (mm)</t>
  </si>
  <si>
    <t>460x460</t>
  </si>
  <si>
    <t>510x510</t>
  </si>
  <si>
    <t>570x570</t>
  </si>
  <si>
    <t>660x660</t>
  </si>
  <si>
    <t>720x720</t>
  </si>
  <si>
    <t>Altura máx. de molde (mm)</t>
  </si>
  <si>
    <t>Altura mín. de molde (mm)</t>
  </si>
  <si>
    <t>Recorrido de eyector (mm)</t>
  </si>
  <si>
    <t>Fuerza de eyector (kN)</t>
  </si>
  <si>
    <t>Número de eyector (Pieza)</t>
  </si>
  <si>
    <t>Otros</t>
  </si>
  <si>
    <t>Presión máx. de bomba (Mpa)</t>
  </si>
  <si>
    <t>Potencia de motor de bomba (kw)</t>
  </si>
  <si>
    <t>Potencia de calentador (kw)</t>
  </si>
  <si>
    <t>16.5</t>
  </si>
  <si>
    <t>21.5</t>
  </si>
  <si>
    <t>23.8</t>
  </si>
  <si>
    <t>24.8</t>
  </si>
  <si>
    <t>Dimensión de máquina (LxAxA) (m)</t>
  </si>
  <si>
    <t>5.0x1.4x2.1</t>
  </si>
  <si>
    <t>6.0x1.4x3.2</t>
  </si>
  <si>
    <t>6.1x1.5x2.2</t>
  </si>
  <si>
    <t>6.9x1.7x2.5</t>
  </si>
  <si>
    <t>7.1x1.9x2.5</t>
  </si>
  <si>
    <t>Peso de máquina (t)</t>
  </si>
  <si>
    <t>5.4</t>
  </si>
  <si>
    <t>6.9</t>
  </si>
  <si>
    <t>8.0</t>
  </si>
  <si>
    <t>12.0</t>
  </si>
  <si>
    <t>15.7</t>
  </si>
  <si>
    <t>Capacidad de tolva (L)</t>
  </si>
  <si>
    <t>Capacidad de tanque de aceite (L)</t>
  </si>
  <si>
    <t>inyectora</t>
  </si>
  <si>
    <t>Moldes</t>
  </si>
  <si>
    <t>Cavidades</t>
  </si>
  <si>
    <t>Mpa</t>
  </si>
  <si>
    <t>kW</t>
  </si>
  <si>
    <t>Potencia de calentador</t>
  </si>
  <si>
    <t>Presión máx. de bomba</t>
  </si>
  <si>
    <t>Potencia de motor de bomba</t>
  </si>
  <si>
    <t>Potencia</t>
  </si>
  <si>
    <t>Dimension</t>
  </si>
  <si>
    <t>Peso</t>
  </si>
  <si>
    <t>mm</t>
  </si>
  <si>
    <t>kg/h</t>
  </si>
  <si>
    <t>KW</t>
  </si>
  <si>
    <t>HP</t>
  </si>
  <si>
    <t>SPGP-300</t>
  </si>
  <si>
    <t>310×200</t>
  </si>
  <si>
    <t>150-200</t>
  </si>
  <si>
    <t>5.5</t>
  </si>
  <si>
    <t>7.5</t>
  </si>
  <si>
    <t>109×71×118</t>
  </si>
  <si>
    <t>Molino</t>
  </si>
  <si>
    <t>kg/hora</t>
  </si>
  <si>
    <t>Compresor</t>
  </si>
  <si>
    <t>minuto</t>
  </si>
  <si>
    <t>https://www.interempresas.net/FeriaVirtual/Catalogos_y_documentos/69297/TH0013_TH0019_Apilador_manual.pdf</t>
  </si>
  <si>
    <t>http://www.aguamarket.com/productos/productos.asp?producto=13572</t>
  </si>
  <si>
    <t>compresor</t>
  </si>
  <si>
    <t>Compresor de Aire Electrico de 7.5 HP  de Doble Piston</t>
  </si>
  <si>
    <t>El Compresor de Aire Electrico de 7.5 HP, es un compresor de transmisión por correas y de doble piston, su estanque es de 120 Libras y su velocidad es de 1000 r.p.m.</t>
  </si>
  <si>
    <t>Especificaciones Técnicas del Compresor de Aire Eléctrico de 7.5 HP.</t>
  </si>
  <si>
    <t>- Potencia: 7.5HP (5.5kw) </t>
  </si>
  <si>
    <t>- Cilindro: 2 * 90mm </t>
  </si>
  <si>
    <t>- Velocidad : 1000 R.P.M </t>
  </si>
  <si>
    <t>- Presión: 8BAR (115psi) 10BAR (145psi) </t>
  </si>
  <si>
    <t>- Caudal: 760L/min. (26.8 cfm) </t>
  </si>
  <si>
    <t>- Calderín: 120L </t>
  </si>
  <si>
    <t>- Peso: 146kgs </t>
  </si>
  <si>
    <t>- Dimensiones: 139 x 50 x 95 cm</t>
  </si>
  <si>
    <t>Velocidad</t>
  </si>
  <si>
    <t>rpm</t>
  </si>
  <si>
    <t>Presión</t>
  </si>
  <si>
    <t>bar</t>
  </si>
  <si>
    <t>lts/min</t>
  </si>
  <si>
    <t>Caudal</t>
  </si>
  <si>
    <t>lts</t>
  </si>
  <si>
    <t>Calderín</t>
  </si>
  <si>
    <t>Tiempo de moldeo (ciclo)</t>
  </si>
  <si>
    <t>Paradas</t>
  </si>
  <si>
    <t>por semana</t>
  </si>
  <si>
    <t>por día</t>
  </si>
  <si>
    <t>Duración</t>
  </si>
  <si>
    <t>por año</t>
  </si>
  <si>
    <t>(Horas activas - horas imprevistas)/horas activas</t>
  </si>
  <si>
    <t>Rendimientos</t>
  </si>
  <si>
    <t>semanas</t>
  </si>
  <si>
    <t>En un año lab</t>
  </si>
  <si>
    <t>Horas lab</t>
  </si>
  <si>
    <t>Total por año</t>
  </si>
  <si>
    <t>Rendimiento
operativo</t>
  </si>
  <si>
    <t>Días laborables año calendario</t>
  </si>
  <si>
    <t>Lunes a Sábado</t>
  </si>
  <si>
    <t>turnos</t>
  </si>
  <si>
    <t>Duración de los turnos</t>
  </si>
  <si>
    <t>Sábados</t>
  </si>
  <si>
    <t>Lunes</t>
  </si>
  <si>
    <t>Martes-Viernes</t>
  </si>
  <si>
    <t>Horas establecidas por día</t>
  </si>
  <si>
    <t>Lunes -Viernes</t>
  </si>
  <si>
    <t>Cantidad de días por año</t>
  </si>
  <si>
    <t>Cantidad de horas por año</t>
  </si>
  <si>
    <t>Preparación y mantenimiento máquinas:</t>
  </si>
  <si>
    <t>Día</t>
  </si>
  <si>
    <t>Turnos laborales</t>
  </si>
  <si>
    <t>Paradas establecidas en un año</t>
  </si>
  <si>
    <t>Horas reales de producción</t>
  </si>
  <si>
    <t>Plan de Ventas</t>
  </si>
  <si>
    <t>Año 1</t>
  </si>
  <si>
    <t>Año 2</t>
  </si>
  <si>
    <t>Año 3</t>
  </si>
  <si>
    <t>Año 4</t>
  </si>
  <si>
    <t>Año 5</t>
  </si>
  <si>
    <t>Horas activas laborales al año</t>
  </si>
  <si>
    <t>3 operarios por turno</t>
  </si>
  <si>
    <t>Horas anuales trabajadas por cada operario</t>
  </si>
  <si>
    <t>Producción anual:</t>
  </si>
  <si>
    <t>Volúmen de producción mensual en estado de régimen (promedio):</t>
  </si>
  <si>
    <t>Mes</t>
  </si>
  <si>
    <t>Ritmo de producción al inicio (%)</t>
  </si>
  <si>
    <t>Ritmo de producción al final(%)</t>
  </si>
  <si>
    <t>Producción Promedio(%)</t>
  </si>
  <si>
    <t>Producción mensual promedio (kg)</t>
  </si>
  <si>
    <t>Producción propuesta(KG)</t>
  </si>
  <si>
    <t xml:space="preserve">total= </t>
  </si>
  <si>
    <t>Semanas/año:</t>
  </si>
  <si>
    <t>(No se consideran vacaciones)</t>
  </si>
  <si>
    <t>kg/semana</t>
  </si>
  <si>
    <t xml:space="preserve">Stock promedio del elaborado: </t>
  </si>
  <si>
    <t>Volúmen de producción semanal promedio, en estado de régimen:</t>
  </si>
  <si>
    <t>Volúmen de producción en el año 1:</t>
  </si>
  <si>
    <t xml:space="preserve">Este stock se forma en el período de puesta en marcha, y se mantedrá cte., aunque permanentemente renovado. </t>
  </si>
  <si>
    <t>Si la empresa estuviera en marcha se hará referencia al volumen del stock para las fechas de cierre de balance.</t>
  </si>
  <si>
    <t>Volúmen de producción durante el resto del año 1: 12 meses - 3 meses</t>
  </si>
  <si>
    <r>
      <t>Tiempo de entrada en Regimen:</t>
    </r>
    <r>
      <rPr>
        <b/>
        <sz val="11"/>
        <color theme="1"/>
        <rFont val="Calibri"/>
        <family val="2"/>
        <scheme val="minor"/>
      </rPr>
      <t xml:space="preserve"> 3 meses</t>
    </r>
  </si>
  <si>
    <t>Se ha restado de la producción del año el stock promedio de producto elaborado.</t>
  </si>
  <si>
    <t>Es la producción anual y no corresponde restar el stock de producto elaborado pues ya se descontó en el Año 1.</t>
  </si>
  <si>
    <t>DETERMINACIÓN STOCK PROMEDIO DE PRODUCTO ELABORADO</t>
  </si>
  <si>
    <t>DETERMINACIÓN DE LA EVOLUCION DE LAS VENTAS DURANTE LA VIDA UTIL DEL PROYECTO</t>
  </si>
  <si>
    <t>DETERMINACIÓN DE LA EVOLUCION DE LA PRODUCCION</t>
  </si>
  <si>
    <t>DETERMINAR ELCONSUMO DE MATERIA PRIMA PARA EL PROGRAMA DE PRODUCCION Y FORMACION DE LA MERCADERIA EN CURSO Y SEMIELABORADA</t>
  </si>
  <si>
    <t>En los primeros 3 meses (puesta en marcha)</t>
  </si>
  <si>
    <t>En el resto de los 9 meses</t>
  </si>
  <si>
    <t>Volúmen de la producción durante el período de puesta en marcha:</t>
  </si>
  <si>
    <t>Volúmen de producción anual en los años 1:</t>
  </si>
  <si>
    <t>Desperdicio no recuperable por la producción realizada</t>
  </si>
  <si>
    <t>Total materia prima para la producción</t>
  </si>
  <si>
    <t>Consumo de materia prima en la mercadería en proceso:</t>
  </si>
  <si>
    <t>Volúmen de materia prima requerido:</t>
  </si>
  <si>
    <t xml:space="preserve">Consumo de materia prima para realizar la producción del año: </t>
  </si>
  <si>
    <t>Tomamos como desperdicios en la Puesta en Marcha el 2%, ya que es practicamente todo reutilizable.</t>
  </si>
  <si>
    <t>La Impresora es el cuello de botella en la línea de producción. La cual definirá la cantidad de ciclos.</t>
  </si>
  <si>
    <t>En cada ciclo se producen 4 unidades por ya que la impresora cuenta con 4 cavidades.</t>
  </si>
  <si>
    <t xml:space="preserve">Tiempo de ciclo: </t>
  </si>
  <si>
    <t>Cantidad de ciclos en el año:</t>
  </si>
  <si>
    <t>ciclos</t>
  </si>
  <si>
    <t>la alimentación del proceso durante el ciclo de elaboración (4 segundos) es:</t>
  </si>
  <si>
    <t>(incluye tanto los desperdicios no recuperables como los recuperables)</t>
  </si>
  <si>
    <t>Producto elaborado:</t>
  </si>
  <si>
    <t xml:space="preserve">Desperdicio no recuperable: </t>
  </si>
  <si>
    <t xml:space="preserve">Desperdicio recuperable a reciclar: </t>
  </si>
  <si>
    <t>total de materia prima en mercadería en curso y semielaborada:</t>
  </si>
  <si>
    <t>Asimismo, se comprueba a través de los desperdicios recuperables los ciclos de elaboración anuales.</t>
  </si>
  <si>
    <t>Consumo total de materia prima en el año 1:</t>
  </si>
  <si>
    <t>Para los productos elaborados:</t>
  </si>
  <si>
    <t>Para la mercadería en curso y semielaborada:</t>
  </si>
  <si>
    <t>Total consumo de materia prima en el año 1:</t>
  </si>
  <si>
    <t>Volúmen de producción anual en los años 2 al 5:</t>
  </si>
  <si>
    <t>Año 2 al 5: El consumo de materia prima es exclusivamente destinado a la producción:</t>
  </si>
  <si>
    <t xml:space="preserve">Producción anual: </t>
  </si>
  <si>
    <t>Desperdicios no recuperables:</t>
  </si>
  <si>
    <t>Suponemos una Puesta en Marcha con ritmo de producción lineal durante los primeros tres meses</t>
  </si>
  <si>
    <t>Compra</t>
  </si>
  <si>
    <t>Al fin de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</si>
  <si>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</si>
  <si>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</si>
  <si>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</si>
  <si>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</si>
  <si>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</si>
  <si>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</si>
  <si>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</si>
  <si>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</si>
  <si>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</si>
  <si>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</si>
  <si>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</si>
  <si>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</si>
  <si>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Nuestro proveedor nos provee con pallets de 55 bolsas con 25 kg virgenes de polipropileno.Son entregados en los típicos pelets sin colorear o como se suele decir, color natural. </t>
  </si>
  <si>
    <t>Stock(kg)</t>
  </si>
  <si>
    <t xml:space="preserve">Consumo de stock promedio por mes: </t>
  </si>
  <si>
    <t>Cantidad de Pallets a pedir</t>
  </si>
  <si>
    <t>Consume</t>
  </si>
  <si>
    <t>kg entregados por pallet:</t>
  </si>
  <si>
    <t>Nuestra política de abastecimiento es la de mantener un stock de materia prima de por de dos meses:</t>
  </si>
  <si>
    <t>Variación del stock de materia prima durante el año y programa de compras:</t>
  </si>
  <si>
    <t>Stock promedio:</t>
  </si>
  <si>
    <t>equivale a</t>
  </si>
  <si>
    <t>meses de consumo</t>
  </si>
  <si>
    <t>U. de medida</t>
  </si>
  <si>
    <t>Año 2-5</t>
  </si>
  <si>
    <t>Kg de MP</t>
  </si>
  <si>
    <t>Kg de PT</t>
  </si>
  <si>
    <t>Ventas (8 -)</t>
  </si>
  <si>
    <t>Stock promedio de elaborado (7 -)</t>
  </si>
  <si>
    <t>Producción (6 -)</t>
  </si>
  <si>
    <t>Desperdicio no recuperables (9 -)</t>
  </si>
  <si>
    <t>En curso y semielaborado (9 -)</t>
  </si>
  <si>
    <t>Consumo de materia prima (9 -)</t>
  </si>
  <si>
    <t>Stock de materia prima (10 -)</t>
  </si>
  <si>
    <t>Compra de materia prima (10 -)</t>
  </si>
  <si>
    <t>Ventas del año 1:</t>
  </si>
  <si>
    <t>Ventas de los años 2 a 5:</t>
  </si>
  <si>
    <t>Period de Inst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</si>
</sst>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.0000"/>
    <numFmt numFmtId="166" formatCode="0.0"/>
    <numFmt numFmtId="167" formatCode="#,##0.0000"/>
    <numFmt numFmtId="169" formatCode="#,##0.00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52525"/>
      <name val="Arial"/>
      <family val="2"/>
    </font>
    <font>
      <sz val="8"/>
      <color rgb="FF555555"/>
      <name val="Arial"/>
      <family val="2"/>
    </font>
    <font>
      <sz val="14"/>
      <color rgb="FF00000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8"/>
      <color rgb="FF333333"/>
      <name val="Verdana"/>
      <family val="2"/>
    </font>
    <font>
      <vertAlign val="superscript"/>
      <sz val="8"/>
      <color rgb="FF333333"/>
      <name val="Verdana"/>
      <family val="2"/>
    </font>
    <font>
      <b/>
      <sz val="10"/>
      <color rgb="FF0000FF"/>
      <name val="Arial"/>
      <family val="2"/>
    </font>
    <font>
      <sz val="10"/>
      <color rgb="FF333333"/>
      <name val="Arial"/>
      <family val="2"/>
    </font>
    <font>
      <b/>
      <sz val="9"/>
      <color rgb="FF000000"/>
      <name val="Verdana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9FBF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/>
    <xf numFmtId="0" fontId="0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0" fontId="4" fillId="0" borderId="0" xfId="0" applyFont="1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5" fillId="0" borderId="0" xfId="0" applyFont="1"/>
    <xf numFmtId="0" fontId="0" fillId="3" borderId="0" xfId="0" applyFill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0" xfId="0" applyNumberFormat="1" applyFont="1"/>
    <xf numFmtId="0" fontId="7" fillId="0" borderId="0" xfId="2"/>
    <xf numFmtId="0" fontId="0" fillId="4" borderId="0" xfId="0" applyFill="1"/>
    <xf numFmtId="3" fontId="0" fillId="4" borderId="0" xfId="0" applyNumberFormat="1" applyFill="1"/>
    <xf numFmtId="1" fontId="0" fillId="4" borderId="0" xfId="0" applyNumberFormat="1" applyFill="1"/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0" applyNumberFormat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4" fontId="8" fillId="5" borderId="0" xfId="0" applyNumberFormat="1" applyFont="1" applyFill="1"/>
    <xf numFmtId="0" fontId="9" fillId="0" borderId="0" xfId="0" applyFont="1"/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0" fillId="6" borderId="0" xfId="0" applyFill="1"/>
    <xf numFmtId="0" fontId="10" fillId="7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" fontId="0" fillId="0" borderId="0" xfId="0" applyNumberForma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0" fontId="0" fillId="0" borderId="0" xfId="0" applyAlignment="1"/>
    <xf numFmtId="167" fontId="0" fillId="0" borderId="0" xfId="0" applyNumberFormat="1"/>
    <xf numFmtId="2" fontId="1" fillId="0" borderId="0" xfId="0" applyNumberFormat="1" applyFont="1"/>
    <xf numFmtId="165" fontId="0" fillId="0" borderId="1" xfId="0" applyNumberFormat="1" applyFill="1" applyBorder="1"/>
    <xf numFmtId="3" fontId="2" fillId="0" borderId="1" xfId="0" applyNumberFormat="1" applyFont="1" applyBorder="1"/>
    <xf numFmtId="0" fontId="0" fillId="0" borderId="1" xfId="0" applyFont="1" applyBorder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0" fillId="0" borderId="0" xfId="0" applyBorder="1"/>
    <xf numFmtId="169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7272138414937797E-2"/>
          <c:y val="6.0821604098354562E-2"/>
          <c:w val="0.75099224579809121"/>
          <c:h val="0.72295123166261444"/>
        </c:manualLayout>
      </c:layout>
      <c:lineChart>
        <c:grouping val="standard"/>
        <c:ser>
          <c:idx val="0"/>
          <c:order val="0"/>
          <c:tx>
            <c:v>Stock(kg)</c:v>
          </c:tx>
          <c:cat>
            <c:strRef>
              <c:f>'Ej 10 y 11'!$D$12:$D$23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 10 y 11'!$E$12:$E$23</c:f>
              <c:numCache>
                <c:formatCode>General</c:formatCode>
                <c:ptCount val="12"/>
                <c:pt idx="0">
                  <c:v>47500</c:v>
                </c:pt>
                <c:pt idx="1">
                  <c:v>48500</c:v>
                </c:pt>
                <c:pt idx="2">
                  <c:v>48125</c:v>
                </c:pt>
                <c:pt idx="3">
                  <c:v>47750</c:v>
                </c:pt>
                <c:pt idx="4">
                  <c:v>48750</c:v>
                </c:pt>
                <c:pt idx="5">
                  <c:v>48375</c:v>
                </c:pt>
                <c:pt idx="6">
                  <c:v>48000</c:v>
                </c:pt>
                <c:pt idx="7">
                  <c:v>47625</c:v>
                </c:pt>
                <c:pt idx="8">
                  <c:v>48625</c:v>
                </c:pt>
                <c:pt idx="9">
                  <c:v>48250</c:v>
                </c:pt>
                <c:pt idx="10">
                  <c:v>47875</c:v>
                </c:pt>
                <c:pt idx="11">
                  <c:v>47500</c:v>
                </c:pt>
              </c:numCache>
            </c:numRef>
          </c:val>
        </c:ser>
        <c:ser>
          <c:idx val="1"/>
          <c:order val="1"/>
          <c:tx>
            <c:v>Compra(kg)</c:v>
          </c:tx>
          <c:cat>
            <c:strRef>
              <c:f>'Ej 10 y 11'!$D$12:$D$23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 10 y 11'!$F$12:$F$23</c:f>
              <c:numCache>
                <c:formatCode>General</c:formatCode>
                <c:ptCount val="12"/>
                <c:pt idx="0">
                  <c:v>24750</c:v>
                </c:pt>
                <c:pt idx="1">
                  <c:v>23375</c:v>
                </c:pt>
                <c:pt idx="2">
                  <c:v>23375</c:v>
                </c:pt>
                <c:pt idx="3">
                  <c:v>24750</c:v>
                </c:pt>
                <c:pt idx="4">
                  <c:v>23375</c:v>
                </c:pt>
                <c:pt idx="5">
                  <c:v>23375</c:v>
                </c:pt>
                <c:pt idx="6">
                  <c:v>23375</c:v>
                </c:pt>
                <c:pt idx="7">
                  <c:v>24750</c:v>
                </c:pt>
                <c:pt idx="8">
                  <c:v>23375</c:v>
                </c:pt>
                <c:pt idx="9">
                  <c:v>23375</c:v>
                </c:pt>
                <c:pt idx="10">
                  <c:v>23375</c:v>
                </c:pt>
                <c:pt idx="11">
                  <c:v>24750</c:v>
                </c:pt>
              </c:numCache>
            </c:numRef>
          </c:val>
        </c:ser>
        <c:ser>
          <c:idx val="2"/>
          <c:order val="2"/>
          <c:tx>
            <c:v>Consumo(kg)</c:v>
          </c:tx>
          <c:val>
            <c:numRef>
              <c:f>'Ej 10 y 11'!$G$12:$G$23</c:f>
              <c:numCache>
                <c:formatCode>General</c:formatCode>
                <c:ptCount val="12"/>
                <c:pt idx="0">
                  <c:v>23750</c:v>
                </c:pt>
                <c:pt idx="1">
                  <c:v>23750</c:v>
                </c:pt>
                <c:pt idx="2">
                  <c:v>23750</c:v>
                </c:pt>
                <c:pt idx="3">
                  <c:v>23750</c:v>
                </c:pt>
                <c:pt idx="4">
                  <c:v>23750</c:v>
                </c:pt>
                <c:pt idx="5">
                  <c:v>23750</c:v>
                </c:pt>
                <c:pt idx="6">
                  <c:v>23750</c:v>
                </c:pt>
                <c:pt idx="7">
                  <c:v>23750</c:v>
                </c:pt>
                <c:pt idx="8">
                  <c:v>23750</c:v>
                </c:pt>
                <c:pt idx="9">
                  <c:v>23750</c:v>
                </c:pt>
                <c:pt idx="10">
                  <c:v>23750</c:v>
                </c:pt>
                <c:pt idx="11">
                  <c:v>23750</c:v>
                </c:pt>
              </c:numCache>
            </c:numRef>
          </c:val>
        </c:ser>
        <c:marker val="1"/>
        <c:axId val="55404032"/>
        <c:axId val="55405568"/>
      </c:lineChart>
      <c:catAx>
        <c:axId val="55404032"/>
        <c:scaling>
          <c:orientation val="minMax"/>
        </c:scaling>
        <c:axPos val="b"/>
        <c:tickLblPos val="nextTo"/>
        <c:crossAx val="55405568"/>
        <c:crosses val="autoZero"/>
        <c:auto val="1"/>
        <c:lblAlgn val="ctr"/>
        <c:lblOffset val="100"/>
      </c:catAx>
      <c:valAx>
        <c:axId val="55405568"/>
        <c:scaling>
          <c:orientation val="minMax"/>
        </c:scaling>
        <c:axPos val="l"/>
        <c:majorGridlines/>
        <c:numFmt formatCode="General" sourceLinked="1"/>
        <c:tickLblPos val="nextTo"/>
        <c:crossAx val="55404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657224</xdr:colOff>
      <xdr:row>26</xdr:row>
      <xdr:rowOff>85724</xdr:rowOff>
    </xdr:from>
    <xdr:to>
      <xdr:col>11</xdr:col>
      <xdr:colOff>371474</xdr:colOff>
      <xdr:row>44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egamachinery.com/old/spain/32_cavity_cap_mold_22.html" TargetMode="External"/><Relationship Id="rId1" Type="http://schemas.openxmlformats.org/officeDocument/2006/relationships/hyperlink" Target="http://www.tuzma.com/Automatica-Impresora-tampografica-de-tapas-de-4-colores-p-346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C4" sqref="C4"/>
    </sheetView>
  </sheetViews>
  <sheetFormatPr baseColWidth="10" defaultRowHeight="15"/>
  <sheetData>
    <row r="1" spans="1:12">
      <c r="A1" t="s">
        <v>236</v>
      </c>
    </row>
    <row r="3" spans="1:12">
      <c r="A3" s="52"/>
      <c r="B3" s="52"/>
      <c r="C3" s="60" t="s">
        <v>237</v>
      </c>
      <c r="D3" s="60"/>
      <c r="E3" s="60" t="s">
        <v>238</v>
      </c>
      <c r="F3" s="60"/>
      <c r="G3" s="60" t="s">
        <v>239</v>
      </c>
      <c r="H3" s="60"/>
      <c r="I3" s="60" t="s">
        <v>240</v>
      </c>
      <c r="J3" s="60"/>
      <c r="K3" s="60" t="s">
        <v>241</v>
      </c>
      <c r="L3" s="60"/>
    </row>
    <row r="4" spans="1:12" s="1" customFormat="1">
      <c r="B4" s="53">
        <f>0.39414+0.19</f>
        <v>0.58413999999999999</v>
      </c>
      <c r="C4" s="1">
        <f>+E4*0.9</f>
        <v>85500000</v>
      </c>
      <c r="D4" s="1">
        <f>+B4*C4</f>
        <v>49943970</v>
      </c>
      <c r="E4" s="1">
        <v>95000000</v>
      </c>
      <c r="F4" s="1">
        <f>+B4*E4</f>
        <v>55493300</v>
      </c>
      <c r="G4" s="1">
        <v>95000000</v>
      </c>
      <c r="H4" s="1">
        <f>+B4*G4</f>
        <v>55493300</v>
      </c>
      <c r="I4" s="1">
        <v>95000000</v>
      </c>
      <c r="J4" s="1">
        <f>+B4*I4</f>
        <v>55493300</v>
      </c>
      <c r="K4" s="1">
        <v>95000000</v>
      </c>
      <c r="L4" s="1">
        <f>+B4*K4</f>
        <v>55493300</v>
      </c>
    </row>
  </sheetData>
  <mergeCells count="5"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S124"/>
  <sheetViews>
    <sheetView topLeftCell="A69" zoomScale="85" zoomScaleNormal="85" workbookViewId="0">
      <selection activeCell="E98" sqref="E98"/>
    </sheetView>
  </sheetViews>
  <sheetFormatPr baseColWidth="10" defaultRowHeight="15"/>
  <cols>
    <col min="1" max="1" width="16.42578125" customWidth="1"/>
    <col min="2" max="2" width="12.28515625" bestFit="1" customWidth="1"/>
    <col min="5" max="5" width="13.7109375" bestFit="1" customWidth="1"/>
    <col min="17" max="17" width="18.7109375" bestFit="1" customWidth="1"/>
  </cols>
  <sheetData>
    <row r="2" spans="1:19">
      <c r="C2" s="14" t="s">
        <v>43</v>
      </c>
    </row>
    <row r="3" spans="1:19">
      <c r="B3" t="s">
        <v>26</v>
      </c>
      <c r="C3" s="14" t="s">
        <v>42</v>
      </c>
      <c r="E3">
        <v>3.0000000000000001E-3</v>
      </c>
      <c r="F3" t="s">
        <v>41</v>
      </c>
    </row>
    <row r="4" spans="1:19">
      <c r="A4" t="s">
        <v>25</v>
      </c>
      <c r="Q4" t="s">
        <v>31</v>
      </c>
      <c r="R4" s="10">
        <v>198</v>
      </c>
      <c r="S4" t="s">
        <v>30</v>
      </c>
    </row>
    <row r="5" spans="1:19">
      <c r="A5" t="s">
        <v>44</v>
      </c>
      <c r="B5">
        <v>32</v>
      </c>
      <c r="C5" t="s">
        <v>45</v>
      </c>
      <c r="D5">
        <v>7</v>
      </c>
      <c r="E5" t="s">
        <v>47</v>
      </c>
    </row>
    <row r="6" spans="1:19">
      <c r="B6" s="50">
        <v>5</v>
      </c>
      <c r="C6" t="s">
        <v>48</v>
      </c>
      <c r="P6" s="15">
        <f>+B5*R11</f>
        <v>235.71369679884219</v>
      </c>
      <c r="Q6" s="15" t="s">
        <v>46</v>
      </c>
    </row>
    <row r="7" spans="1:19">
      <c r="B7" s="22">
        <f>+B6*3600</f>
        <v>18000</v>
      </c>
      <c r="C7" s="20" t="s">
        <v>49</v>
      </c>
      <c r="E7" s="19" t="s">
        <v>51</v>
      </c>
      <c r="Q7" t="s">
        <v>38</v>
      </c>
      <c r="R7">
        <f>+PI()*R8</f>
        <v>7.3061664150047614</v>
      </c>
    </row>
    <row r="8" spans="1:19">
      <c r="B8" s="1"/>
      <c r="C8" s="1"/>
      <c r="Q8" t="s">
        <v>32</v>
      </c>
      <c r="R8">
        <f>+(3.05/2)^2</f>
        <v>2.3256249999999996</v>
      </c>
      <c r="S8" t="s">
        <v>33</v>
      </c>
    </row>
    <row r="9" spans="1:19">
      <c r="B9" s="1"/>
      <c r="Q9" t="s">
        <v>34</v>
      </c>
      <c r="R9">
        <f>+PI()*R8*0.3</f>
        <v>2.1918499245014282</v>
      </c>
      <c r="S9" t="s">
        <v>30</v>
      </c>
    </row>
    <row r="10" spans="1:19">
      <c r="Q10" t="s">
        <v>35</v>
      </c>
      <c r="R10">
        <f>1.8*0.3*2*PI()*(3.05/2)</f>
        <v>5.1742031004623898</v>
      </c>
      <c r="S10" t="s">
        <v>30</v>
      </c>
    </row>
    <row r="11" spans="1:19">
      <c r="A11" t="s">
        <v>11</v>
      </c>
      <c r="B11" s="1">
        <f>+(12000+25000)/2</f>
        <v>18500</v>
      </c>
      <c r="C11" t="s">
        <v>28</v>
      </c>
      <c r="Q11" t="s">
        <v>36</v>
      </c>
      <c r="R11">
        <f>+SUM(R9:R10)</f>
        <v>7.3660530249638185</v>
      </c>
    </row>
    <row r="12" spans="1:19">
      <c r="A12" s="10" t="s">
        <v>29</v>
      </c>
      <c r="B12" s="1"/>
    </row>
    <row r="13" spans="1:19">
      <c r="B13" s="1"/>
    </row>
    <row r="14" spans="1:19">
      <c r="A14" t="s">
        <v>50</v>
      </c>
      <c r="B14" s="1">
        <f>+(30000+25000)/2</f>
        <v>27500</v>
      </c>
      <c r="C14" t="s">
        <v>28</v>
      </c>
      <c r="Q14" t="s">
        <v>37</v>
      </c>
      <c r="R14">
        <f>+R4/R11</f>
        <v>26.880067157943458</v>
      </c>
    </row>
    <row r="15" spans="1:19">
      <c r="A15" s="10" t="s">
        <v>27</v>
      </c>
      <c r="B15" s="1"/>
      <c r="Q15" s="15" t="s">
        <v>37</v>
      </c>
      <c r="R15" s="15">
        <f>+R14*0.8</f>
        <v>21.504053726354769</v>
      </c>
    </row>
    <row r="16" spans="1:19">
      <c r="B16" s="1"/>
      <c r="E16" s="18"/>
    </row>
    <row r="17" spans="1:19">
      <c r="B17" s="1"/>
      <c r="P17" t="s">
        <v>39</v>
      </c>
      <c r="Q17">
        <f>+R7*21.9+R7*0.2*21.9</f>
        <v>192.00605338632511</v>
      </c>
    </row>
    <row r="18" spans="1:19">
      <c r="A18" t="s">
        <v>8</v>
      </c>
      <c r="B18" s="21">
        <v>10500</v>
      </c>
      <c r="C18" s="20" t="s">
        <v>28</v>
      </c>
      <c r="E18" s="19" t="s">
        <v>52</v>
      </c>
      <c r="P18" s="11" t="s">
        <v>40</v>
      </c>
      <c r="Q18" s="12">
        <v>1200</v>
      </c>
      <c r="R18" s="12"/>
      <c r="S18" s="12"/>
    </row>
    <row r="20" spans="1:19">
      <c r="B20" s="1">
        <f>+B18*37*259</f>
        <v>100621500</v>
      </c>
      <c r="P20" s="15" t="str">
        <f>+Q15</f>
        <v>Cavidades necesarias</v>
      </c>
      <c r="Q20">
        <f>+Q18/Q17</f>
        <v>6.249802955876314</v>
      </c>
    </row>
    <row r="22" spans="1:19">
      <c r="G22">
        <v>200</v>
      </c>
      <c r="H22" t="s">
        <v>3</v>
      </c>
      <c r="I22">
        <v>1</v>
      </c>
      <c r="J22" t="s">
        <v>184</v>
      </c>
    </row>
    <row r="23" spans="1:19">
      <c r="G23">
        <f>+G22*I23</f>
        <v>12000</v>
      </c>
      <c r="I23">
        <v>60</v>
      </c>
    </row>
    <row r="24" spans="1:19" ht="18">
      <c r="Q24" s="13"/>
    </row>
    <row r="25" spans="1:19" ht="18">
      <c r="B25" s="1"/>
      <c r="Q25" s="13"/>
    </row>
    <row r="26" spans="1:19" ht="18">
      <c r="A26" t="s">
        <v>74</v>
      </c>
      <c r="Q26" s="13"/>
    </row>
    <row r="27" spans="1:19" ht="15.75" thickBot="1"/>
    <row r="28" spans="1:19" ht="15.75" thickBot="1">
      <c r="A28" s="33" t="s">
        <v>84</v>
      </c>
      <c r="B28" s="34" t="s">
        <v>85</v>
      </c>
      <c r="C28" s="34" t="s">
        <v>86</v>
      </c>
      <c r="D28" s="34" t="s">
        <v>87</v>
      </c>
    </row>
    <row r="29" spans="1:19" ht="24.75" thickBot="1">
      <c r="A29" s="35" t="s">
        <v>88</v>
      </c>
      <c r="B29" s="36" t="s">
        <v>89</v>
      </c>
      <c r="C29" s="36" t="s">
        <v>90</v>
      </c>
      <c r="D29" s="36" t="s">
        <v>91</v>
      </c>
    </row>
    <row r="30" spans="1:19" ht="36.75" thickBot="1">
      <c r="A30" s="35" t="s">
        <v>92</v>
      </c>
      <c r="B30" s="36" t="s">
        <v>93</v>
      </c>
      <c r="C30" s="36" t="s">
        <v>94</v>
      </c>
      <c r="D30" s="36" t="s">
        <v>95</v>
      </c>
    </row>
    <row r="31" spans="1:19" ht="24.75" thickBot="1">
      <c r="A31" s="35" t="s">
        <v>96</v>
      </c>
      <c r="B31" s="36" t="s">
        <v>97</v>
      </c>
      <c r="C31" s="36" t="s">
        <v>98</v>
      </c>
      <c r="D31" s="36" t="s">
        <v>99</v>
      </c>
    </row>
    <row r="32" spans="1:19" ht="36.75" thickBot="1">
      <c r="A32" s="35" t="s">
        <v>100</v>
      </c>
      <c r="B32" s="36" t="s">
        <v>101</v>
      </c>
      <c r="C32" s="36" t="s">
        <v>102</v>
      </c>
      <c r="D32" s="36" t="s">
        <v>103</v>
      </c>
    </row>
    <row r="35" spans="1:6">
      <c r="A35" s="39" t="s">
        <v>160</v>
      </c>
    </row>
    <row r="37" spans="1:6">
      <c r="A37" s="38" t="s">
        <v>105</v>
      </c>
      <c r="B37" s="38" t="s">
        <v>106</v>
      </c>
      <c r="C37" s="38" t="s">
        <v>107</v>
      </c>
      <c r="D37" s="38" t="s">
        <v>108</v>
      </c>
      <c r="E37" s="38" t="s">
        <v>109</v>
      </c>
      <c r="F37" s="37"/>
    </row>
    <row r="38" spans="1:6">
      <c r="A38" s="65" t="s">
        <v>110</v>
      </c>
      <c r="B38" s="65"/>
      <c r="C38" s="65"/>
      <c r="D38" s="65"/>
      <c r="E38" s="65"/>
      <c r="F38" s="65"/>
    </row>
    <row r="39" spans="1:6" ht="21">
      <c r="A39" s="38" t="s">
        <v>111</v>
      </c>
      <c r="B39" s="38">
        <v>50</v>
      </c>
      <c r="C39" s="38">
        <v>60</v>
      </c>
      <c r="D39" s="38">
        <v>70</v>
      </c>
      <c r="E39" s="38">
        <v>75</v>
      </c>
      <c r="F39" s="38">
        <v>80</v>
      </c>
    </row>
    <row r="40" spans="1:6" ht="21">
      <c r="A40" s="38" t="s">
        <v>112</v>
      </c>
      <c r="B40" s="38">
        <v>25</v>
      </c>
      <c r="C40" s="38">
        <v>25</v>
      </c>
      <c r="D40" s="38">
        <v>25</v>
      </c>
      <c r="E40" s="38">
        <v>25</v>
      </c>
      <c r="F40" s="38">
        <v>25</v>
      </c>
    </row>
    <row r="41" spans="1:6" ht="21.75">
      <c r="A41" s="38" t="s">
        <v>113</v>
      </c>
      <c r="B41" s="38">
        <v>491</v>
      </c>
      <c r="C41" s="38">
        <v>780</v>
      </c>
      <c r="D41" s="38">
        <v>1100</v>
      </c>
      <c r="E41" s="38">
        <v>1502</v>
      </c>
      <c r="F41" s="38">
        <v>1689</v>
      </c>
    </row>
    <row r="42" spans="1:6" ht="21">
      <c r="A42" s="38" t="s">
        <v>114</v>
      </c>
      <c r="B42" s="38">
        <v>520</v>
      </c>
      <c r="C42" s="38">
        <v>826</v>
      </c>
      <c r="D42" s="38">
        <v>1166</v>
      </c>
      <c r="E42" s="38">
        <v>1590</v>
      </c>
      <c r="F42" s="38">
        <v>1788</v>
      </c>
    </row>
    <row r="43" spans="1:6" ht="21">
      <c r="A43" s="38" t="s">
        <v>115</v>
      </c>
      <c r="B43" s="38">
        <v>175</v>
      </c>
      <c r="C43" s="38">
        <v>273</v>
      </c>
      <c r="D43" s="38">
        <v>380</v>
      </c>
      <c r="E43" s="38">
        <v>350</v>
      </c>
      <c r="F43" s="38">
        <v>446</v>
      </c>
    </row>
    <row r="44" spans="1:6" ht="31.5">
      <c r="A44" s="38" t="s">
        <v>116</v>
      </c>
      <c r="B44" s="38">
        <v>30</v>
      </c>
      <c r="C44" s="38">
        <v>49</v>
      </c>
      <c r="D44" s="38">
        <v>60</v>
      </c>
      <c r="E44" s="38">
        <v>71</v>
      </c>
      <c r="F44" s="38">
        <v>70</v>
      </c>
    </row>
    <row r="45" spans="1:6" ht="21">
      <c r="A45" s="38" t="s">
        <v>117</v>
      </c>
      <c r="B45" s="38">
        <v>128</v>
      </c>
      <c r="C45" s="38">
        <v>147</v>
      </c>
      <c r="D45" s="38">
        <v>147</v>
      </c>
      <c r="E45" s="38">
        <v>146</v>
      </c>
      <c r="F45" s="38">
        <v>152</v>
      </c>
    </row>
    <row r="46" spans="1:6" ht="21">
      <c r="A46" s="38" t="s">
        <v>118</v>
      </c>
      <c r="B46" s="38" t="s">
        <v>119</v>
      </c>
      <c r="C46" s="38" t="s">
        <v>120</v>
      </c>
      <c r="D46" s="38" t="s">
        <v>121</v>
      </c>
      <c r="E46" s="38" t="s">
        <v>122</v>
      </c>
      <c r="F46" s="38" t="s">
        <v>123</v>
      </c>
    </row>
    <row r="47" spans="1:6">
      <c r="A47" s="65" t="s">
        <v>124</v>
      </c>
      <c r="B47" s="65"/>
      <c r="C47" s="65"/>
      <c r="D47" s="65"/>
      <c r="E47" s="65"/>
      <c r="F47" s="65"/>
    </row>
    <row r="48" spans="1:6" ht="21">
      <c r="A48" s="38" t="s">
        <v>125</v>
      </c>
      <c r="B48" s="38">
        <v>1680</v>
      </c>
      <c r="C48" s="38">
        <v>2280</v>
      </c>
      <c r="D48" s="38">
        <v>2680</v>
      </c>
      <c r="E48" s="38">
        <v>3280</v>
      </c>
      <c r="F48" s="38">
        <v>3980</v>
      </c>
    </row>
    <row r="49" spans="1:16" ht="32.25" thickBot="1">
      <c r="A49" s="38" t="s">
        <v>126</v>
      </c>
      <c r="B49" s="38">
        <v>430</v>
      </c>
      <c r="C49" s="38">
        <v>480</v>
      </c>
      <c r="D49" s="38">
        <v>550</v>
      </c>
      <c r="E49" s="38">
        <v>670</v>
      </c>
      <c r="F49" s="38">
        <v>700</v>
      </c>
    </row>
    <row r="50" spans="1:16" ht="32.25" thickBot="1">
      <c r="A50" s="38" t="s">
        <v>127</v>
      </c>
      <c r="B50" s="38" t="s">
        <v>128</v>
      </c>
      <c r="C50" s="38" t="s">
        <v>129</v>
      </c>
      <c r="D50" s="38" t="s">
        <v>130</v>
      </c>
      <c r="E50" s="38" t="s">
        <v>131</v>
      </c>
      <c r="F50" s="38" t="s">
        <v>132</v>
      </c>
      <c r="L50" s="40" t="s">
        <v>26</v>
      </c>
      <c r="M50" s="44" t="s">
        <v>168</v>
      </c>
      <c r="N50" s="40"/>
      <c r="O50" s="40" t="s">
        <v>169</v>
      </c>
      <c r="P50" s="40" t="s">
        <v>170</v>
      </c>
    </row>
    <row r="51" spans="1:16" ht="21.75" thickBot="1">
      <c r="A51" s="38" t="s">
        <v>133</v>
      </c>
      <c r="B51" s="38">
        <v>480</v>
      </c>
      <c r="C51" s="38">
        <v>550</v>
      </c>
      <c r="D51" s="38">
        <v>600</v>
      </c>
      <c r="E51" s="38">
        <v>680</v>
      </c>
      <c r="F51" s="38">
        <v>800</v>
      </c>
      <c r="K51" s="41" t="s">
        <v>171</v>
      </c>
      <c r="L51" s="41" t="s">
        <v>172</v>
      </c>
      <c r="M51" s="41" t="s">
        <v>173</v>
      </c>
      <c r="N51" s="41" t="s">
        <v>174</v>
      </c>
      <c r="O51" s="41" t="s">
        <v>33</v>
      </c>
      <c r="P51" s="41" t="s">
        <v>2</v>
      </c>
    </row>
    <row r="52" spans="1:16" ht="21.75" thickBot="1">
      <c r="A52" s="38" t="s">
        <v>134</v>
      </c>
      <c r="B52" s="38">
        <v>180</v>
      </c>
      <c r="C52" s="38">
        <v>200</v>
      </c>
      <c r="D52" s="38">
        <v>230</v>
      </c>
      <c r="E52" s="38">
        <v>240</v>
      </c>
      <c r="F52" s="38">
        <v>280</v>
      </c>
      <c r="J52" s="42" t="s">
        <v>175</v>
      </c>
      <c r="K52" s="43" t="s">
        <v>176</v>
      </c>
      <c r="L52" s="43" t="s">
        <v>177</v>
      </c>
      <c r="M52" s="43" t="s">
        <v>178</v>
      </c>
      <c r="N52" s="43" t="s">
        <v>179</v>
      </c>
      <c r="O52" s="43" t="s">
        <v>180</v>
      </c>
      <c r="P52" s="43">
        <v>432</v>
      </c>
    </row>
    <row r="53" spans="1:16" ht="21">
      <c r="A53" s="38" t="s">
        <v>135</v>
      </c>
      <c r="B53" s="38">
        <v>120</v>
      </c>
      <c r="C53" s="38">
        <v>140</v>
      </c>
      <c r="D53" s="38">
        <v>150</v>
      </c>
      <c r="E53" s="38">
        <v>160</v>
      </c>
      <c r="F53" s="38">
        <v>160</v>
      </c>
    </row>
    <row r="54" spans="1:16" ht="21">
      <c r="A54" s="38" t="s">
        <v>136</v>
      </c>
      <c r="B54" s="38">
        <v>40</v>
      </c>
      <c r="C54" s="38">
        <v>65</v>
      </c>
      <c r="D54" s="38">
        <v>65</v>
      </c>
      <c r="E54" s="38">
        <v>65</v>
      </c>
      <c r="F54" s="38">
        <v>110</v>
      </c>
    </row>
    <row r="55" spans="1:16" ht="21">
      <c r="A55" s="38" t="s">
        <v>137</v>
      </c>
      <c r="B55" s="38">
        <v>5</v>
      </c>
      <c r="C55" s="38">
        <v>9</v>
      </c>
      <c r="D55" s="38">
        <v>9</v>
      </c>
      <c r="E55" s="38">
        <v>13</v>
      </c>
      <c r="F55" s="38">
        <v>13</v>
      </c>
    </row>
    <row r="56" spans="1:16">
      <c r="A56" s="65" t="s">
        <v>138</v>
      </c>
      <c r="B56" s="65"/>
      <c r="C56" s="65"/>
      <c r="D56" s="65"/>
      <c r="E56" s="65"/>
      <c r="F56" s="65"/>
    </row>
    <row r="57" spans="1:16" ht="21">
      <c r="A57" s="38" t="s">
        <v>139</v>
      </c>
      <c r="B57" s="38">
        <v>16</v>
      </c>
      <c r="C57" s="38">
        <v>16</v>
      </c>
      <c r="D57" s="38">
        <v>16</v>
      </c>
      <c r="E57" s="38">
        <v>16</v>
      </c>
      <c r="F57" s="38">
        <v>16</v>
      </c>
    </row>
    <row r="58" spans="1:16" ht="21">
      <c r="A58" s="38" t="s">
        <v>140</v>
      </c>
      <c r="B58" s="38">
        <v>15</v>
      </c>
      <c r="C58" s="38">
        <v>22</v>
      </c>
      <c r="D58" s="38">
        <v>30</v>
      </c>
      <c r="E58" s="38">
        <v>37</v>
      </c>
      <c r="F58" s="38">
        <v>37</v>
      </c>
    </row>
    <row r="59" spans="1:16" ht="21">
      <c r="A59" s="38" t="s">
        <v>141</v>
      </c>
      <c r="B59" s="38">
        <v>13</v>
      </c>
      <c r="C59" s="38" t="s">
        <v>142</v>
      </c>
      <c r="D59" s="38" t="s">
        <v>143</v>
      </c>
      <c r="E59" s="38" t="s">
        <v>144</v>
      </c>
      <c r="F59" s="38" t="s">
        <v>145</v>
      </c>
    </row>
    <row r="60" spans="1:16" ht="31.5">
      <c r="A60" s="38" t="s">
        <v>146</v>
      </c>
      <c r="B60" s="38" t="s">
        <v>147</v>
      </c>
      <c r="C60" s="38" t="s">
        <v>148</v>
      </c>
      <c r="D60" s="38" t="s">
        <v>149</v>
      </c>
      <c r="E60" s="38" t="s">
        <v>150</v>
      </c>
      <c r="F60" s="38" t="s">
        <v>151</v>
      </c>
    </row>
    <row r="61" spans="1:16" ht="21">
      <c r="A61" s="38" t="s">
        <v>152</v>
      </c>
      <c r="B61" s="38" t="s">
        <v>153</v>
      </c>
      <c r="C61" s="38" t="s">
        <v>154</v>
      </c>
      <c r="D61" s="38" t="s">
        <v>155</v>
      </c>
      <c r="E61" s="38" t="s">
        <v>156</v>
      </c>
      <c r="F61" s="38" t="s">
        <v>157</v>
      </c>
    </row>
    <row r="62" spans="1:16" ht="21">
      <c r="A62" s="38" t="s">
        <v>158</v>
      </c>
      <c r="B62" s="38">
        <v>25</v>
      </c>
      <c r="C62" s="38">
        <v>50</v>
      </c>
      <c r="D62" s="38">
        <v>50</v>
      </c>
      <c r="E62" s="38">
        <v>50</v>
      </c>
      <c r="F62" s="38">
        <v>50</v>
      </c>
    </row>
    <row r="63" spans="1:16" ht="31.5">
      <c r="A63" s="38" t="s">
        <v>159</v>
      </c>
      <c r="B63" s="38">
        <v>250</v>
      </c>
      <c r="C63" s="38">
        <v>320</v>
      </c>
      <c r="D63" s="38">
        <v>580</v>
      </c>
      <c r="E63" s="38">
        <v>730</v>
      </c>
      <c r="F63" s="38">
        <v>750</v>
      </c>
    </row>
    <row r="73" spans="4:4">
      <c r="D73" t="s">
        <v>185</v>
      </c>
    </row>
    <row r="107" spans="2:7">
      <c r="B107" t="s">
        <v>187</v>
      </c>
    </row>
    <row r="108" spans="2:7">
      <c r="B108" t="s">
        <v>186</v>
      </c>
    </row>
    <row r="111" spans="2:7" ht="67.5" customHeight="1">
      <c r="B111" s="64" t="s">
        <v>188</v>
      </c>
      <c r="C111" s="64"/>
      <c r="D111" s="64"/>
      <c r="E111" s="64"/>
      <c r="F111" s="64"/>
      <c r="G111" s="64"/>
    </row>
    <row r="113" spans="2:9" ht="38.25" customHeight="1">
      <c r="B113" s="64" t="s">
        <v>189</v>
      </c>
      <c r="C113" s="64"/>
      <c r="D113" s="64"/>
      <c r="E113" s="64"/>
      <c r="F113" s="64"/>
      <c r="G113" s="64"/>
      <c r="H113" s="46"/>
    </row>
    <row r="114" spans="2:9" ht="24.75" customHeight="1"/>
    <row r="115" spans="2:9" ht="24.75" customHeight="1">
      <c r="B115" s="64" t="s">
        <v>190</v>
      </c>
      <c r="C115" s="64"/>
      <c r="D115" s="64"/>
      <c r="E115" s="64"/>
      <c r="F115" s="64"/>
      <c r="G115" s="64"/>
      <c r="H115" s="64"/>
      <c r="I115" s="64"/>
    </row>
    <row r="116" spans="2:9" ht="24.75" customHeight="1"/>
    <row r="117" spans="2:9" ht="24.75" customHeight="1">
      <c r="B117" s="64" t="s">
        <v>191</v>
      </c>
      <c r="C117" s="64"/>
      <c r="D117" s="64"/>
      <c r="E117" s="64"/>
      <c r="F117" s="64"/>
      <c r="G117" s="64"/>
      <c r="H117" s="46"/>
    </row>
    <row r="118" spans="2:9" ht="24.75" customHeight="1">
      <c r="B118" s="64" t="s">
        <v>192</v>
      </c>
      <c r="C118" s="64"/>
      <c r="D118" s="64"/>
      <c r="E118" s="64"/>
      <c r="F118" s="64"/>
    </row>
    <row r="119" spans="2:9" ht="24.75" customHeight="1">
      <c r="B119" s="64" t="s">
        <v>193</v>
      </c>
      <c r="C119" s="64"/>
      <c r="D119" s="64"/>
      <c r="E119" s="64"/>
      <c r="F119" s="64"/>
    </row>
    <row r="120" spans="2:9" ht="24.75" customHeight="1">
      <c r="B120" s="64" t="s">
        <v>194</v>
      </c>
      <c r="C120" s="64"/>
      <c r="D120" s="64"/>
      <c r="E120" s="64"/>
      <c r="F120" s="64"/>
    </row>
    <row r="121" spans="2:9" ht="24.75" customHeight="1">
      <c r="B121" s="64" t="s">
        <v>195</v>
      </c>
      <c r="C121" s="64"/>
      <c r="D121" s="64"/>
    </row>
    <row r="122" spans="2:9" ht="24.75" customHeight="1">
      <c r="B122" s="64" t="s">
        <v>196</v>
      </c>
      <c r="C122" s="64"/>
      <c r="D122" s="64"/>
      <c r="E122" s="64"/>
    </row>
    <row r="123" spans="2:9" ht="24.75" customHeight="1">
      <c r="B123" s="64" t="s">
        <v>197</v>
      </c>
      <c r="C123" s="64"/>
      <c r="D123" s="64"/>
    </row>
    <row r="124" spans="2:9" ht="24.75" customHeight="1">
      <c r="B124" s="64" t="s">
        <v>198</v>
      </c>
      <c r="C124" s="64"/>
      <c r="D124" s="64"/>
      <c r="E124" s="64"/>
    </row>
  </sheetData>
  <mergeCells count="15">
    <mergeCell ref="A38:F38"/>
    <mergeCell ref="A47:F47"/>
    <mergeCell ref="A56:F56"/>
    <mergeCell ref="B111:G111"/>
    <mergeCell ref="B113:G113"/>
    <mergeCell ref="H115:I115"/>
    <mergeCell ref="B117:G117"/>
    <mergeCell ref="B118:F118"/>
    <mergeCell ref="B119:F119"/>
    <mergeCell ref="B120:F120"/>
    <mergeCell ref="B121:D121"/>
    <mergeCell ref="B122:E122"/>
    <mergeCell ref="B123:D123"/>
    <mergeCell ref="B124:E124"/>
    <mergeCell ref="B115:G115"/>
  </mergeCells>
  <hyperlinks>
    <hyperlink ref="E18" r:id="rId1"/>
    <hyperlink ref="E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2" sqref="G2"/>
    </sheetView>
  </sheetViews>
  <sheetFormatPr baseColWidth="10" defaultRowHeight="15"/>
  <cols>
    <col min="1" max="1" width="19.7109375" bestFit="1" customWidth="1"/>
    <col min="2" max="2" width="13" style="1" bestFit="1" customWidth="1"/>
    <col min="3" max="3" width="16.7109375" bestFit="1" customWidth="1"/>
    <col min="4" max="4" width="16.140625" bestFit="1" customWidth="1"/>
  </cols>
  <sheetData>
    <row r="1" spans="1:10" ht="30">
      <c r="A1" s="2" t="s">
        <v>58</v>
      </c>
      <c r="B1" s="3" t="s">
        <v>5</v>
      </c>
      <c r="C1" s="3" t="s">
        <v>6</v>
      </c>
      <c r="F1" t="s">
        <v>0</v>
      </c>
      <c r="I1" s="4">
        <v>95000000</v>
      </c>
      <c r="J1" t="s">
        <v>1</v>
      </c>
    </row>
    <row r="2" spans="1:10">
      <c r="A2" s="3" t="s">
        <v>16</v>
      </c>
      <c r="B2" s="24">
        <v>65448</v>
      </c>
      <c r="C2" s="23" t="s">
        <v>9</v>
      </c>
      <c r="F2" t="s">
        <v>14</v>
      </c>
      <c r="I2" s="5">
        <v>3.0000000000000001E-3</v>
      </c>
      <c r="J2" t="s">
        <v>15</v>
      </c>
    </row>
    <row r="3" spans="1:10">
      <c r="A3" s="3" t="s">
        <v>8</v>
      </c>
      <c r="B3" s="24">
        <v>65448</v>
      </c>
      <c r="C3" s="23" t="s">
        <v>9</v>
      </c>
    </row>
    <row r="6" spans="1:10">
      <c r="A6" s="61"/>
      <c r="B6" s="62" t="s">
        <v>12</v>
      </c>
      <c r="C6" s="62" t="s">
        <v>4</v>
      </c>
      <c r="D6" s="62"/>
      <c r="E6" s="63" t="s">
        <v>13</v>
      </c>
    </row>
    <row r="7" spans="1:10">
      <c r="A7" s="61"/>
      <c r="B7" s="62"/>
      <c r="C7" s="6" t="s">
        <v>5</v>
      </c>
      <c r="D7" s="6" t="s">
        <v>6</v>
      </c>
      <c r="E7" s="63"/>
    </row>
    <row r="8" spans="1:10">
      <c r="A8" s="7" t="s">
        <v>7</v>
      </c>
      <c r="B8" s="25">
        <f t="shared" ref="B8:B10" si="0">+SUM(C8:E8)</f>
        <v>285392.68799999997</v>
      </c>
      <c r="C8" s="25"/>
      <c r="D8" s="25"/>
      <c r="E8" s="25">
        <f>+B9</f>
        <v>285392.68799999997</v>
      </c>
    </row>
    <row r="9" spans="1:10">
      <c r="A9" s="7" t="s">
        <v>11</v>
      </c>
      <c r="B9" s="25">
        <f t="shared" si="0"/>
        <v>285392.68799999997</v>
      </c>
      <c r="C9" s="25">
        <f>+B2*I2</f>
        <v>196.34399999999999</v>
      </c>
      <c r="D9" s="25"/>
      <c r="E9" s="25">
        <f>+B10</f>
        <v>285196.34399999998</v>
      </c>
    </row>
    <row r="10" spans="1:10">
      <c r="A10" s="7" t="s">
        <v>10</v>
      </c>
      <c r="B10" s="25">
        <f t="shared" si="0"/>
        <v>285196.34399999998</v>
      </c>
      <c r="C10" s="25"/>
      <c r="D10" s="25"/>
      <c r="E10" s="25">
        <f>+B11</f>
        <v>285196.34399999998</v>
      </c>
    </row>
    <row r="11" spans="1:10">
      <c r="A11" s="7" t="s">
        <v>8</v>
      </c>
      <c r="B11" s="25">
        <f>+SUM(C11:E11)</f>
        <v>285196.34399999998</v>
      </c>
      <c r="C11" s="25">
        <f>+B3*I2</f>
        <v>196.34399999999999</v>
      </c>
      <c r="E11" s="25">
        <f>+E12</f>
        <v>285000</v>
      </c>
    </row>
    <row r="12" spans="1:10">
      <c r="A12" s="8" t="s">
        <v>18</v>
      </c>
      <c r="B12" s="26">
        <f>+B8</f>
        <v>285392.68799999997</v>
      </c>
      <c r="C12" s="26">
        <f>+SUM(C8:C11)</f>
        <v>392.68799999999999</v>
      </c>
      <c r="D12" s="26">
        <f>+SUM(D8:D11)</f>
        <v>0</v>
      </c>
      <c r="E12" s="26">
        <f>+I1*I2</f>
        <v>285000</v>
      </c>
      <c r="F12" t="s">
        <v>17</v>
      </c>
    </row>
    <row r="13" spans="1:10">
      <c r="B13" s="9"/>
      <c r="C13" s="9"/>
      <c r="D13" s="9"/>
    </row>
    <row r="14" spans="1:10">
      <c r="A14" t="s">
        <v>19</v>
      </c>
      <c r="B14"/>
      <c r="D14" s="1">
        <f>+B12</f>
        <v>285392.68799999997</v>
      </c>
      <c r="E14" t="s">
        <v>20</v>
      </c>
    </row>
    <row r="15" spans="1:10">
      <c r="A15" t="s">
        <v>21</v>
      </c>
      <c r="B15"/>
      <c r="D15" s="1">
        <f>+B12-C12</f>
        <v>284999.99999999994</v>
      </c>
      <c r="E15" t="s">
        <v>20</v>
      </c>
    </row>
    <row r="16" spans="1:10">
      <c r="A16" t="s">
        <v>22</v>
      </c>
      <c r="B16"/>
      <c r="D16" s="28">
        <f>+(SUM(C12:D12))/E12*100</f>
        <v>0.13778526315789472</v>
      </c>
      <c r="E16" t="s">
        <v>23</v>
      </c>
    </row>
    <row r="17" spans="1:5">
      <c r="A17" t="s">
        <v>24</v>
      </c>
      <c r="B17"/>
      <c r="D17" s="28">
        <f>+D12/E12*100</f>
        <v>0</v>
      </c>
      <c r="E17" t="s">
        <v>23</v>
      </c>
    </row>
  </sheetData>
  <mergeCells count="4">
    <mergeCell ref="A6:A7"/>
    <mergeCell ref="B6:B7"/>
    <mergeCell ref="C6:D6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A19" sqref="A19:C19"/>
    </sheetView>
  </sheetViews>
  <sheetFormatPr baseColWidth="10" defaultRowHeight="15"/>
  <cols>
    <col min="1" max="1" width="28.5703125" customWidth="1"/>
    <col min="2" max="2" width="12.140625" customWidth="1"/>
    <col min="4" max="4" width="14.42578125" customWidth="1"/>
    <col min="5" max="5" width="9.7109375" customWidth="1"/>
  </cols>
  <sheetData>
    <row r="1" spans="1:6">
      <c r="A1" t="s">
        <v>220</v>
      </c>
    </row>
    <row r="2" spans="1:6">
      <c r="A2" t="s">
        <v>221</v>
      </c>
      <c r="B2">
        <v>303</v>
      </c>
      <c r="C2" t="s">
        <v>53</v>
      </c>
    </row>
    <row r="4" spans="1:6">
      <c r="A4" t="s">
        <v>233</v>
      </c>
      <c r="B4">
        <v>4</v>
      </c>
      <c r="C4" t="s">
        <v>222</v>
      </c>
    </row>
    <row r="5" spans="1:6">
      <c r="A5" t="s">
        <v>223</v>
      </c>
      <c r="D5" t="s">
        <v>227</v>
      </c>
    </row>
    <row r="6" spans="1:6">
      <c r="A6" t="s">
        <v>54</v>
      </c>
      <c r="B6">
        <v>8</v>
      </c>
      <c r="C6" t="s">
        <v>57</v>
      </c>
      <c r="D6" t="s">
        <v>228</v>
      </c>
      <c r="E6">
        <f>+SUM(B6:B8)</f>
        <v>24</v>
      </c>
      <c r="F6" t="s">
        <v>57</v>
      </c>
    </row>
    <row r="7" spans="1:6">
      <c r="A7" t="s">
        <v>55</v>
      </c>
      <c r="B7">
        <v>8</v>
      </c>
      <c r="C7" t="s">
        <v>57</v>
      </c>
      <c r="D7" t="s">
        <v>224</v>
      </c>
      <c r="E7">
        <f>+B9</f>
        <v>13</v>
      </c>
      <c r="F7" t="s">
        <v>57</v>
      </c>
    </row>
    <row r="8" spans="1:6">
      <c r="A8" t="s">
        <v>56</v>
      </c>
      <c r="B8">
        <v>8</v>
      </c>
      <c r="C8" t="s">
        <v>57</v>
      </c>
    </row>
    <row r="9" spans="1:6">
      <c r="A9" t="s">
        <v>224</v>
      </c>
      <c r="B9">
        <v>13</v>
      </c>
      <c r="C9" t="s">
        <v>57</v>
      </c>
    </row>
    <row r="13" spans="1:6">
      <c r="A13" t="s">
        <v>229</v>
      </c>
      <c r="D13" t="s">
        <v>230</v>
      </c>
    </row>
    <row r="14" spans="1:6">
      <c r="A14" t="s">
        <v>225</v>
      </c>
      <c r="B14">
        <v>47</v>
      </c>
      <c r="C14" t="s">
        <v>53</v>
      </c>
      <c r="D14" s="1">
        <f>+B14*$E$6</f>
        <v>1128</v>
      </c>
      <c r="E14" t="s">
        <v>57</v>
      </c>
    </row>
    <row r="15" spans="1:6">
      <c r="A15" t="s">
        <v>226</v>
      </c>
      <c r="B15">
        <v>203</v>
      </c>
      <c r="C15" t="s">
        <v>53</v>
      </c>
      <c r="D15" s="1">
        <f>+B15*$E$6</f>
        <v>4872</v>
      </c>
      <c r="E15" t="s">
        <v>57</v>
      </c>
    </row>
    <row r="16" spans="1:6">
      <c r="A16" t="s">
        <v>224</v>
      </c>
      <c r="B16">
        <v>53</v>
      </c>
      <c r="C16" t="s">
        <v>53</v>
      </c>
      <c r="D16" s="1">
        <f>+B16*E7</f>
        <v>689</v>
      </c>
      <c r="E16" t="s">
        <v>57</v>
      </c>
    </row>
    <row r="17" spans="1:5">
      <c r="D17" s="1">
        <f>SUM(D14:D16)</f>
        <v>6689</v>
      </c>
      <c r="E17" t="s">
        <v>57</v>
      </c>
    </row>
    <row r="19" spans="1:5">
      <c r="A19" s="15" t="s">
        <v>242</v>
      </c>
      <c r="B19" s="51">
        <f>+D17</f>
        <v>6689</v>
      </c>
      <c r="C19" s="15" t="s">
        <v>57</v>
      </c>
    </row>
    <row r="21" spans="1:5">
      <c r="A21" t="s">
        <v>231</v>
      </c>
    </row>
    <row r="22" spans="1:5">
      <c r="A22" t="s">
        <v>232</v>
      </c>
      <c r="B22" t="s">
        <v>225</v>
      </c>
    </row>
    <row r="23" spans="1:5">
      <c r="A23" t="s">
        <v>211</v>
      </c>
      <c r="B23">
        <v>2</v>
      </c>
      <c r="C23" t="s">
        <v>57</v>
      </c>
    </row>
    <row r="24" spans="1:5">
      <c r="A24" t="s">
        <v>234</v>
      </c>
      <c r="C24">
        <f>+B23*B14</f>
        <v>94</v>
      </c>
      <c r="D24" t="s">
        <v>57</v>
      </c>
    </row>
    <row r="26" spans="1:5">
      <c r="A26" t="s">
        <v>235</v>
      </c>
      <c r="C26" s="1">
        <f>+D17-C24</f>
        <v>6595</v>
      </c>
      <c r="D26" t="s">
        <v>57</v>
      </c>
    </row>
    <row r="28" spans="1:5">
      <c r="A28" s="15" t="s">
        <v>244</v>
      </c>
      <c r="B28" s="54">
        <f>+(B19/4)/3</f>
        <v>557.41666666666663</v>
      </c>
      <c r="C28" s="15" t="s">
        <v>57</v>
      </c>
    </row>
    <row r="29" spans="1:5">
      <c r="A29" t="s">
        <v>243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topLeftCell="A13" workbookViewId="0">
      <selection activeCell="D17" sqref="D17"/>
    </sheetView>
  </sheetViews>
  <sheetFormatPr baseColWidth="10" defaultRowHeight="15"/>
  <cols>
    <col min="2" max="2" width="30.85546875" customWidth="1"/>
    <col min="3" max="3" width="16.28515625" customWidth="1"/>
    <col min="4" max="6" width="15.5703125" customWidth="1"/>
    <col min="7" max="8" width="17.7109375" customWidth="1"/>
  </cols>
  <sheetData>
    <row r="1" spans="2:10">
      <c r="B1" t="s">
        <v>0</v>
      </c>
      <c r="C1" s="4">
        <f>+'Ej1'!I1</f>
        <v>95000000</v>
      </c>
      <c r="D1" t="s">
        <v>1</v>
      </c>
    </row>
    <row r="2" spans="2:10">
      <c r="B2" t="s">
        <v>14</v>
      </c>
      <c r="C2" s="5">
        <v>3.0000000000000001E-3</v>
      </c>
      <c r="D2" t="s">
        <v>15</v>
      </c>
    </row>
    <row r="3" spans="2:10">
      <c r="B3" t="s">
        <v>59</v>
      </c>
      <c r="C3" s="1">
        <v>6689</v>
      </c>
      <c r="D3" t="s">
        <v>57</v>
      </c>
    </row>
    <row r="5" spans="2:10" ht="44.25" customHeight="1">
      <c r="B5" s="16" t="s">
        <v>62</v>
      </c>
      <c r="C5" s="17" t="s">
        <v>63</v>
      </c>
      <c r="D5" s="17" t="s">
        <v>60</v>
      </c>
      <c r="E5" s="17" t="s">
        <v>61</v>
      </c>
      <c r="F5" s="17" t="s">
        <v>219</v>
      </c>
      <c r="G5" s="17" t="s">
        <v>67</v>
      </c>
    </row>
    <row r="6" spans="2:10">
      <c r="B6" s="29" t="s">
        <v>7</v>
      </c>
      <c r="C6" s="25">
        <v>17640</v>
      </c>
      <c r="D6" s="7">
        <f>+$C$3</f>
        <v>6689</v>
      </c>
      <c r="E6" s="25">
        <f>+C6*D6</f>
        <v>117993960</v>
      </c>
      <c r="F6" s="55">
        <f>'Maquinas Especificaciones'!H16</f>
        <v>0.99681576952236539</v>
      </c>
      <c r="G6" s="25">
        <f>+E6*F6</f>
        <v>117618240.0363912</v>
      </c>
    </row>
    <row r="7" spans="2:10">
      <c r="B7" s="29" t="s">
        <v>11</v>
      </c>
      <c r="C7" s="25">
        <v>18500</v>
      </c>
      <c r="D7" s="7">
        <f t="shared" ref="D7:D9" si="0">+$C$3</f>
        <v>6689</v>
      </c>
      <c r="E7" s="25">
        <f t="shared" ref="E7:E9" si="1">+C7*D7</f>
        <v>123746500</v>
      </c>
      <c r="F7" s="55">
        <f>'Maquinas Especificaciones'!H17</f>
        <v>0.998786959818044</v>
      </c>
      <c r="G7" s="25">
        <f>+E7*F7</f>
        <v>123596390.52312358</v>
      </c>
    </row>
    <row r="8" spans="2:10">
      <c r="B8" s="29" t="s">
        <v>76</v>
      </c>
      <c r="C8" s="25">
        <v>15600</v>
      </c>
      <c r="D8" s="7">
        <f t="shared" si="0"/>
        <v>6689</v>
      </c>
      <c r="E8" s="25">
        <f t="shared" si="1"/>
        <v>104348400</v>
      </c>
      <c r="F8" s="55">
        <f>'Maquinas Especificaciones'!H18</f>
        <v>0.998786959818044</v>
      </c>
      <c r="G8" s="25">
        <f>+E8*F8</f>
        <v>104221821.19787718</v>
      </c>
    </row>
    <row r="9" spans="2:10">
      <c r="B9" s="29" t="s">
        <v>8</v>
      </c>
      <c r="C9" s="25">
        <v>14400</v>
      </c>
      <c r="D9" s="7">
        <f t="shared" si="0"/>
        <v>6689</v>
      </c>
      <c r="E9" s="25">
        <f t="shared" si="1"/>
        <v>96321600</v>
      </c>
      <c r="F9" s="55">
        <f>'Maquinas Especificaciones'!H19</f>
        <v>0.98730098559514778</v>
      </c>
      <c r="G9" s="25">
        <f>+E9*F9</f>
        <v>95098410.614101589</v>
      </c>
    </row>
    <row r="10" spans="2:10">
      <c r="J10" s="45"/>
    </row>
    <row r="16" spans="2:10" ht="30">
      <c r="B16" s="16" t="s">
        <v>62</v>
      </c>
      <c r="C16" s="17" t="s">
        <v>64</v>
      </c>
      <c r="D16" s="17" t="s">
        <v>68</v>
      </c>
      <c r="E16" s="17" t="s">
        <v>65</v>
      </c>
      <c r="F16" s="17" t="s">
        <v>69</v>
      </c>
      <c r="G16" s="17" t="s">
        <v>66</v>
      </c>
    </row>
    <row r="17" spans="1:7">
      <c r="A17" s="31">
        <f>+G17</f>
        <v>80.881074202918185</v>
      </c>
      <c r="B17" s="7" t="s">
        <v>7</v>
      </c>
      <c r="C17" s="25">
        <f>+'Ej1'!B8</f>
        <v>285392.68799999997</v>
      </c>
      <c r="D17" s="25">
        <f>+G6*$C$2</f>
        <v>352854.72010917362</v>
      </c>
      <c r="E17" s="7">
        <f>+ROUNDUP(+(C17/D17),0)</f>
        <v>1</v>
      </c>
      <c r="F17" s="25">
        <f>+D17*E17</f>
        <v>352854.72010917362</v>
      </c>
      <c r="G17" s="30">
        <f>+C17/F17*100</f>
        <v>80.881074202918185</v>
      </c>
    </row>
    <row r="18" spans="1:7">
      <c r="A18" s="31">
        <f t="shared" ref="A18:A20" si="2">+G18</f>
        <v>76.968992053373924</v>
      </c>
      <c r="B18" s="7" t="s">
        <v>11</v>
      </c>
      <c r="C18" s="25">
        <f>+'Ej1'!B9</f>
        <v>285392.68799999997</v>
      </c>
      <c r="D18" s="25">
        <f>+G7*$C$2</f>
        <v>370789.17156937072</v>
      </c>
      <c r="E18" s="7">
        <f t="shared" ref="E18:E20" si="3">+ROUNDUP(+(C18/D18),0)</f>
        <v>1</v>
      </c>
      <c r="F18" s="25">
        <f t="shared" ref="F18:F20" si="4">+D18*E18</f>
        <v>370789.17156937072</v>
      </c>
      <c r="G18" s="30">
        <f t="shared" ref="G18:G20" si="5">+C18/F18*100</f>
        <v>76.968992053373924</v>
      </c>
    </row>
    <row r="19" spans="1:7">
      <c r="A19" s="31">
        <f t="shared" si="2"/>
        <v>91.214533489591616</v>
      </c>
      <c r="B19" s="7" t="s">
        <v>76</v>
      </c>
      <c r="C19" s="25">
        <f>+'Ej1'!B10</f>
        <v>285196.34399999998</v>
      </c>
      <c r="D19" s="25">
        <f>+G8*$C$2</f>
        <v>312665.46359363158</v>
      </c>
      <c r="E19" s="7">
        <f t="shared" si="3"/>
        <v>1</v>
      </c>
      <c r="F19" s="25">
        <f t="shared" si="4"/>
        <v>312665.46359363158</v>
      </c>
      <c r="G19" s="30">
        <f t="shared" si="5"/>
        <v>91.214533489591616</v>
      </c>
    </row>
    <row r="20" spans="1:7">
      <c r="A20" s="31">
        <f t="shared" si="2"/>
        <v>99.965338417447001</v>
      </c>
      <c r="B20" s="7" t="s">
        <v>8</v>
      </c>
      <c r="C20" s="25">
        <f>+'Ej1'!B11</f>
        <v>285196.34399999998</v>
      </c>
      <c r="D20" s="25">
        <f>+G9*$C$2</f>
        <v>285295.23184230475</v>
      </c>
      <c r="E20" s="7">
        <f t="shared" si="3"/>
        <v>1</v>
      </c>
      <c r="F20" s="25">
        <f t="shared" si="4"/>
        <v>285295.23184230475</v>
      </c>
      <c r="G20" s="30">
        <f t="shared" si="5"/>
        <v>99.965338417447001</v>
      </c>
    </row>
    <row r="22" spans="1:7">
      <c r="G22" s="28"/>
    </row>
    <row r="23" spans="1:7">
      <c r="C23" s="28"/>
    </row>
    <row r="25" spans="1:7">
      <c r="B25" t="s">
        <v>70</v>
      </c>
      <c r="C25" t="str">
        <f>VLOOKUP(MAX($A$17:$A$20),$A$17:$G$20,2,)</f>
        <v>Impresión</v>
      </c>
    </row>
    <row r="26" spans="1:7">
      <c r="B26" t="s">
        <v>71</v>
      </c>
      <c r="C26" s="1">
        <f>VLOOKUP(MAX($A$17:$A$20),$A$17:$G$20,6,)</f>
        <v>285295.23184230475</v>
      </c>
      <c r="D26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1"/>
  <sheetViews>
    <sheetView topLeftCell="B1" workbookViewId="0">
      <selection activeCell="D23" sqref="D23"/>
    </sheetView>
  </sheetViews>
  <sheetFormatPr baseColWidth="10" defaultRowHeight="15"/>
  <cols>
    <col min="2" max="2" width="16.85546875" bestFit="1" customWidth="1"/>
    <col min="3" max="3" width="11.42578125" customWidth="1"/>
    <col min="4" max="4" width="34.28515625" customWidth="1"/>
    <col min="5" max="5" width="29.140625" bestFit="1" customWidth="1"/>
    <col min="6" max="6" width="23.28515625" bestFit="1" customWidth="1"/>
    <col min="7" max="7" width="32.42578125" bestFit="1" customWidth="1"/>
    <col min="8" max="8" width="24.42578125" bestFit="1" customWidth="1"/>
  </cols>
  <sheetData>
    <row r="1" spans="2:9">
      <c r="B1" s="58" t="s">
        <v>268</v>
      </c>
    </row>
    <row r="3" spans="2:9">
      <c r="E3" t="s">
        <v>0</v>
      </c>
      <c r="G3" s="56">
        <v>95000000</v>
      </c>
      <c r="H3" t="s">
        <v>1</v>
      </c>
    </row>
    <row r="4" spans="2:9">
      <c r="C4" t="s">
        <v>263</v>
      </c>
      <c r="E4" t="s">
        <v>14</v>
      </c>
      <c r="G4" s="57">
        <v>3.0000000000000001E-3</v>
      </c>
      <c r="H4" t="s">
        <v>15</v>
      </c>
    </row>
    <row r="5" spans="2:9">
      <c r="B5" t="s">
        <v>245</v>
      </c>
      <c r="C5" s="25">
        <f>G3*G4</f>
        <v>285000</v>
      </c>
      <c r="D5" t="s">
        <v>2</v>
      </c>
    </row>
    <row r="8" spans="2:9">
      <c r="B8" t="s">
        <v>246</v>
      </c>
      <c r="E8">
        <f>C5/12</f>
        <v>23750</v>
      </c>
      <c r="F8" t="s">
        <v>2</v>
      </c>
    </row>
    <row r="10" spans="2:9">
      <c r="B10" t="s">
        <v>272</v>
      </c>
      <c r="F10" t="s">
        <v>300</v>
      </c>
    </row>
    <row r="11" spans="2:9">
      <c r="C11" s="7" t="s">
        <v>247</v>
      </c>
      <c r="D11" s="7" t="s">
        <v>248</v>
      </c>
      <c r="E11" s="7" t="s">
        <v>249</v>
      </c>
      <c r="F11" s="7" t="s">
        <v>250</v>
      </c>
      <c r="G11" s="7" t="s">
        <v>251</v>
      </c>
      <c r="H11" s="7" t="s">
        <v>252</v>
      </c>
    </row>
    <row r="12" spans="2:9">
      <c r="C12" s="7">
        <v>1</v>
      </c>
      <c r="D12" s="7">
        <v>0</v>
      </c>
      <c r="E12" s="7">
        <v>33.33</v>
      </c>
      <c r="F12" s="7">
        <f>AVERAGE(D12:E12)</f>
        <v>16.664999999999999</v>
      </c>
      <c r="G12" s="7">
        <f>E8</f>
        <v>23750</v>
      </c>
      <c r="H12" s="7">
        <f>(F12*G12)/100</f>
        <v>3957.9375</v>
      </c>
    </row>
    <row r="13" spans="2:9">
      <c r="C13" s="7">
        <v>2</v>
      </c>
      <c r="D13" s="7">
        <v>33.33</v>
      </c>
      <c r="E13" s="7">
        <v>66.66</v>
      </c>
      <c r="F13" s="7">
        <f>AVERAGE(D13:E13)</f>
        <v>49.994999999999997</v>
      </c>
      <c r="G13" s="7">
        <f>E8</f>
        <v>23750</v>
      </c>
      <c r="H13" s="7">
        <f t="shared" ref="H13:H14" si="0">(F13*G13)/100</f>
        <v>11873.8125</v>
      </c>
    </row>
    <row r="14" spans="2:9">
      <c r="C14" s="7">
        <v>3</v>
      </c>
      <c r="D14" s="7">
        <v>66.66</v>
      </c>
      <c r="E14" s="7">
        <v>100</v>
      </c>
      <c r="F14" s="7">
        <f>AVERAGE(D14:E14)</f>
        <v>83.33</v>
      </c>
      <c r="G14" s="7">
        <f>E8</f>
        <v>23750</v>
      </c>
      <c r="H14" s="7">
        <f t="shared" si="0"/>
        <v>19790.875</v>
      </c>
    </row>
    <row r="15" spans="2:9">
      <c r="C15" s="7"/>
      <c r="D15" s="7"/>
      <c r="E15" s="7"/>
      <c r="F15" s="7"/>
      <c r="G15" s="7" t="s">
        <v>253</v>
      </c>
      <c r="H15" s="7">
        <f>SUM(H12:H14)</f>
        <v>35622.625</v>
      </c>
      <c r="I15" t="s">
        <v>2</v>
      </c>
    </row>
    <row r="18" spans="3:6">
      <c r="C18" t="s">
        <v>262</v>
      </c>
    </row>
    <row r="19" spans="3:6">
      <c r="E19" s="15">
        <f>E8*9</f>
        <v>213750</v>
      </c>
      <c r="F19" t="s">
        <v>2</v>
      </c>
    </row>
    <row r="20" spans="3:6">
      <c r="C20" t="s">
        <v>259</v>
      </c>
      <c r="E20" s="15">
        <f>E19+H15</f>
        <v>249372.625</v>
      </c>
      <c r="F20" t="s">
        <v>2</v>
      </c>
    </row>
    <row r="21" spans="3:6">
      <c r="C21" t="s">
        <v>296</v>
      </c>
      <c r="E21" s="15">
        <f>C5</f>
        <v>285000</v>
      </c>
      <c r="F21" t="s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E16" sqref="E16"/>
    </sheetView>
  </sheetViews>
  <sheetFormatPr baseColWidth="10" defaultRowHeight="15"/>
  <sheetData>
    <row r="1" spans="1:12">
      <c r="A1" s="58" t="s">
        <v>266</v>
      </c>
    </row>
    <row r="3" spans="1:12">
      <c r="B3" t="s">
        <v>258</v>
      </c>
      <c r="J3" t="s">
        <v>245</v>
      </c>
      <c r="L3" s="25">
        <f>'Ej 6 '!C5</f>
        <v>285000</v>
      </c>
    </row>
    <row r="4" spans="1:12">
      <c r="B4" t="s">
        <v>254</v>
      </c>
      <c r="D4" s="7">
        <v>52</v>
      </c>
      <c r="E4" t="s">
        <v>255</v>
      </c>
    </row>
    <row r="6" spans="1:12">
      <c r="C6">
        <f>L3/'Ej 7 y 8'!D4</f>
        <v>5480.7692307692305</v>
      </c>
      <c r="D6" t="s">
        <v>256</v>
      </c>
    </row>
    <row r="8" spans="1:12">
      <c r="C8" t="s">
        <v>257</v>
      </c>
      <c r="F8" s="7">
        <f>(C6-0)/2</f>
        <v>2740.3846153846152</v>
      </c>
      <c r="G8" t="s">
        <v>2</v>
      </c>
    </row>
    <row r="9" spans="1:12">
      <c r="F9" s="66"/>
    </row>
    <row r="11" spans="1:12">
      <c r="C11" t="s">
        <v>260</v>
      </c>
    </row>
    <row r="12" spans="1:12">
      <c r="C12" t="s">
        <v>261</v>
      </c>
    </row>
    <row r="14" spans="1:12">
      <c r="A14" s="58" t="s">
        <v>267</v>
      </c>
      <c r="B14" s="58"/>
      <c r="C14" s="58"/>
      <c r="D14" s="58"/>
      <c r="E14" s="58"/>
      <c r="F14" s="58"/>
      <c r="G14" s="58"/>
    </row>
    <row r="15" spans="1:12">
      <c r="A15" s="58"/>
      <c r="B15" s="58"/>
      <c r="C15" s="58"/>
      <c r="D15" s="58"/>
      <c r="E15" s="58"/>
      <c r="F15" s="58"/>
      <c r="G15" s="58"/>
    </row>
    <row r="16" spans="1:12">
      <c r="C16" t="s">
        <v>338</v>
      </c>
      <c r="E16" s="15">
        <f>'Ej 6 '!E20-'Ej 7 y 8'!F8</f>
        <v>246632.24038461538</v>
      </c>
      <c r="F16" t="s">
        <v>2</v>
      </c>
    </row>
    <row r="17" spans="3:6">
      <c r="D17" t="s">
        <v>264</v>
      </c>
    </row>
    <row r="19" spans="3:6">
      <c r="C19" t="s">
        <v>339</v>
      </c>
      <c r="E19" s="51">
        <f>L3</f>
        <v>285000</v>
      </c>
      <c r="F19" t="s">
        <v>2</v>
      </c>
    </row>
    <row r="20" spans="3:6">
      <c r="D20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L49"/>
  <sheetViews>
    <sheetView tabSelected="1" workbookViewId="0">
      <selection activeCell="H6" sqref="H6"/>
    </sheetView>
  </sheetViews>
  <sheetFormatPr baseColWidth="10" defaultRowHeight="15"/>
  <cols>
    <col min="6" max="6" width="46" bestFit="1" customWidth="1"/>
    <col min="9" max="9" width="15.140625" customWidth="1"/>
    <col min="10" max="10" width="27.140625" bestFit="1" customWidth="1"/>
  </cols>
  <sheetData>
    <row r="2" spans="2:12">
      <c r="B2" s="58" t="s">
        <v>269</v>
      </c>
    </row>
    <row r="4" spans="2:12">
      <c r="J4" s="15" t="s">
        <v>242</v>
      </c>
      <c r="K4" s="51">
        <f>'Ej2'!B19</f>
        <v>6689</v>
      </c>
      <c r="L4" s="15" t="s">
        <v>57</v>
      </c>
    </row>
    <row r="7" spans="2:12">
      <c r="B7" s="15" t="s">
        <v>75</v>
      </c>
      <c r="F7" s="15" t="s">
        <v>161</v>
      </c>
      <c r="J7" s="15"/>
      <c r="K7" s="51"/>
      <c r="L7" s="15"/>
    </row>
    <row r="8" spans="2:12">
      <c r="B8" t="s">
        <v>77</v>
      </c>
      <c r="C8" s="1">
        <v>14400</v>
      </c>
      <c r="D8" t="s">
        <v>28</v>
      </c>
      <c r="F8" t="s">
        <v>162</v>
      </c>
      <c r="G8">
        <v>32</v>
      </c>
      <c r="H8" t="s">
        <v>3</v>
      </c>
    </row>
    <row r="9" spans="2:12">
      <c r="F9" t="s">
        <v>207</v>
      </c>
      <c r="G9">
        <v>7</v>
      </c>
      <c r="H9" t="s">
        <v>47</v>
      </c>
    </row>
    <row r="11" spans="2:12">
      <c r="B11" t="s">
        <v>280</v>
      </c>
    </row>
    <row r="14" spans="2:12">
      <c r="D14" t="s">
        <v>282</v>
      </c>
      <c r="F14" s="5">
        <f>C8/3600</f>
        <v>4</v>
      </c>
      <c r="G14" t="s">
        <v>47</v>
      </c>
    </row>
    <row r="15" spans="2:12">
      <c r="D15" t="s">
        <v>281</v>
      </c>
    </row>
    <row r="17" spans="1:11">
      <c r="D17" t="s">
        <v>283</v>
      </c>
      <c r="G17">
        <f>K4*3600/F14</f>
        <v>6020100</v>
      </c>
      <c r="H17" t="s">
        <v>284</v>
      </c>
    </row>
    <row r="20" spans="1:11">
      <c r="A20" t="s">
        <v>279</v>
      </c>
    </row>
    <row r="22" spans="1:11">
      <c r="D22" t="s">
        <v>278</v>
      </c>
    </row>
    <row r="23" spans="1:11">
      <c r="F23" t="s">
        <v>270</v>
      </c>
      <c r="J23" s="7">
        <f>'Ej 6 '!H15*1.02</f>
        <v>36335.077499999999</v>
      </c>
      <c r="K23" t="s">
        <v>2</v>
      </c>
    </row>
    <row r="24" spans="1:11">
      <c r="F24" t="s">
        <v>271</v>
      </c>
      <c r="J24" s="7">
        <f>'Ej 6 '!E19</f>
        <v>213750</v>
      </c>
      <c r="K24" t="s">
        <v>2</v>
      </c>
    </row>
    <row r="25" spans="1:11">
      <c r="F25" t="s">
        <v>275</v>
      </c>
      <c r="J25" s="7">
        <f>SUM(J23:J24)</f>
        <v>250085.07750000001</v>
      </c>
      <c r="K25" t="s">
        <v>2</v>
      </c>
    </row>
    <row r="27" spans="1:11">
      <c r="F27" t="s">
        <v>273</v>
      </c>
      <c r="J27" s="7">
        <f>'Ej 6 '!E20</f>
        <v>249372.625</v>
      </c>
      <c r="K27" t="s">
        <v>2</v>
      </c>
    </row>
    <row r="29" spans="1:11">
      <c r="F29" s="59" t="s">
        <v>274</v>
      </c>
      <c r="J29" s="7">
        <f>J25-J27</f>
        <v>712.45250000001397</v>
      </c>
      <c r="K29" t="s">
        <v>2</v>
      </c>
    </row>
    <row r="32" spans="1:11">
      <c r="C32" s="58" t="s">
        <v>276</v>
      </c>
    </row>
    <row r="33" spans="3:11">
      <c r="C33" t="s">
        <v>277</v>
      </c>
      <c r="F33" t="s">
        <v>285</v>
      </c>
      <c r="I33" s="67">
        <f>('Ej1'!B8/(K4*3600))*4</f>
        <v>4.7406635770169923E-2</v>
      </c>
      <c r="J33" t="s">
        <v>2</v>
      </c>
      <c r="K33" t="s">
        <v>286</v>
      </c>
    </row>
    <row r="34" spans="3:11">
      <c r="C34" t="s">
        <v>287</v>
      </c>
      <c r="E34">
        <f>I33/1.0014</f>
        <v>4.7340359267195847E-2</v>
      </c>
      <c r="F34" t="s">
        <v>2</v>
      </c>
    </row>
    <row r="35" spans="3:11">
      <c r="C35" t="s">
        <v>288</v>
      </c>
      <c r="F35">
        <f>('Ej 9'!E34*'Ej1'!D17)/100</f>
        <v>0</v>
      </c>
      <c r="G35" t="s">
        <v>2</v>
      </c>
    </row>
    <row r="36" spans="3:11">
      <c r="C36" t="s">
        <v>289</v>
      </c>
      <c r="F36" s="5">
        <f>E34*0.0014</f>
        <v>6.6276502974074188E-5</v>
      </c>
      <c r="G36" t="s">
        <v>2</v>
      </c>
    </row>
    <row r="37" spans="3:11">
      <c r="C37" t="s">
        <v>290</v>
      </c>
      <c r="G37">
        <f>SUM(E34,F35,F36)</f>
        <v>4.7406635770169923E-2</v>
      </c>
    </row>
    <row r="39" spans="3:11">
      <c r="C39" t="s">
        <v>291</v>
      </c>
    </row>
    <row r="40" spans="3:11">
      <c r="F40">
        <f>'Ej1'!C12/'Ej 9'!F36</f>
        <v>5924995.7734434223</v>
      </c>
    </row>
    <row r="42" spans="3:11">
      <c r="C42" t="s">
        <v>292</v>
      </c>
    </row>
    <row r="43" spans="3:11">
      <c r="D43" t="s">
        <v>293</v>
      </c>
      <c r="G43">
        <f>J25</f>
        <v>250085.07750000001</v>
      </c>
      <c r="H43" t="s">
        <v>2</v>
      </c>
    </row>
    <row r="44" spans="3:11">
      <c r="D44" t="s">
        <v>294</v>
      </c>
      <c r="G44" s="67">
        <f>I33</f>
        <v>4.7406635770169923E-2</v>
      </c>
      <c r="H44" t="s">
        <v>2</v>
      </c>
    </row>
    <row r="45" spans="3:11">
      <c r="D45" t="s">
        <v>295</v>
      </c>
      <c r="G45">
        <f>SUM(G43:G44)</f>
        <v>250085.12490663579</v>
      </c>
      <c r="H45" t="s">
        <v>2</v>
      </c>
    </row>
    <row r="47" spans="3:11">
      <c r="C47" t="s">
        <v>297</v>
      </c>
      <c r="G47">
        <f>'Ej 6 '!E21*1</f>
        <v>285000</v>
      </c>
      <c r="H47" t="s">
        <v>2</v>
      </c>
    </row>
    <row r="48" spans="3:11">
      <c r="E48" t="s">
        <v>298</v>
      </c>
      <c r="G48">
        <f>'Ej 6 '!E21</f>
        <v>285000</v>
      </c>
      <c r="H48" t="s">
        <v>2</v>
      </c>
    </row>
    <row r="49" spans="5:8">
      <c r="E49" t="s">
        <v>299</v>
      </c>
      <c r="G49">
        <f>G47-G48</f>
        <v>0</v>
      </c>
      <c r="H49" t="s">
        <v>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O56"/>
  <sheetViews>
    <sheetView topLeftCell="A10" workbookViewId="0">
      <selection activeCell="F56" sqref="F56"/>
    </sheetView>
  </sheetViews>
  <sheetFormatPr baseColWidth="10" defaultRowHeight="15"/>
  <cols>
    <col min="3" max="3" width="31.5703125" bestFit="1" customWidth="1"/>
    <col min="4" max="4" width="12.5703125" bestFit="1" customWidth="1"/>
    <col min="5" max="5" width="13.28515625" bestFit="1" customWidth="1"/>
    <col min="6" max="6" width="11.85546875" bestFit="1" customWidth="1"/>
  </cols>
  <sheetData>
    <row r="3" spans="1:15">
      <c r="B3" t="s">
        <v>315</v>
      </c>
    </row>
    <row r="5" spans="1:15">
      <c r="A5" t="s">
        <v>321</v>
      </c>
      <c r="J5">
        <f>D7*2</f>
        <v>47500</v>
      </c>
      <c r="K5" t="s">
        <v>2</v>
      </c>
    </row>
    <row r="7" spans="1:15">
      <c r="A7" t="s">
        <v>317</v>
      </c>
      <c r="D7">
        <f>'Ej 9'!G47/12</f>
        <v>23750</v>
      </c>
      <c r="E7" t="s">
        <v>2</v>
      </c>
    </row>
    <row r="9" spans="1:15">
      <c r="A9" t="s">
        <v>322</v>
      </c>
    </row>
    <row r="11" spans="1:15">
      <c r="D11" s="7" t="s">
        <v>302</v>
      </c>
      <c r="E11" s="7" t="s">
        <v>316</v>
      </c>
      <c r="F11" s="7" t="s">
        <v>301</v>
      </c>
      <c r="G11" s="29" t="s">
        <v>319</v>
      </c>
      <c r="H11" s="72" t="s">
        <v>318</v>
      </c>
      <c r="I11" s="68"/>
      <c r="J11" s="69"/>
    </row>
    <row r="12" spans="1:15">
      <c r="D12" s="7" t="s">
        <v>303</v>
      </c>
      <c r="E12" s="7">
        <f>D7*2</f>
        <v>47500</v>
      </c>
      <c r="F12" s="7">
        <f>N14*18</f>
        <v>24750</v>
      </c>
      <c r="G12" s="73">
        <f>D7</f>
        <v>23750</v>
      </c>
      <c r="H12" s="73">
        <v>18</v>
      </c>
      <c r="I12" s="74"/>
      <c r="J12" s="75"/>
    </row>
    <row r="13" spans="1:15">
      <c r="D13" s="7" t="s">
        <v>304</v>
      </c>
      <c r="E13" s="7">
        <f>SUM(E12:F12)-$D$7</f>
        <v>48500</v>
      </c>
      <c r="F13" s="29">
        <f>H13*$N$14</f>
        <v>23375</v>
      </c>
      <c r="G13" s="29">
        <f>D7</f>
        <v>23750</v>
      </c>
      <c r="H13" s="29">
        <f>ROUNDUP(IF((E13-G13)&lt;$J$5,($J$5-(E13-G13))/$N$14,0),0)</f>
        <v>17</v>
      </c>
      <c r="I13" s="68"/>
      <c r="J13" s="69"/>
    </row>
    <row r="14" spans="1:15">
      <c r="D14" s="7" t="s">
        <v>305</v>
      </c>
      <c r="E14" s="7">
        <f>SUM(E13:F13)-$D$7</f>
        <v>48125</v>
      </c>
      <c r="F14" s="29">
        <f>H14*$N$14</f>
        <v>23375</v>
      </c>
      <c r="G14" s="73">
        <f>D7</f>
        <v>23750</v>
      </c>
      <c r="H14" s="29">
        <f>ROUNDUP(IF((E14-G14)&lt;$J$5,($J$5-(E14-G14))/$N$14,0),0)</f>
        <v>17</v>
      </c>
      <c r="I14" s="74"/>
      <c r="J14" s="75"/>
      <c r="L14" t="s">
        <v>320</v>
      </c>
      <c r="N14">
        <f>25*55</f>
        <v>1375</v>
      </c>
      <c r="O14" t="s">
        <v>2</v>
      </c>
    </row>
    <row r="15" spans="1:15">
      <c r="D15" s="7" t="s">
        <v>306</v>
      </c>
      <c r="E15" s="7">
        <f>SUM(E14:F14)-$D$7</f>
        <v>47750</v>
      </c>
      <c r="F15" s="29">
        <f>H15*$N$14</f>
        <v>24750</v>
      </c>
      <c r="G15" s="29">
        <f>G14</f>
        <v>23750</v>
      </c>
      <c r="H15" s="29">
        <f>ROUNDUP(IF((E15-G15)&lt;$J$5,($J$5-(E15-G15))/$N$14,0),0)</f>
        <v>18</v>
      </c>
      <c r="I15" s="68"/>
      <c r="J15" s="69"/>
    </row>
    <row r="16" spans="1:15">
      <c r="D16" s="7" t="s">
        <v>307</v>
      </c>
      <c r="E16" s="7">
        <f>SUM(E15:F15)-$D$7</f>
        <v>48750</v>
      </c>
      <c r="F16" s="29">
        <f>H16*$N$14</f>
        <v>23375</v>
      </c>
      <c r="G16" s="73">
        <f>D7</f>
        <v>23750</v>
      </c>
      <c r="H16" s="29">
        <f>ROUNDUP(IF((E16-G16)&lt;$J$5,($J$5-(E16-G16))/$N$14,0),0)</f>
        <v>17</v>
      </c>
      <c r="I16" s="74"/>
      <c r="J16" s="75"/>
    </row>
    <row r="17" spans="4:10">
      <c r="D17" s="7" t="s">
        <v>308</v>
      </c>
      <c r="E17" s="7">
        <f>SUM(E16:F16)-$D$7</f>
        <v>48375</v>
      </c>
      <c r="F17" s="29">
        <f>H17*$N$14</f>
        <v>23375</v>
      </c>
      <c r="G17" s="29">
        <f>D7</f>
        <v>23750</v>
      </c>
      <c r="H17" s="29">
        <f>ROUNDUP(IF((E17-G17)&lt;$J$5,($J$5-(E17-G17))/$N$14,0),0)</f>
        <v>17</v>
      </c>
      <c r="I17" s="68"/>
      <c r="J17" s="69"/>
    </row>
    <row r="18" spans="4:10">
      <c r="D18" s="7" t="s">
        <v>309</v>
      </c>
      <c r="E18" s="7">
        <f>SUM(E17:F17)-$D$7</f>
        <v>48000</v>
      </c>
      <c r="F18" s="29">
        <f>H18*$N$14</f>
        <v>23375</v>
      </c>
      <c r="G18" s="73">
        <f>D7</f>
        <v>23750</v>
      </c>
      <c r="H18" s="29">
        <f>ROUNDUP(IF((E18-G18)&lt;$J$5,($J$5-(E18-G18))/$N$14,0),0)</f>
        <v>17</v>
      </c>
      <c r="I18" s="74"/>
      <c r="J18" s="75"/>
    </row>
    <row r="19" spans="4:10">
      <c r="D19" s="7" t="s">
        <v>310</v>
      </c>
      <c r="E19" s="7">
        <f>SUM(E18:F18)-$D$7</f>
        <v>47625</v>
      </c>
      <c r="F19" s="29">
        <f>H19*$N$14</f>
        <v>24750</v>
      </c>
      <c r="G19" s="29">
        <f>D7</f>
        <v>23750</v>
      </c>
      <c r="H19" s="29">
        <f>ROUNDUP(IF((E19-G19)&lt;$J$5,($J$5-(E19-G19))/$N$14,0),0)</f>
        <v>18</v>
      </c>
      <c r="I19" s="68"/>
      <c r="J19" s="69"/>
    </row>
    <row r="20" spans="4:10">
      <c r="D20" s="70" t="s">
        <v>311</v>
      </c>
      <c r="E20" s="7">
        <f>SUM(E19:F19)-$D$7</f>
        <v>48625</v>
      </c>
      <c r="F20" s="29">
        <f>H20*$N$14</f>
        <v>23375</v>
      </c>
      <c r="G20" s="73">
        <f>D7</f>
        <v>23750</v>
      </c>
      <c r="H20" s="29">
        <f>ROUNDUP(IF((E20-G20)&lt;$J$5,($J$5-(E20-G20))/$N$14,0),0)</f>
        <v>17</v>
      </c>
      <c r="I20" s="74"/>
      <c r="J20" s="75"/>
    </row>
    <row r="21" spans="4:10">
      <c r="D21" s="70" t="s">
        <v>312</v>
      </c>
      <c r="E21" s="7">
        <f>SUM(E20:F20)-$D$7</f>
        <v>48250</v>
      </c>
      <c r="F21" s="29">
        <f>H21*$N$14</f>
        <v>23375</v>
      </c>
      <c r="G21" s="29">
        <f>D7</f>
        <v>23750</v>
      </c>
      <c r="H21" s="29">
        <f>ROUNDUP(IF((E21-G21)&lt;$J$5,($J$5-(E21-G21))/$N$14,0),0)</f>
        <v>17</v>
      </c>
      <c r="I21" s="68"/>
      <c r="J21" s="69"/>
    </row>
    <row r="22" spans="4:10">
      <c r="D22" s="70" t="s">
        <v>313</v>
      </c>
      <c r="E22" s="7">
        <f>SUM(E21:F21)-$D$7</f>
        <v>47875</v>
      </c>
      <c r="F22" s="29">
        <f>H22*$N$14</f>
        <v>23375</v>
      </c>
      <c r="G22" s="73">
        <f>D7</f>
        <v>23750</v>
      </c>
      <c r="H22" s="29">
        <f>ROUNDUP(IF((E22-G22)&lt;$J$5,($J$5-(E22-G22))/$N$14,0),0)</f>
        <v>17</v>
      </c>
      <c r="I22" s="74"/>
      <c r="J22" s="75"/>
    </row>
    <row r="23" spans="4:10">
      <c r="D23" s="70" t="s">
        <v>314</v>
      </c>
      <c r="E23" s="7">
        <f>SUM(E22:F22)-$D$7</f>
        <v>47500</v>
      </c>
      <c r="F23" s="29">
        <f>H23*$N$14</f>
        <v>24750</v>
      </c>
      <c r="G23" s="29">
        <f>D7</f>
        <v>23750</v>
      </c>
      <c r="H23" s="29">
        <f>ROUNDUP(IF((E23-G23)&lt;$J$5,($J$5-(E23-G23))/$N$14,0),0)</f>
        <v>18</v>
      </c>
      <c r="I23" s="68"/>
      <c r="J23" s="69"/>
    </row>
    <row r="24" spans="4:10">
      <c r="D24" s="71"/>
      <c r="E24" s="66"/>
      <c r="F24" s="66"/>
      <c r="G24" s="66"/>
    </row>
    <row r="25" spans="4:10">
      <c r="D25" s="71" t="s">
        <v>323</v>
      </c>
      <c r="F25" s="71">
        <f>SUM(E12:E23)/12</f>
        <v>48072.916666666664</v>
      </c>
      <c r="G25" t="s">
        <v>2</v>
      </c>
      <c r="H25" t="s">
        <v>324</v>
      </c>
      <c r="I25">
        <f>F25/D7</f>
        <v>2.0241228070175437</v>
      </c>
      <c r="J25" t="s">
        <v>325</v>
      </c>
    </row>
    <row r="48" spans="3:7">
      <c r="C48" s="7"/>
      <c r="D48" s="7" t="s">
        <v>326</v>
      </c>
      <c r="E48" s="7" t="s">
        <v>340</v>
      </c>
      <c r="F48" s="7" t="s">
        <v>237</v>
      </c>
      <c r="G48" s="7" t="s">
        <v>327</v>
      </c>
    </row>
    <row r="49" spans="3:7">
      <c r="C49" s="7" t="s">
        <v>330</v>
      </c>
      <c r="D49" s="7" t="s">
        <v>329</v>
      </c>
      <c r="E49" s="7"/>
      <c r="F49" s="7">
        <f>'Ej 7 y 8'!E16</f>
        <v>246632.24038461538</v>
      </c>
      <c r="G49" s="25">
        <f>'Ej 7 y 8'!E19</f>
        <v>285000</v>
      </c>
    </row>
    <row r="50" spans="3:7">
      <c r="C50" s="7" t="s">
        <v>331</v>
      </c>
      <c r="D50" s="7" t="s">
        <v>329</v>
      </c>
      <c r="E50" s="7"/>
      <c r="F50" s="7">
        <f>'Ej 7 y 8'!F8</f>
        <v>2740.3846153846152</v>
      </c>
      <c r="G50" s="7">
        <f>'Ej 7 y 8'!F8</f>
        <v>2740.3846153846152</v>
      </c>
    </row>
    <row r="51" spans="3:7">
      <c r="C51" s="7" t="s">
        <v>332</v>
      </c>
      <c r="D51" s="7" t="s">
        <v>329</v>
      </c>
      <c r="E51" s="7"/>
      <c r="F51" s="7">
        <f>'Ej 6 '!E20</f>
        <v>249372.625</v>
      </c>
      <c r="G51" s="7">
        <f>'Ej 6 '!E21</f>
        <v>285000</v>
      </c>
    </row>
    <row r="52" spans="3:7">
      <c r="C52" s="7" t="s">
        <v>333</v>
      </c>
      <c r="D52" s="7" t="s">
        <v>328</v>
      </c>
      <c r="E52" s="7"/>
      <c r="F52" s="7">
        <f>'Ej 9'!J29</f>
        <v>712.45250000001397</v>
      </c>
      <c r="G52" s="7">
        <f>'Ej 9'!G49</f>
        <v>0</v>
      </c>
    </row>
    <row r="53" spans="3:7">
      <c r="C53" s="7" t="s">
        <v>334</v>
      </c>
      <c r="D53" s="7" t="s">
        <v>328</v>
      </c>
      <c r="E53" s="7"/>
      <c r="F53" s="7">
        <f>'Ej 9'!G44</f>
        <v>4.7406635770169923E-2</v>
      </c>
      <c r="G53" s="7">
        <f>'Ej 9'!G44</f>
        <v>4.7406635770169923E-2</v>
      </c>
    </row>
    <row r="54" spans="3:7">
      <c r="C54" s="7" t="s">
        <v>335</v>
      </c>
      <c r="D54" s="7" t="s">
        <v>328</v>
      </c>
      <c r="E54" s="7"/>
      <c r="F54" s="7">
        <f>'Ej 9'!G45</f>
        <v>250085.12490663579</v>
      </c>
      <c r="G54" s="7">
        <f>'Ej 9'!G47</f>
        <v>285000</v>
      </c>
    </row>
    <row r="55" spans="3:7">
      <c r="C55" s="7" t="s">
        <v>336</v>
      </c>
      <c r="D55" s="7" t="s">
        <v>328</v>
      </c>
      <c r="E55" s="7">
        <f>'Ej 9'!J23</f>
        <v>36335.077499999999</v>
      </c>
      <c r="F55" s="7">
        <f>F25</f>
        <v>48072.916666666664</v>
      </c>
      <c r="G55" s="7">
        <f>F25</f>
        <v>48072.916666666664</v>
      </c>
    </row>
    <row r="56" spans="3:7">
      <c r="C56" s="7" t="s">
        <v>337</v>
      </c>
      <c r="D56" s="7" t="s">
        <v>328</v>
      </c>
      <c r="E56" s="7">
        <f>'Ej 9'!J23</f>
        <v>36335.077499999999</v>
      </c>
      <c r="F56" s="7">
        <f>F55+F54-'Ej 9'!J23</f>
        <v>261822.96407330246</v>
      </c>
      <c r="G56" s="7">
        <f>SUM(F12:F23)</f>
        <v>286000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C17" sqref="C17"/>
    </sheetView>
  </sheetViews>
  <sheetFormatPr baseColWidth="10" defaultRowHeight="15"/>
  <cols>
    <col min="1" max="1" width="27.28515625" customWidth="1"/>
    <col min="2" max="2" width="12.85546875" bestFit="1" customWidth="1"/>
    <col min="7" max="7" width="13.28515625" customWidth="1"/>
  </cols>
  <sheetData>
    <row r="1" spans="1:16">
      <c r="A1" t="s">
        <v>73</v>
      </c>
      <c r="G1" t="s">
        <v>216</v>
      </c>
      <c r="H1">
        <v>52</v>
      </c>
      <c r="I1" t="s">
        <v>215</v>
      </c>
    </row>
    <row r="2" spans="1:16">
      <c r="G2" t="s">
        <v>216</v>
      </c>
      <c r="H2">
        <f>+'Ej2'!B2</f>
        <v>303</v>
      </c>
      <c r="I2" t="s">
        <v>53</v>
      </c>
    </row>
    <row r="3" spans="1:16">
      <c r="A3" s="15" t="s">
        <v>181</v>
      </c>
      <c r="G3" t="s">
        <v>217</v>
      </c>
      <c r="H3" s="1">
        <v>6595</v>
      </c>
    </row>
    <row r="4" spans="1:16">
      <c r="A4" t="s">
        <v>26</v>
      </c>
      <c r="B4" s="47" t="s">
        <v>177</v>
      </c>
      <c r="C4" t="s">
        <v>182</v>
      </c>
    </row>
    <row r="5" spans="1:16">
      <c r="A5" t="s">
        <v>168</v>
      </c>
      <c r="B5">
        <v>5.5</v>
      </c>
      <c r="C5" t="s">
        <v>164</v>
      </c>
    </row>
    <row r="6" spans="1:16">
      <c r="G6" t="s">
        <v>208</v>
      </c>
      <c r="J6" t="s">
        <v>211</v>
      </c>
      <c r="L6" t="s">
        <v>208</v>
      </c>
      <c r="N6" t="s">
        <v>211</v>
      </c>
      <c r="P6" t="s">
        <v>218</v>
      </c>
    </row>
    <row r="7" spans="1:16">
      <c r="A7" s="15" t="s">
        <v>25</v>
      </c>
      <c r="G7" t="s">
        <v>25</v>
      </c>
      <c r="H7">
        <v>1</v>
      </c>
      <c r="I7" t="s">
        <v>209</v>
      </c>
      <c r="J7">
        <f>15/60</f>
        <v>0.25</v>
      </c>
      <c r="K7" t="s">
        <v>57</v>
      </c>
      <c r="L7">
        <v>1</v>
      </c>
      <c r="M7" t="s">
        <v>212</v>
      </c>
      <c r="N7" s="50">
        <v>8</v>
      </c>
      <c r="O7" t="s">
        <v>57</v>
      </c>
      <c r="P7">
        <f>+J7*H1+N7</f>
        <v>21</v>
      </c>
    </row>
    <row r="8" spans="1:16">
      <c r="A8" t="s">
        <v>166</v>
      </c>
      <c r="B8">
        <v>16</v>
      </c>
      <c r="C8" t="s">
        <v>163</v>
      </c>
      <c r="G8" t="s">
        <v>75</v>
      </c>
      <c r="H8">
        <v>1</v>
      </c>
      <c r="I8" t="s">
        <v>210</v>
      </c>
      <c r="J8">
        <f>15/60</f>
        <v>0.25</v>
      </c>
      <c r="K8" t="s">
        <v>57</v>
      </c>
      <c r="L8">
        <v>1</v>
      </c>
      <c r="M8" t="s">
        <v>212</v>
      </c>
      <c r="N8" s="50">
        <v>8</v>
      </c>
      <c r="O8" t="s">
        <v>57</v>
      </c>
      <c r="P8">
        <f>+J8*H2+N8</f>
        <v>83.75</v>
      </c>
    </row>
    <row r="9" spans="1:16">
      <c r="A9" t="s">
        <v>167</v>
      </c>
      <c r="B9">
        <v>15</v>
      </c>
      <c r="C9" t="s">
        <v>164</v>
      </c>
      <c r="G9" t="s">
        <v>74</v>
      </c>
      <c r="L9">
        <v>1</v>
      </c>
      <c r="M9" t="s">
        <v>212</v>
      </c>
      <c r="N9" s="50">
        <v>8</v>
      </c>
      <c r="O9" t="s">
        <v>57</v>
      </c>
      <c r="P9">
        <f>+N9</f>
        <v>8</v>
      </c>
    </row>
    <row r="10" spans="1:16">
      <c r="A10" t="s">
        <v>165</v>
      </c>
      <c r="B10">
        <v>13</v>
      </c>
      <c r="C10" t="s">
        <v>164</v>
      </c>
      <c r="G10" t="s">
        <v>50</v>
      </c>
      <c r="L10">
        <v>1</v>
      </c>
      <c r="M10" t="s">
        <v>212</v>
      </c>
      <c r="N10" s="50">
        <v>8</v>
      </c>
      <c r="O10" t="s">
        <v>57</v>
      </c>
      <c r="P10" s="49">
        <f>+N10</f>
        <v>8</v>
      </c>
    </row>
    <row r="13" spans="1:16">
      <c r="A13" s="15" t="s">
        <v>161</v>
      </c>
      <c r="G13" t="s">
        <v>213</v>
      </c>
    </row>
    <row r="14" spans="1:16">
      <c r="A14" t="s">
        <v>162</v>
      </c>
      <c r="B14">
        <v>32</v>
      </c>
      <c r="C14" t="s">
        <v>3</v>
      </c>
    </row>
    <row r="15" spans="1:16">
      <c r="A15" t="s">
        <v>207</v>
      </c>
      <c r="B15">
        <v>7</v>
      </c>
      <c r="C15" t="s">
        <v>47</v>
      </c>
      <c r="G15" t="s">
        <v>214</v>
      </c>
    </row>
    <row r="16" spans="1:16">
      <c r="G16" t="s">
        <v>25</v>
      </c>
      <c r="H16" s="48">
        <f>+($H$3-P7)/$H$3</f>
        <v>0.99681576952236539</v>
      </c>
    </row>
    <row r="17" spans="1:8">
      <c r="G17" t="s">
        <v>74</v>
      </c>
      <c r="H17" s="48">
        <f>+($H$3-P9)/$H$3</f>
        <v>0.998786959818044</v>
      </c>
    </row>
    <row r="18" spans="1:8">
      <c r="A18" s="15" t="s">
        <v>74</v>
      </c>
      <c r="G18" t="s">
        <v>50</v>
      </c>
      <c r="H18" s="48">
        <f>+($H$3-P10)/$H$3</f>
        <v>0.998786959818044</v>
      </c>
    </row>
    <row r="19" spans="1:8">
      <c r="A19" t="s">
        <v>77</v>
      </c>
      <c r="B19" s="1" t="s">
        <v>104</v>
      </c>
      <c r="C19" t="s">
        <v>28</v>
      </c>
      <c r="G19" t="s">
        <v>75</v>
      </c>
      <c r="H19" s="48">
        <f>+($H$3-P8)/$H$3</f>
        <v>0.98730098559514778</v>
      </c>
    </row>
    <row r="20" spans="1:8">
      <c r="A20" t="s">
        <v>78</v>
      </c>
      <c r="B20" s="1">
        <v>1</v>
      </c>
      <c r="C20" t="s">
        <v>79</v>
      </c>
    </row>
    <row r="21" spans="1:8">
      <c r="A21" t="s">
        <v>80</v>
      </c>
      <c r="B21" s="27">
        <v>0.7</v>
      </c>
      <c r="C21" t="s">
        <v>81</v>
      </c>
    </row>
    <row r="22" spans="1:8">
      <c r="A22" t="s">
        <v>82</v>
      </c>
      <c r="B22" s="1">
        <v>600</v>
      </c>
      <c r="C22" t="s">
        <v>83</v>
      </c>
    </row>
    <row r="25" spans="1:8">
      <c r="A25" s="15" t="s">
        <v>50</v>
      </c>
    </row>
    <row r="32" spans="1:8">
      <c r="A32" s="15" t="s">
        <v>75</v>
      </c>
    </row>
    <row r="33" spans="1:3">
      <c r="A33" t="s">
        <v>77</v>
      </c>
      <c r="B33" s="1">
        <v>14400</v>
      </c>
      <c r="C33" t="s">
        <v>28</v>
      </c>
    </row>
    <row r="34" spans="1:3">
      <c r="A34" t="s">
        <v>78</v>
      </c>
      <c r="B34" s="1">
        <v>2</v>
      </c>
      <c r="C34" t="s">
        <v>79</v>
      </c>
    </row>
    <row r="35" spans="1:3">
      <c r="A35" t="s">
        <v>80</v>
      </c>
      <c r="B35" s="27">
        <v>1.2</v>
      </c>
      <c r="C35" t="s">
        <v>81</v>
      </c>
    </row>
    <row r="36" spans="1:3">
      <c r="A36" t="s">
        <v>82</v>
      </c>
      <c r="B36" s="1">
        <v>800</v>
      </c>
      <c r="C36" t="s">
        <v>83</v>
      </c>
    </row>
    <row r="37" spans="1:3">
      <c r="C37" s="32"/>
    </row>
    <row r="38" spans="1:3">
      <c r="C38" s="32"/>
    </row>
    <row r="39" spans="1:3">
      <c r="A39" s="15" t="s">
        <v>183</v>
      </c>
      <c r="C39" s="32"/>
    </row>
    <row r="40" spans="1:3">
      <c r="A40" t="s">
        <v>168</v>
      </c>
      <c r="B40" s="1">
        <v>5.5</v>
      </c>
      <c r="C40" t="s">
        <v>164</v>
      </c>
    </row>
    <row r="41" spans="1:3">
      <c r="A41" t="s">
        <v>199</v>
      </c>
      <c r="B41" s="1">
        <v>1000</v>
      </c>
      <c r="C41" t="s">
        <v>200</v>
      </c>
    </row>
    <row r="42" spans="1:3">
      <c r="A42" t="s">
        <v>201</v>
      </c>
      <c r="B42" s="27">
        <v>8</v>
      </c>
      <c r="C42" t="s">
        <v>202</v>
      </c>
    </row>
    <row r="43" spans="1:3">
      <c r="A43" t="s">
        <v>204</v>
      </c>
      <c r="B43" s="1">
        <v>760</v>
      </c>
      <c r="C43" t="s">
        <v>203</v>
      </c>
    </row>
    <row r="44" spans="1:3">
      <c r="A44" t="s">
        <v>206</v>
      </c>
      <c r="B44" s="1">
        <v>120</v>
      </c>
      <c r="C44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Plan de Ventas</vt:lpstr>
      <vt:lpstr>Ej1</vt:lpstr>
      <vt:lpstr>Ej2</vt:lpstr>
      <vt:lpstr>Ej3-4-5</vt:lpstr>
      <vt:lpstr>Ej 6 </vt:lpstr>
      <vt:lpstr>Ej 7 y 8</vt:lpstr>
      <vt:lpstr>Ej 9</vt:lpstr>
      <vt:lpstr>Ej 10 y 11</vt:lpstr>
      <vt:lpstr>Maquinas Especificaciones</vt:lpstr>
      <vt:lpstr>Borrador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mdoce</cp:lastModifiedBy>
  <dcterms:created xsi:type="dcterms:W3CDTF">2016-06-09T02:31:29Z</dcterms:created>
  <dcterms:modified xsi:type="dcterms:W3CDTF">2016-06-24T01:34:56Z</dcterms:modified>
</cp:coreProperties>
</file>