
<file path=[Content_Types].xml><?xml version="1.0" encoding="utf-8"?>
<Types xmlns="http://schemas.openxmlformats.org/package/2006/content-types">
  <Default ContentType="application/xml" Extension="xml"/>
  <Default ContentType="application/vnd.openxmlformats-officedocument.vmlDrawing" Extension="vml"/>
  <Default ContentType="application/vnd.openxmlformats-package.relationships+xml" Extension="rels"/>
  <Override ContentType="application/vnd.openxmlformats-officedocument.spreadsheetml.worksheet+xml" PartName="/xl/worksheets/sheet14.xml"/>
  <Override ContentType="application/vnd.openxmlformats-officedocument.spreadsheetml.worksheet+xml" PartName="/xl/worksheets/sheet17.xml"/>
  <Override ContentType="application/vnd.openxmlformats-officedocument.spreadsheetml.worksheet+xml" PartName="/xl/worksheets/sheet19.xml"/>
  <Override ContentType="application/vnd.openxmlformats-officedocument.spreadsheetml.worksheet+xml" PartName="/xl/worksheets/sheet16.xml"/>
  <Override ContentType="application/vnd.openxmlformats-officedocument.spreadsheetml.worksheet+xml" PartName="/xl/worksheets/sheet2.xml"/>
  <Override ContentType="application/vnd.openxmlformats-officedocument.spreadsheetml.worksheet+xml" PartName="/xl/worksheets/sheet7.xml"/>
  <Override ContentType="application/vnd.openxmlformats-officedocument.spreadsheetml.worksheet+xml" PartName="/xl/worksheets/sheet4.xml"/>
  <Override ContentType="application/vnd.openxmlformats-officedocument.spreadsheetml.worksheet+xml" PartName="/xl/worksheets/sheet3.xml"/>
  <Override ContentType="application/vnd.openxmlformats-officedocument.spreadsheetml.worksheet+xml" PartName="/xl/worksheets/sheet15.xml"/>
  <Override ContentType="application/vnd.openxmlformats-officedocument.spreadsheetml.worksheet+xml" PartName="/xl/worksheets/sheet18.xml"/>
  <Override ContentType="application/vnd.openxmlformats-officedocument.spreadsheetml.worksheet+xml" PartName="/xl/worksheets/sheet9.xml"/>
  <Override ContentType="application/vnd.openxmlformats-officedocument.spreadsheetml.worksheet+xml" PartName="/xl/worksheets/sheet21.xml"/>
  <Override ContentType="application/vnd.openxmlformats-officedocument.spreadsheetml.worksheet+xml" PartName="/xl/worksheets/sheet13.xml"/>
  <Override ContentType="application/vnd.openxmlformats-officedocument.spreadsheetml.worksheet+xml" PartName="/xl/worksheets/sheet8.xml"/>
  <Override ContentType="application/vnd.openxmlformats-officedocument.spreadsheetml.worksheet+xml" PartName="/xl/worksheets/sheet6.xml"/>
  <Override ContentType="application/vnd.openxmlformats-officedocument.spreadsheetml.worksheet+xml" PartName="/xl/worksheets/sheet1.xml"/>
  <Override ContentType="application/vnd.openxmlformats-officedocument.spreadsheetml.worksheet+xml" PartName="/xl/worksheets/sheet12.xml"/>
  <Override ContentType="application/vnd.openxmlformats-officedocument.spreadsheetml.worksheet+xml" PartName="/xl/worksheets/sheet5.xml"/>
  <Override ContentType="application/vnd.openxmlformats-officedocument.spreadsheetml.worksheet+xml" PartName="/xl/worksheets/sheet2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0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worksheetdrawing6.xml"/>
  <Override ContentType="application/vnd.openxmlformats-officedocument.drawing+xml" PartName="/xl/drawings/worksheetdrawing2.xml"/>
  <Override ContentType="application/vnd.openxmlformats-officedocument.drawing+xml" PartName="/xl/drawings/worksheetdrawing11.xml"/>
  <Override ContentType="application/vnd.openxmlformats-officedocument.drawing+xml" PartName="/xl/drawings/worksheetdrawing10.xml"/>
  <Override ContentType="application/vnd.openxmlformats-officedocument.drawing+xml" PartName="/xl/drawings/worksheetdrawing9.xml"/>
  <Override ContentType="application/vnd.openxmlformats-officedocument.drawing+xml" PartName="/xl/drawings/worksheetdrawing4.xml"/>
  <Override ContentType="application/vnd.openxmlformats-officedocument.drawing+xml" PartName="/xl/drawings/worksheetdrawing15.xml"/>
  <Override ContentType="application/vnd.openxmlformats-officedocument.drawing+xml" PartName="/xl/drawings/worksheetdrawing5.xml"/>
  <Override ContentType="application/vnd.openxmlformats-officedocument.drawing+xml" PartName="/xl/drawings/worksheetdrawing20.xml"/>
  <Override ContentType="application/vnd.openxmlformats-officedocument.drawing+xml" PartName="/xl/drawings/worksheetdrawing8.xml"/>
  <Override ContentType="application/vnd.openxmlformats-officedocument.drawing+xml" PartName="/xl/drawings/worksheetdrawing12.xml"/>
  <Override ContentType="application/vnd.openxmlformats-officedocument.drawing+xml" PartName="/xl/drawings/worksheetdrawing3.xml"/>
  <Override ContentType="application/vnd.openxmlformats-officedocument.drawing+xml" PartName="/xl/drawings/worksheetdrawing14.xml"/>
  <Override ContentType="application/vnd.openxmlformats-officedocument.drawing+xml" PartName="/xl/drawings/worksheetdrawing19.xml"/>
  <Override ContentType="application/vnd.openxmlformats-officedocument.drawing+xml" PartName="/xl/drawings/worksheetdrawing13.xml"/>
  <Override ContentType="application/vnd.openxmlformats-officedocument.drawing+xml" PartName="/xl/drawings/worksheetdrawing18.xml"/>
  <Override ContentType="application/vnd.openxmlformats-officedocument.drawing+xml" PartName="/xl/drawings/worksheetdrawing1.xml"/>
  <Override ContentType="application/vnd.openxmlformats-officedocument.drawing+xml" PartName="/xl/drawings/worksheetdrawing16.xml"/>
  <Override ContentType="application/vnd.openxmlformats-officedocument.drawing+xml" PartName="/xl/drawings/worksheetdrawing17.xml"/>
  <Override ContentType="application/vnd.openxmlformats-officedocument.drawing+xml" PartName="/xl/drawings/worksheetdrawing21.xml"/>
  <Override ContentType="application/vnd.openxmlformats-officedocument.drawing+xml" PartName="/xl/drawings/worksheetdrawing7.xml"/>
  <Override ContentType="application/vnd.openxmlformats-officedocument.drawingml.chart+xml" PartName="/xl/charts/chart4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aredStrings+xml" PartName="/xl/sharedStrings.xml"/>
  <Override ContentType="application/vnd.openxmlformats-officedocument.extended-properties+xml" PartName="/docProps/app.xml"/>
  <Override ContentType="application/vnd.openxmlformats-officedocument.spreadsheetml.sheet.main+xml" PartName="/xl/workbook.xml"/>
  <Override ContentType="application/vnd.openxmlformats-officedocument.spreadsheetml.comments+xml" PartName="/xl/comments8.xml"/>
  <Override ContentType="application/vnd.openxmlformats-officedocument.spreadsheetml.comments+xml" PartName="/xl/comments4.xml"/>
  <Override ContentType="application/vnd.openxmlformats-officedocument.spreadsheetml.comments+xml" PartName="/xl/comments6.xml"/>
  <Override ContentType="application/vnd.openxmlformats-officedocument.spreadsheetml.comments+xml" PartName="/xl/comments3.xml"/>
  <Override ContentType="application/vnd.openxmlformats-officedocument.spreadsheetml.comments+xml" PartName="/xl/comments7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5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IM TECNICO - Evolución de la P" sheetId="1" r:id="rId4"/>
    <sheet state="hidden" name="DIM TECNICO - Consumo de MP - P" sheetId="2" r:id="rId5"/>
    <sheet state="hidden" name="DIM TECNICO - Balance Anual - M" sheetId="3" r:id="rId6"/>
    <sheet state="visible" name="Conformación de Datos" sheetId="4" r:id="rId7"/>
    <sheet state="visible" name="Energìa e Impuestos" sheetId="5" r:id="rId8"/>
    <sheet state="visible" name="InfoInicial" sheetId="6" r:id="rId9"/>
    <sheet state="visible" name="E-Inv AF y Am" sheetId="7" r:id="rId10"/>
    <sheet state="hidden" name="Marcha Credito Act. Trabajo REN" sheetId="8" r:id="rId11"/>
    <sheet state="visible" name="E-Costos" sheetId="9" r:id="rId12"/>
    <sheet state="visible" name="E-InvAT" sheetId="10" r:id="rId13"/>
    <sheet state="visible" name="E-Cal Inv." sheetId="11" r:id="rId14"/>
    <sheet state="visible" name="E-IVA " sheetId="12" r:id="rId15"/>
    <sheet state="visible" name="E-Form" sheetId="13" r:id="rId16"/>
    <sheet state="visible" name="F-Cred" sheetId="14" r:id="rId17"/>
    <sheet state="visible" name="Marcha Credito Act. Fijo NO REN" sheetId="15" r:id="rId18"/>
    <sheet state="visible" name="F-CRes" sheetId="16" r:id="rId19"/>
    <sheet state="visible" name="F-2 Estructura" sheetId="17" r:id="rId20"/>
    <sheet state="visible" name="F-IVA" sheetId="18" r:id="rId21"/>
    <sheet state="visible" name="F-Balance" sheetId="19" r:id="rId22"/>
    <sheet state="visible" name="F- CFyU" sheetId="20" r:id="rId23"/>
    <sheet state="visible" name="F- Form" sheetId="21" r:id="rId2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J12">
      <text>
        <t xml:space="preserve">Sale de 11138 lentes a elaborar / 150 lentes por placa
	-mauro corigliano</t>
      </text>
    </comment>
    <comment authorId="0" ref="J18">
      <text>
        <t xml:space="preserve">El ciclo dura 5 días dado que en el tamboreado se deben dejar una semana los marcos.
	-mauro corigliano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R19">
      <text>
        <t xml:space="preserve">Boullon, Franco Emanuel:
La diferencia de esto me da el material perdido</t>
      </text>
    </comment>
    <comment authorId="0" ref="J20">
      <text>
        <t xml:space="preserve">Este cálculo se repite en la hoja de cantidad de máquinas operativas.
Lo que se hizo fue tomar los 14850 anteojos como ingreso y se le sumo lo que equivale el peso de desperdicio de la primer sección en anteojos (desperdicio 1er sección * peso de anteojos = anteojos por desperdicio)
	-Lucas Diorio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SON DOLARES
	-mauro corigliano</t>
      </text>
    </comment>
    <comment authorId="0" ref="C40">
      <text>
        <t xml:space="preserve">Galpón Metálico
	-Lucas Diorio</t>
      </text>
    </comment>
    <comment authorId="0" ref="L191">
      <text>
        <t xml:space="preserve">Es el 90% del año 2 según el tecnólogo.
	-Lucas Diorio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62">
      <text>
        <t xml:space="preserve">Se incluye la mitad de mercadería en curso destinada a ser producto elaborado para tener en cuenta la incidencia de la mercadería en proceso expresada en una cantidad de producto terminado.
	-Lucas Diorio</t>
      </text>
    </comment>
    <comment authorId="0" ref="B64">
      <text>
        <t xml:space="preserve">Mitad de mercadería en curso destinada a ser producto elaborado para tener en cuenta la incidencia de la mercadería en proceso expresada en una cantidad de producto terminado.
	-Lucas Diorio</t>
      </text>
    </comment>
  </commentLi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8">
      <text>
        <t xml:space="preserve">Es el 90% del año 2 según el tecnólogo.
	-Lucas Diorio</t>
      </text>
    </comment>
    <comment authorId="0" ref="C8">
      <text>
        <t xml:space="preserve">1 Operario Calificado
5 Operarios
	-Lucas Diorio</t>
      </text>
    </comment>
    <comment authorId="0" ref="B11">
      <text>
        <t xml:space="preserve">Es el 90% de los siguientes años según el Tecnólogo
	-Lucas Diorio</t>
      </text>
    </comment>
    <comment authorId="0" ref="C53">
      <text>
        <t xml:space="preserve">5% del total va imputado a administración
	-mauro corigliano</t>
      </text>
    </comment>
    <comment authorId="0" ref="B54">
      <text>
        <t xml:space="preserve">Formula de la guia
	-mauro corigliano</t>
      </text>
    </comment>
    <comment authorId="0" ref="C55">
      <text>
        <t xml:space="preserve">2% se imputa a admin
	-mauro corigliano</t>
      </text>
    </comment>
    <comment authorId="0" ref="A87">
      <text>
        <t xml:space="preserve">Pusimos el promedio de los dos productos
	-Lucas Diorio</t>
      </text>
    </comment>
  </commentList>
</comments>
</file>

<file path=xl/comments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24">
      <text>
        <t xml:space="preserve">Kd = Intereses devengados en el año/deuda total promedio en el año.EJERCICIO 52
	-mauro corigliano</t>
      </text>
    </comment>
  </commentList>
</comments>
</file>

<file path=xl/comments7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33">
      <text>
        <t xml:space="preserve">Tengo dudas sobre ambas utilidades
	-mauro corigliano</t>
      </text>
    </comment>
  </commentList>
</comments>
</file>

<file path=xl/comments8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L31">
      <text>
        <t xml:space="preserve">Da correcto,la diferencia es por decimales.
	-mauro corigliano</t>
      </text>
    </comment>
  </commentList>
</comments>
</file>

<file path=xl/sharedStrings.xml><?xml version="1.0" encoding="utf-8"?>
<sst xmlns="http://schemas.openxmlformats.org/spreadsheetml/2006/main" count="1638" uniqueCount="986">
  <si>
    <t>6- DETERMINAR LA EVOLUCIÓN DE LA PRODUCCION</t>
  </si>
  <si>
    <t>Vida util del proyecto = 5 años</t>
  </si>
  <si>
    <t>Período de puesta en marcha = 3 meses</t>
  </si>
  <si>
    <t xml:space="preserve">Días de vacaciones = 15 </t>
  </si>
  <si>
    <t>Días feriados oficiales = 10</t>
  </si>
  <si>
    <t>Volumen de producción mensual promedio</t>
  </si>
  <si>
    <t>kg/mes</t>
  </si>
  <si>
    <t>anteojos/mes</t>
  </si>
  <si>
    <t>Mes</t>
  </si>
  <si>
    <t>Ritmo de produccion al inicio (%)</t>
  </si>
  <si>
    <t>Ritmo de produccion al final (%)</t>
  </si>
  <si>
    <t>Produccion promedio (%)</t>
  </si>
  <si>
    <t>Produccion mensual promedio (kg)</t>
  </si>
  <si>
    <t>Produccion mensual promedio (anteojos)</t>
  </si>
  <si>
    <t>Produccion propuesta (kg)</t>
  </si>
  <si>
    <t>Produccion propuesta (anteojos)</t>
  </si>
  <si>
    <t>TOTALES PM</t>
  </si>
  <si>
    <t>Volumen de producción durante el resto del año 1</t>
  </si>
  <si>
    <t>kg</t>
  </si>
  <si>
    <t>anteojos</t>
  </si>
  <si>
    <t>Meses restantes (Sin Puesta en Marcha)</t>
  </si>
  <si>
    <t>Volumen de producción en el año 1:</t>
  </si>
  <si>
    <t>Volumen de producción en los años 2 al 5:</t>
  </si>
  <si>
    <t>9 - DETERMINAR EL CONSUMO DE MATERIA PRIMA PARA EL PROGRAMA DE PRODUCCION Y FORMACION DE LA MERCADERIA EN CURSO Y SEMIELABORADA</t>
  </si>
  <si>
    <t>Período de puesta en marcha</t>
  </si>
  <si>
    <t>100 % más de desperdicio</t>
  </si>
  <si>
    <t>Días de producción</t>
  </si>
  <si>
    <t>días</t>
  </si>
  <si>
    <t>Ciclos de elaboración por año</t>
  </si>
  <si>
    <t>ciclos</t>
  </si>
  <si>
    <t>Consumo de materia prima en los primeros 3 meses (puesta en marcha)</t>
  </si>
  <si>
    <t>Consumo de MP por producto terminado</t>
  </si>
  <si>
    <t>Consumo de materia prima 9 meses restantes</t>
  </si>
  <si>
    <t>Total materia prima para producción</t>
  </si>
  <si>
    <t>Exceso en el consumo debido a Pta en Marcha</t>
  </si>
  <si>
    <t>Volumen de la producción realizada en el año 1</t>
  </si>
  <si>
    <t>Desperdicio no recuperable por la producción realizada</t>
  </si>
  <si>
    <t>Gasto Anual</t>
  </si>
  <si>
    <t>Volúmen de materia prima requerido: la alimentación del proceso durante el ciclo de elaboración (5 días) es:</t>
  </si>
  <si>
    <t>Está destinada a ser :</t>
  </si>
  <si>
    <t>Producto elaborado</t>
  </si>
  <si>
    <t>Desperdidio no recuperable</t>
  </si>
  <si>
    <t>Desperdidico recuperable a reciclar</t>
  </si>
  <si>
    <t>Total de materia prima en mercadería en curso y se</t>
  </si>
  <si>
    <t>Año 1</t>
  </si>
  <si>
    <t>Consumo MP para vol prod año 1</t>
  </si>
  <si>
    <t>Consumo mercaderia en curso y se</t>
  </si>
  <si>
    <t>Total consumo MP en el año 1</t>
  </si>
  <si>
    <t>Año 2 a 5</t>
  </si>
  <si>
    <t>Consumo destinado a la producción</t>
  </si>
  <si>
    <t>Producción Anual</t>
  </si>
  <si>
    <t>Desperdicios no recuperables</t>
  </si>
  <si>
    <t>BALANCE ANUAL DEL MATERIAL</t>
  </si>
  <si>
    <t>Datos Para Cálculos Técnicos</t>
  </si>
  <si>
    <t>Patilla + Lentilla + Bisagra macho</t>
  </si>
  <si>
    <t>gr</t>
  </si>
  <si>
    <t>Bisagra Hembra</t>
  </si>
  <si>
    <t xml:space="preserve">Franela + Estuche </t>
  </si>
  <si>
    <t>Marco</t>
  </si>
  <si>
    <t>Los desperdicios se dan hasta la sección 2. En el púlido lo consideramos despreciable y sin sentido con respecto a la sección 1 y 2.</t>
  </si>
  <si>
    <t>PESO TOTAL</t>
  </si>
  <si>
    <t>Peso por plancha</t>
  </si>
  <si>
    <t>Espesor material (Plancha y Anteojo)</t>
  </si>
  <si>
    <t>mm</t>
  </si>
  <si>
    <t>cm</t>
  </si>
  <si>
    <t>Densidad material</t>
  </si>
  <si>
    <t>gr/cm3</t>
  </si>
  <si>
    <t>Cálculos auxiliares</t>
  </si>
  <si>
    <t>Volumen por anteojo (por Autocad)</t>
  </si>
  <si>
    <t>cm3</t>
  </si>
  <si>
    <t>Area por anteojo - (por Autocad)</t>
  </si>
  <si>
    <t>cm2</t>
  </si>
  <si>
    <t>Peso por marco de anteojo</t>
  </si>
  <si>
    <t xml:space="preserve">Cantidad </t>
  </si>
  <si>
    <t>unidades</t>
  </si>
  <si>
    <t>mm2</t>
  </si>
  <si>
    <t>Peso total</t>
  </si>
  <si>
    <t xml:space="preserve">SECCIONES (*) </t>
  </si>
  <si>
    <t xml:space="preserve">ALIMENTACION </t>
  </si>
  <si>
    <t>ALIMENTACION (anteojos)</t>
  </si>
  <si>
    <t>ALIMENTACION (kg)</t>
  </si>
  <si>
    <t>DESPERDICIOS (kg/año)</t>
  </si>
  <si>
    <t>PRODUCCIONES SECCIONALES (kg)</t>
  </si>
  <si>
    <t>PRODUCCIONES SECCIONALES (Anteojos)</t>
  </si>
  <si>
    <t>RECUPERABLES</t>
  </si>
  <si>
    <t>NO RECUPERABLES</t>
  </si>
  <si>
    <t>ANTEOJOS NO REC</t>
  </si>
  <si>
    <t>Corte Sierra</t>
  </si>
  <si>
    <t>99 (Planchas de Acet)</t>
  </si>
  <si>
    <t>SECCION 1</t>
  </si>
  <si>
    <t>Volumen total por plancha</t>
  </si>
  <si>
    <t>mm3</t>
  </si>
  <si>
    <t>Corte CNC</t>
  </si>
  <si>
    <t>14850 (Placas Recortadas)</t>
  </si>
  <si>
    <t>Volumen total por placa para la CNC</t>
  </si>
  <si>
    <t>Tamboreado</t>
  </si>
  <si>
    <t>14850 (Marcos)</t>
  </si>
  <si>
    <t>Volumen recuperable por corte  (sierra)</t>
  </si>
  <si>
    <t>Limpieza ultrafrecuencia</t>
  </si>
  <si>
    <t>Pulido trasero</t>
  </si>
  <si>
    <t>Embisagrado</t>
  </si>
  <si>
    <t>29700 (Bisagras) + 14850 (Marcos)</t>
  </si>
  <si>
    <t>Curvados</t>
  </si>
  <si>
    <t>Pulido final</t>
  </si>
  <si>
    <t>Corte y Colocación de patillas y lentes</t>
  </si>
  <si>
    <t>29700 (Patillas, lentes y bisagras) + 14850 (Marcos)</t>
  </si>
  <si>
    <t>Peso por corte recuperable</t>
  </si>
  <si>
    <t>Embalaje</t>
  </si>
  <si>
    <t>14850 (Anteojos + Franela + Estuche)</t>
  </si>
  <si>
    <t>Cantidad</t>
  </si>
  <si>
    <t>Volumen Total Ing. 1era Sección</t>
  </si>
  <si>
    <t>Consumo Real de Materia Prima</t>
  </si>
  <si>
    <t>Porcentaje de Desperdicio Operativo en funcion de la alimentación</t>
  </si>
  <si>
    <t>SECCION 2</t>
  </si>
  <si>
    <t>Volumen no recuperable por placa para CNC</t>
  </si>
  <si>
    <t>Porcentaje de Desperdicio Real en funcion de la alimentación</t>
  </si>
  <si>
    <t>Peso recorte no recuperable por placa</t>
  </si>
  <si>
    <t xml:space="preserve">Peso recorte no recup total </t>
  </si>
  <si>
    <t>marco</t>
  </si>
  <si>
    <t>patillas (2) + bisagra macho (2) + lentillas</t>
  </si>
  <si>
    <t>estuche + franela</t>
  </si>
  <si>
    <t>bisagra hembra</t>
  </si>
  <si>
    <t>POR PLANCHA DE ACETATO SALEN 150 PLACAS A LA SECCION 2</t>
  </si>
  <si>
    <t>DEL LADO DE 600MM QUEDA JUSTO 15 PLACAS DE 40MM</t>
  </si>
  <si>
    <t>DEL LADO DE 1400MM QUEDAN 10 PLACAS OCUPANDO EN TOTAL 1335 MM</t>
  </si>
  <si>
    <t>POR LO TANTO 1400-1355 = 45 MM</t>
  </si>
  <si>
    <t>45 MM * 600 MM = 27000 MM2 * 4 MM = 108000 MM3 = 108 CM3 * 1,32 g/cm3 =142,56 g = 0,14256 Kg POR PLACA</t>
  </si>
  <si>
    <t>99 PLACAS AL AÑO * 0,14256 Kg = 14,11344 Kg DNR POR AÑO SECCION 1</t>
  </si>
  <si>
    <t>PLAN DE VENTAS</t>
  </si>
  <si>
    <t>Cantidades año 1</t>
  </si>
  <si>
    <t>Cantidades año 2</t>
  </si>
  <si>
    <t>Cantidades año 3</t>
  </si>
  <si>
    <t>Cantidades año 4</t>
  </si>
  <si>
    <t>Cantidades año 5</t>
  </si>
  <si>
    <t>WallWood + Arcu</t>
  </si>
  <si>
    <t>TOTAL</t>
  </si>
  <si>
    <t>PRECIO ($)</t>
  </si>
  <si>
    <t>Precio año 1</t>
  </si>
  <si>
    <t>Precio año 2</t>
  </si>
  <si>
    <t>Precio año 3</t>
  </si>
  <si>
    <t>Precio año 4</t>
  </si>
  <si>
    <t>Precio año 5</t>
  </si>
  <si>
    <t>Promedio</t>
  </si>
  <si>
    <t>VENTAS</t>
  </si>
  <si>
    <t>Ventas año 1</t>
  </si>
  <si>
    <t>Ventas año 2</t>
  </si>
  <si>
    <t>Ventas año 3</t>
  </si>
  <si>
    <t>Ventas año 4</t>
  </si>
  <si>
    <t>Ventas año 5</t>
  </si>
  <si>
    <t>BIENES DE USO</t>
  </si>
  <si>
    <t>MAQUINA</t>
  </si>
  <si>
    <t>CANTIDAD MAQ NECESARIAS</t>
  </si>
  <si>
    <t>Precio Unitario</t>
  </si>
  <si>
    <t>Precio Total por cantidades</t>
  </si>
  <si>
    <t>Link</t>
  </si>
  <si>
    <t>Repuestos para un año</t>
  </si>
  <si>
    <t>Total por Insumo</t>
  </si>
  <si>
    <t>Sierra Circular</t>
  </si>
  <si>
    <t>Disco de sierra circular</t>
  </si>
  <si>
    <t>Discos</t>
  </si>
  <si>
    <t>Centro de mecanizado HAS</t>
  </si>
  <si>
    <t>Centro de Mecanizado</t>
  </si>
  <si>
    <t>Fresas para plastico CNC</t>
  </si>
  <si>
    <t>Fresas</t>
  </si>
  <si>
    <t>Destalonadora</t>
  </si>
  <si>
    <t>Fresas y discos torno de mano</t>
  </si>
  <si>
    <t>Tambores de Pulido</t>
  </si>
  <si>
    <t>Motor de repuesto para circular,cnc y tambores</t>
  </si>
  <si>
    <t>Motor de repuesto</t>
  </si>
  <si>
    <t>Limpiadoras de Ultrasonido</t>
  </si>
  <si>
    <t>Torno de mano</t>
  </si>
  <si>
    <t>Pulidora</t>
  </si>
  <si>
    <t>Tambor de pulido</t>
  </si>
  <si>
    <t>Embisagradora</t>
  </si>
  <si>
    <t>Dato Fabricante</t>
  </si>
  <si>
    <t>Prensa Curvado Armazón</t>
  </si>
  <si>
    <t>Zapatas Prensa</t>
  </si>
  <si>
    <t>Biseladora de Lentes</t>
  </si>
  <si>
    <t>Biseladora de lentes</t>
  </si>
  <si>
    <t>Tampógrafo</t>
  </si>
  <si>
    <t>Repuestos Tampografo</t>
  </si>
  <si>
    <t>Total NACIONALES</t>
  </si>
  <si>
    <t>Total</t>
  </si>
  <si>
    <t>Total IMPORTADAS</t>
  </si>
  <si>
    <t>Valor USD</t>
  </si>
  <si>
    <t>Terreno sin edificar ($)</t>
  </si>
  <si>
    <t>Terreno</t>
  </si>
  <si>
    <t>Galpòn + Edificaciòn</t>
  </si>
  <si>
    <t>$/m2</t>
  </si>
  <si>
    <t>Total m2</t>
  </si>
  <si>
    <t>Total $</t>
  </si>
  <si>
    <t>Edificación</t>
  </si>
  <si>
    <t>9885,86</t>
  </si>
  <si>
    <t>Listado de Equipos Auxiliares, Muebles y Útiles</t>
  </si>
  <si>
    <t>Descripción</t>
  </si>
  <si>
    <t>Características Técnicas</t>
  </si>
  <si>
    <t>Área/Sector</t>
  </si>
  <si>
    <t>$/u</t>
  </si>
  <si>
    <t>Computadora de escritorio</t>
  </si>
  <si>
    <t>Intel Core i7 - 3.80Ghz - 8Gb Ram - Disco rígido 1Tb - Monitor de 19" - incluyen mouse, teclado, parlantes, cámara y micrófono</t>
  </si>
  <si>
    <t>Administración / Sala de Reuniones / Gerencia de Administración y Producción / Gerencia General</t>
  </si>
  <si>
    <t>Silla de escritorio</t>
  </si>
  <si>
    <t>Carga máxima: 120 Kgs. / 5 ruedas / Altura regulable y Apoyabrazos</t>
  </si>
  <si>
    <t>Escritorio de oficina</t>
  </si>
  <si>
    <t>Material: melamina de 18mm de espesor / Incluye biblioteca y dos cajones con cerradura</t>
  </si>
  <si>
    <t>Lámpara de escritorio</t>
  </si>
  <si>
    <t>220V / E27</t>
  </si>
  <si>
    <t>Artículos de librería</t>
  </si>
  <si>
    <t>Biblioratos, cuadernos, carpetas, lapiceras, lápices, tacos de papel, abrochadoras, perforadoras, tijeras, reglas, gomas, resmas A4, sobres,folios A4, organizadores, clips, etc</t>
  </si>
  <si>
    <t>Impresora laser multifunción</t>
  </si>
  <si>
    <t>Marca Brother / Modelo DCP-1617NW / Tipo de impresión : Monocromática / Velocidad de impresión en blanco y negro:
21 ppm / Tamaños de papel: A5/A4/Carta/Legal / Toner Brother Negro TN1060</t>
  </si>
  <si>
    <t>Proyector con pantalla</t>
  </si>
  <si>
    <t>Epson 3600lm / Resolución XGA, 1024 x 768, 4:3 / Pantalla de 84"</t>
  </si>
  <si>
    <t>Sala de Reuniones</t>
  </si>
  <si>
    <t>Sistema de teléfonos inalámbricos</t>
  </si>
  <si>
    <t>Panasonic</t>
  </si>
  <si>
    <t>Sala de Reuniones / Gerencia de Administración y Producción / Gerencia General / Depósito de producto terminado / Depósito de materia prima / Pañol ,sala de mantenimiento y reparaciones / Control de Calidad</t>
  </si>
  <si>
    <t>Ventilador</t>
  </si>
  <si>
    <t>220V / 3 velocidades / 18" / de techo y pared</t>
  </si>
  <si>
    <t>Depósito de producto terminado / Depósito de materia prima / Pañol ,sala de mantenimiento y reparaciones / Sala de corte / Centro CNC / Sala de tamboreado y pulido / Sala de armado y limpieza / Control de Calidad</t>
  </si>
  <si>
    <t>Dispenser de agua frío-calor eléctrico</t>
  </si>
  <si>
    <t>220V / Dimensiones del dispenser: 91 cm de alto x 35 cm x 35 cm</t>
  </si>
  <si>
    <t>Administración / Sala de Reuniones / Gerencia de Administración y Producción / Gerencia General / Comedor</t>
  </si>
  <si>
    <t>Aire acondicionado</t>
  </si>
  <si>
    <t>Split / Frío-Calor / Samsung / 4300 frigorías / 5000W / 220V</t>
  </si>
  <si>
    <t>Microondas</t>
  </si>
  <si>
    <t>220V / 700W / Atma Mr1720n</t>
  </si>
  <si>
    <t>Comedor</t>
  </si>
  <si>
    <t>Heladera</t>
  </si>
  <si>
    <t>220V / 277Lts. / Marca Patrick</t>
  </si>
  <si>
    <t>Mesa para comedor estilo industrial</t>
  </si>
  <si>
    <t>Rectançgular 160cm x 80cm x 80cm / Material de 3cm de espesor</t>
  </si>
  <si>
    <t>Sillas para comedor</t>
  </si>
  <si>
    <t>4 patas / Polipropileno / Sin tapizar</t>
  </si>
  <si>
    <t>Mesa de reunión</t>
  </si>
  <si>
    <t>Ovalada de 180cm x 90cm x 74cm / Material de 25 mm de espesor</t>
  </si>
  <si>
    <t>Notebook</t>
  </si>
  <si>
    <t>Intel Core i7 - 2.7Ghz - 8Gb Ram - Disco rígido 1Tb - 15,6"</t>
  </si>
  <si>
    <t>Sala de Reuniones / Gerencia General</t>
  </si>
  <si>
    <t>Teléfono fijo alámbrico</t>
  </si>
  <si>
    <t>-</t>
  </si>
  <si>
    <t>Administración</t>
  </si>
  <si>
    <t>Inodoro con mochila y tapa</t>
  </si>
  <si>
    <t>Baños</t>
  </si>
  <si>
    <t>Bacha lavamanos</t>
  </si>
  <si>
    <t>Espejo con marco</t>
  </si>
  <si>
    <t>Grifería monocomando</t>
  </si>
  <si>
    <t>Luz de emergencia</t>
  </si>
  <si>
    <t>100 leds / Duración:8hs</t>
  </si>
  <si>
    <t>Todas las Áreas</t>
  </si>
  <si>
    <t>Matafuego ABC</t>
  </si>
  <si>
    <t>5kg / 10kg</t>
  </si>
  <si>
    <t>Cestos de basura</t>
  </si>
  <si>
    <t>Estanterías para depósito y almacenes</t>
  </si>
  <si>
    <t xml:space="preserve">Depósito de producto terminado / Depósito de materia prima / Pañol ,sala de mantenimiento y reparaciones </t>
  </si>
  <si>
    <t>Camaras de seguridad</t>
  </si>
  <si>
    <t>Playón de despacho / Playón de recepción</t>
  </si>
  <si>
    <t>Ofrece el terreno</t>
  </si>
  <si>
    <t>Repuestos para mantenimiento de máquinas</t>
  </si>
  <si>
    <t>Juntas, O`rings, filtros, sierras, herramientas de CNC, aceites y lubricantes, etc</t>
  </si>
  <si>
    <t xml:space="preserve">Pañol ,sala de mantenimiento y reparaciones </t>
  </si>
  <si>
    <t>Tablero de herramientas</t>
  </si>
  <si>
    <t>Pinzas (universal, punta, punta curva, alicate), llaves combinadas 7-30, Destronilladores planos y philips, llaves allen/torx, tubos milimétricos y en pulgadas, llave francesa 8"/10"/12", pinza pico de loro 254mm(10"), pinza de presion 254mm(10").</t>
  </si>
  <si>
    <t>Multímetro digital</t>
  </si>
  <si>
    <t>Uni-t Ut61a</t>
  </si>
  <si>
    <t>Soldador lápiz</t>
  </si>
  <si>
    <t>Goot 100W /220V</t>
  </si>
  <si>
    <t>Taladro de mano</t>
  </si>
  <si>
    <t>Makita / Percutor modelo Hp1630 710w / 0-3200rpm / 220V</t>
  </si>
  <si>
    <t>Amoladora de mano</t>
  </si>
  <si>
    <t>Bosch / Modelo angular Gws 7-115mm 750w /220V</t>
  </si>
  <si>
    <t>Zorra</t>
  </si>
  <si>
    <t>Carro Carreta Carrito Carretilla Zorra Reforz. Fabrica</t>
  </si>
  <si>
    <t>GASTOS ASIMILABLES O CARGOS DIFERIDOS</t>
  </si>
  <si>
    <t>ALTA DE LA SOCIEDAD SRL</t>
  </si>
  <si>
    <t xml:space="preserve">Exceso Gastovariable </t>
  </si>
  <si>
    <t>Gastos puesta en marcha</t>
  </si>
  <si>
    <t>Placas</t>
  </si>
  <si>
    <t>Patillas (pares) CON BISAGRA Y ALMA</t>
  </si>
  <si>
    <t>Precio item</t>
  </si>
  <si>
    <t>30 Dolares</t>
  </si>
  <si>
    <t>5 dolares</t>
  </si>
  <si>
    <t>Totales</t>
  </si>
  <si>
    <t>GASTOS DE PRODUCCIÓN</t>
  </si>
  <si>
    <t>MP</t>
  </si>
  <si>
    <t>GASTOS DE MP</t>
  </si>
  <si>
    <t>USD/Unidad</t>
  </si>
  <si>
    <t>Moneda</t>
  </si>
  <si>
    <t>Costo por Unidad ($)</t>
  </si>
  <si>
    <t>Costo Transporte por unidad ($)</t>
  </si>
  <si>
    <t>Estado de Régimen</t>
  </si>
  <si>
    <t>Plancha de Acetato</t>
  </si>
  <si>
    <t>USD</t>
  </si>
  <si>
    <t>Patillas, con bisagras, alma y tornillos</t>
  </si>
  <si>
    <t>Lentillas de Sol y Transparentes</t>
  </si>
  <si>
    <t xml:space="preserve">Estuche </t>
  </si>
  <si>
    <t>$</t>
  </si>
  <si>
    <t>Franela</t>
  </si>
  <si>
    <t>AÑO 2 A 5:</t>
  </si>
  <si>
    <t>Consumo MP (Kg)</t>
  </si>
  <si>
    <t>Costo MP ($/u)</t>
  </si>
  <si>
    <t>Producciòn Programada (Kg)</t>
  </si>
  <si>
    <t>Costo MP ($/kg)</t>
  </si>
  <si>
    <t>Consumo Especìfico</t>
  </si>
  <si>
    <t>Gasto Especìfico</t>
  </si>
  <si>
    <t>AÑO 1:</t>
  </si>
  <si>
    <t>Del dimensionamiento técnico obtuvimos:</t>
  </si>
  <si>
    <t>Costo de MP requerida por producción realizada</t>
  </si>
  <si>
    <t>Costo de MP en Mc en curso y semielaborada</t>
  </si>
  <si>
    <t>Costo de exceso de MP en Pta en marcha</t>
  </si>
  <si>
    <t>Gasto Año 1</t>
  </si>
  <si>
    <t>Acá me pusieron cuales son los desperdicios de la puesta en marcha, no el consumo total (desperdicios más producción) en exceso</t>
  </si>
  <si>
    <t>NO ENTENDEMOS EL COMENTARIO.CONSIDERAMOS PARA EL CALCULO LA PRODUCCIÓN Y EL EXCESO DE GASTO TAMBIEN</t>
  </si>
  <si>
    <t>MOD - MOI</t>
  </si>
  <si>
    <t>TOTAL EMPLEADOR (+32,03% APORTES) + $1225 APORTES SINDICALES POR EMPLEADO +$3000 aprox ART de operario y 0,5% de oficinista + aguinaldo 8,33%</t>
  </si>
  <si>
    <t>Salarios</t>
  </si>
  <si>
    <t>Operarios por hora</t>
  </si>
  <si>
    <t>Trabajando 8 horas</t>
  </si>
  <si>
    <t>Operario Calificado</t>
  </si>
  <si>
    <t>Gasto específico MOI Año 2 a 5</t>
  </si>
  <si>
    <t>Asistente RRHH</t>
  </si>
  <si>
    <t>Gasto específico MOI Año 1</t>
  </si>
  <si>
    <t>Asistente Ventas</t>
  </si>
  <si>
    <t>Asistente Marketing</t>
  </si>
  <si>
    <t>Gasto en la Merc en Proceso año 2 a 5 MOI</t>
  </si>
  <si>
    <t>Comprador</t>
  </si>
  <si>
    <t>Gasto en la Merc en Proceso año 1 MOI</t>
  </si>
  <si>
    <t>Personal de limpieza</t>
  </si>
  <si>
    <t>Contador</t>
  </si>
  <si>
    <t>Asignado a Producción</t>
  </si>
  <si>
    <t>Personal Limpieza</t>
  </si>
  <si>
    <t>Tercerizado (8hs)</t>
  </si>
  <si>
    <t>Asignado a Administración</t>
  </si>
  <si>
    <t>Responsable Mantenimiento</t>
  </si>
  <si>
    <t>Asignado a Comercialización</t>
  </si>
  <si>
    <t>Gerente Administración</t>
  </si>
  <si>
    <t>Gasto MOD Año 2 a 5</t>
  </si>
  <si>
    <t>Gerente Producción</t>
  </si>
  <si>
    <t xml:space="preserve">Gasto especìfico </t>
  </si>
  <si>
    <t>Gerente General</t>
  </si>
  <si>
    <t>OBRAS SOCIALES</t>
  </si>
  <si>
    <t>Gasto MOD Año 1</t>
  </si>
  <si>
    <t>TOTAL SUELDOS</t>
  </si>
  <si>
    <t>Gasto en PT de MOD Año 1</t>
  </si>
  <si>
    <t>Gasto de MOD en Mc en curso y Se</t>
  </si>
  <si>
    <t>MATERIALES</t>
  </si>
  <si>
    <t>Exceso Gasto MOD en Pta en Marc</t>
  </si>
  <si>
    <t>Mantenimiento</t>
  </si>
  <si>
    <t>Anual del valor de los bs de uso (sin repuestos)</t>
  </si>
  <si>
    <t>Repuestos</t>
  </si>
  <si>
    <t xml:space="preserve">Anual de maquinaria + gastos de importaciòn para repuestos </t>
  </si>
  <si>
    <t>Producciòn</t>
  </si>
  <si>
    <t>Anual del gasto de Materia Prima</t>
  </si>
  <si>
    <t>Personal</t>
  </si>
  <si>
    <t>Anual del gasto de personal total en àrea de Producciòn</t>
  </si>
  <si>
    <t>Gastos de Importaciòn</t>
  </si>
  <si>
    <t>Gastos de Flete, Seguro y Aduana</t>
  </si>
  <si>
    <t>Derecho de Importaciòn</t>
  </si>
  <si>
    <t>De los bienes de Uso son afectados por Producciòn</t>
  </si>
  <si>
    <t xml:space="preserve">Gasto Anual de Materiales </t>
  </si>
  <si>
    <t>GASTO EN PUESTA EN MARCHA</t>
  </si>
  <si>
    <t>Gasto Específico ($/kg)</t>
  </si>
  <si>
    <t>Producción</t>
  </si>
  <si>
    <t>Gasto de Mercadería en Proceso</t>
  </si>
  <si>
    <t>Gasto en Productos Terminados</t>
  </si>
  <si>
    <t>Exceso de gasto en Puesta en marcha</t>
  </si>
  <si>
    <t>GASTOS  COMERCIALES Y ADMINISTRATIVOS</t>
  </si>
  <si>
    <t>GASTOS VARIOS DE ASESORAMIENTO (GASTO ADMINISTRATIVO)</t>
  </si>
  <si>
    <t>POR MES</t>
  </si>
  <si>
    <t>VALOR CAJA PARA LENTE + EMPAQUETADO (LOTE)</t>
  </si>
  <si>
    <t>VALOR ESTIMADO DE PAPELERIA POR LENTE VENDIDO + PUBLICIDADES + FOLLETERIA</t>
  </si>
  <si>
    <t>COSTO LOGISTICO APROXIMADO POR PAQUETE DE 5 KG</t>
  </si>
  <si>
    <t>http://www.oca.com.ar/individuos_paqueteria_oca-express-pak/</t>
  </si>
  <si>
    <t>A MODO ESTIMATIVO POR LENTE</t>
  </si>
  <si>
    <t>GASTO EN PUBLICIDAD,ASESORAMIENTO Y REPRESENTACIONES PUBLICAS DE TODO EL AÑO</t>
  </si>
  <si>
    <t>STOCK PROMEDIO DE PRODUCTOS ELABORADOS</t>
  </si>
  <si>
    <t>año 1</t>
  </si>
  <si>
    <t>años 2 a 5</t>
  </si>
  <si>
    <t>Datos</t>
  </si>
  <si>
    <t>U. de medida</t>
  </si>
  <si>
    <t>Período de instalación</t>
  </si>
  <si>
    <t>Ventas (ej 8)</t>
  </si>
  <si>
    <t>Stock promedio de elaborado (ej 7)</t>
  </si>
  <si>
    <t>Producción (ej 6)</t>
  </si>
  <si>
    <t>Desperdicio no recuperable (ej 9)</t>
  </si>
  <si>
    <t>kg. de MP</t>
  </si>
  <si>
    <t>En curso y semielaborado (ej 9)</t>
  </si>
  <si>
    <t>Consumo de materia prima (ej 9)</t>
  </si>
  <si>
    <t>Stock de materia prima (ej 10)</t>
  </si>
  <si>
    <t>Compra de materia prima (ej 9)</t>
  </si>
  <si>
    <t>STOCK POR MES</t>
  </si>
  <si>
    <t>Stock minimo de materia prima</t>
  </si>
  <si>
    <t>126.35</t>
  </si>
  <si>
    <t>kg de Consumo mensual</t>
  </si>
  <si>
    <t>Al fin del mes</t>
  </si>
  <si>
    <t>Stock</t>
  </si>
  <si>
    <t>Compras</t>
  </si>
  <si>
    <t>Enero</t>
  </si>
  <si>
    <t>Febrero</t>
  </si>
  <si>
    <t>Marzo</t>
  </si>
  <si>
    <t>Abril</t>
  </si>
  <si>
    <t>219.54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</si>
  <si>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</si>
  <si>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</si>
  <si>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</si>
  <si>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</si>
  <si>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</si>
  <si>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</si>
  <si>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</si>
  <si>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</si>
  <si>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Durante los primeros tres meses del año se espera la llegada del pedido realizado por encargue en noviembre/diciembre</t>
  </si>
  <si>
    <t>Sumatoria Stock mensual</t>
  </si>
  <si>
    <t>Stock Promedio</t>
  </si>
  <si>
    <t>6.00</t>
  </si>
  <si>
    <t>meses de consumo</t>
  </si>
  <si>
    <t>El stock promedio equivale a 6 meses de consumo</t>
  </si>
  <si>
    <t>VALORES AT</t>
  </si>
  <si>
    <t>Volumen de producción en el año 1 (anteojos)</t>
  </si>
  <si>
    <t xml:space="preserve">   c) Bienes de cambio:</t>
  </si>
  <si>
    <t xml:space="preserve">    Stock de materiales</t>
  </si>
  <si>
    <t>Volumen de producción en los años 2 al 5 (anteojos)</t>
  </si>
  <si>
    <t>Años 3 al 5</t>
  </si>
  <si>
    <t>Stock promedio de producto elaborado (anteojos/año)</t>
  </si>
  <si>
    <t>Comercialización</t>
  </si>
  <si>
    <t>Stock de materia prima Año 1 (kg)</t>
  </si>
  <si>
    <t>Stock de materia prima Años 2 al 5 (kg)</t>
  </si>
  <si>
    <t>Costo por kg MP ($)</t>
  </si>
  <si>
    <t>Stock de materia prima Período de instalación Año 0 (kg)</t>
  </si>
  <si>
    <t>5. Incrementos IVA sobre Inversiones</t>
  </si>
  <si>
    <t>Stock de elaborados</t>
  </si>
  <si>
    <t>Año 2</t>
  </si>
  <si>
    <t>Año 3</t>
  </si>
  <si>
    <t>Año 4</t>
  </si>
  <si>
    <t>Año 5</t>
  </si>
  <si>
    <t>materia prima</t>
  </si>
  <si>
    <t>materiales</t>
  </si>
  <si>
    <t>energía eléctrica</t>
  </si>
  <si>
    <t>combustibles</t>
  </si>
  <si>
    <t>seguros</t>
  </si>
  <si>
    <t>Incrementos</t>
  </si>
  <si>
    <t>Electricidad</t>
  </si>
  <si>
    <t>Maquina</t>
  </si>
  <si>
    <t>Consumo (watt)</t>
  </si>
  <si>
    <t>Cantidad de maquinas a usar</t>
  </si>
  <si>
    <t>Total dia</t>
  </si>
  <si>
    <t>Edenor</t>
  </si>
  <si>
    <t>http://www.edenor.com.ar/cms/files/SP/CuadroTarifario.pdf</t>
  </si>
  <si>
    <t>CNC</t>
  </si>
  <si>
    <t>Prensa para curvado</t>
  </si>
  <si>
    <t>Tornos de mano</t>
  </si>
  <si>
    <t>Tambores de pulido</t>
  </si>
  <si>
    <t>Limpiadoras de ultrasonido</t>
  </si>
  <si>
    <t>Tampografo</t>
  </si>
  <si>
    <t>Computadoras</t>
  </si>
  <si>
    <t>Teléfonos inalámbricos</t>
  </si>
  <si>
    <t>Aire Acondicionado</t>
  </si>
  <si>
    <t>Tasa de Imp. Inmobiliario</t>
  </si>
  <si>
    <t>Imputable a producción</t>
  </si>
  <si>
    <t>Tasa Municipal</t>
  </si>
  <si>
    <t>Total Watts</t>
  </si>
  <si>
    <t>Total Kwatt Dia</t>
  </si>
  <si>
    <t>INGRESOS BRUTOS (COMERCIAL)</t>
  </si>
  <si>
    <t>Total Kwatt Mes</t>
  </si>
  <si>
    <t>Cargo fijo Edenor usuarios con consumo mayor a 2000 Kw mes</t>
  </si>
  <si>
    <t>Valor Kw</t>
  </si>
  <si>
    <t>2 dias de mantenimiento INCLUIDOS</t>
  </si>
  <si>
    <t>Gasto ELECTRICO DIA</t>
  </si>
  <si>
    <t>Gasto ELECTRICO MES</t>
  </si>
  <si>
    <t>Area</t>
  </si>
  <si>
    <t>Consumo m3/mes</t>
  </si>
  <si>
    <t>Total Consumo MES</t>
  </si>
  <si>
    <t>Agua</t>
  </si>
  <si>
    <t>15 Personas</t>
  </si>
  <si>
    <t>Vestuarios</t>
  </si>
  <si>
    <t>Cocina</t>
  </si>
  <si>
    <t>Limpieza</t>
  </si>
  <si>
    <t>Extra</t>
  </si>
  <si>
    <t>Total m3/MES</t>
  </si>
  <si>
    <t>https://www.aya.go.cr/centroDocumetacion/catalogoGeneral/Estimaci%C3%B3n%20de%20consumo%20de%20agua%20potable%20en%20una%20casa.pdf</t>
  </si>
  <si>
    <t>Valor Fijo Aysa</t>
  </si>
  <si>
    <t>Valor por m3 Aysa</t>
  </si>
  <si>
    <t>Gasto Agua MES</t>
  </si>
  <si>
    <t>Gasto Agua Mes</t>
  </si>
  <si>
    <t>Gas</t>
  </si>
  <si>
    <t>Valor Fijo MetroGas ($)</t>
  </si>
  <si>
    <t>Valor m3 ($/m3)</t>
  </si>
  <si>
    <t>Gasto GAS MES</t>
  </si>
  <si>
    <t>Energía Eléctrica</t>
  </si>
  <si>
    <t>ESTA PLANILLA PUEDE SER UTILIZADA SOLAMENTE PARA EL TRABAJO PRACTICO:</t>
  </si>
  <si>
    <t>Reglas y consideraciones a tener en cuenta antes de entregar para corregir</t>
  </si>
  <si>
    <t>Tasa porcentual de IVA</t>
  </si>
  <si>
    <r>
      <rPr>
        <rFont val="Arial"/>
        <color rgb="FFFFFFFF"/>
        <sz val="10.0"/>
      </rPr>
      <t xml:space="preserve">1. TODAS las celdas que tomen datos de otra parte del archivo deben estar referenciadas con una </t>
    </r>
    <r>
      <rPr>
        <rFont val="Arial"/>
        <b/>
        <color rgb="FFFFFFFF"/>
        <sz val="10.0"/>
      </rPr>
      <t>FÓRMULA</t>
    </r>
    <r>
      <rPr>
        <rFont val="Arial"/>
        <color rgb="FFFFFFFF"/>
        <sz val="10.0"/>
      </rPr>
      <t>. No se corregirán TPs con datos escritos como valores (esto vale incluso para la tasa de HD, IG e IVA). Tampoco se aceptarán fórmulas que hagan referencia a otros archivos.</t>
    </r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</si>
  <si>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</si>
  <si>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</si>
  <si>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</si>
  <si>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</si>
  <si>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</si>
  <si>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r>
      <rPr>
        <rFont val="Arial"/>
        <b/>
        <color rgb="FFFFFFFF"/>
        <sz val="10.0"/>
      </rPr>
      <t>2. TODOS</t>
    </r>
    <r>
      <rPr>
        <rFont val="Arial"/>
        <color rgb="FFFFFFFF"/>
        <sz val="10.0"/>
      </rPr>
      <t xml:space="preserve"> los valores que se ingresen al archivo por primera vez deben tener su respectiva referencia o </t>
    </r>
    <r>
      <rPr>
        <rFont val="Arial"/>
        <b/>
        <color rgb="FFFFFFFF"/>
        <sz val="10.0"/>
      </rPr>
      <t>FUENTE</t>
    </r>
    <r>
      <rPr>
        <rFont val="Arial"/>
        <color rgb="FFFFFFFF"/>
        <sz val="10.0"/>
      </rPr>
      <t xml:space="preserve"> (ej. cálculos auxiliares en otra hoja, links, etc.)</t>
    </r>
  </si>
  <si>
    <t xml:space="preserve">    edificios y obras complementarias</t>
  </si>
  <si>
    <t>años</t>
  </si>
  <si>
    <t xml:space="preserve">    instalaciones industriales</t>
  </si>
  <si>
    <r>
      <rPr>
        <rFont val="Arial"/>
        <b/>
        <color rgb="FFFFFFFF"/>
        <sz val="10.0"/>
      </rPr>
      <t>3.</t>
    </r>
    <r>
      <rPr>
        <rFont val="Arial"/>
        <color rgb="FFFFFFFF"/>
        <sz val="10.0"/>
      </rPr>
      <t xml:space="preserve"> Los datos utilizados tienen que tener concordancia con los dimensionamientos anteriores.</t>
    </r>
  </si>
  <si>
    <t xml:space="preserve">    máquinas, equipos y accesorios</t>
  </si>
  <si>
    <r>
      <rPr>
        <rFont val="Arial"/>
        <b/>
        <color rgb="FFFFFFFF"/>
        <sz val="10.0"/>
      </rPr>
      <t>4.</t>
    </r>
    <r>
      <rPr>
        <rFont val="Arial"/>
        <color rgb="FFFFFFFF"/>
        <sz val="10.0"/>
      </rPr>
      <t xml:space="preserve"> El SET "A" de verificaciones en la hoja “E-Form” debe estar OK antes de entregar una primer versión para corregir.</t>
    </r>
  </si>
  <si>
    <t xml:space="preserve">    rodados y equipos auxiliares</t>
  </si>
  <si>
    <t xml:space="preserve">    muebles y útiles</t>
  </si>
  <si>
    <r>
      <rPr>
        <rFont val="Arial"/>
        <b/>
        <color rgb="FFFFFFFF"/>
        <sz val="10.0"/>
      </rPr>
      <t xml:space="preserve">5. </t>
    </r>
    <r>
      <rPr>
        <rFont val="Arial"/>
        <color rgb="FFFFFFFF"/>
        <sz val="10.0"/>
      </rPr>
      <t>El SET "A", “B” y “C” de verificaciones en la hoja “F-Form” debe estar OK antes de la entrega final</t>
    </r>
  </si>
  <si>
    <t xml:space="preserve">    repuestos iniciales</t>
  </si>
  <si>
    <t>Otros Activos y Cargos Diferidos</t>
  </si>
  <si>
    <t>Imprevistos</t>
  </si>
  <si>
    <t>Nombre del Producto</t>
  </si>
  <si>
    <t>Anteojos de Sol WallWood - Arcu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</si>
  <si>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</si>
  <si>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</si>
  <si>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</si>
  <si>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</si>
  <si>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</si>
  <si>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</si>
  <si>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</si>
  <si>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</si>
  <si>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</si>
  <si>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</si>
  <si>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</si>
  <si>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</si>
  <si>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</si>
  <si>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</si>
  <si>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</si>
  <si>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</si>
  <si>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</si>
  <si>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</si>
  <si>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</si>
  <si>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</si>
  <si>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</si>
  <si>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% sobre el total del Rubro</t>
  </si>
  <si>
    <t>Dias de Financiación de Proveedores</t>
  </si>
  <si>
    <t>% sobre Compras</t>
  </si>
  <si>
    <t>Tasa de financiación</t>
  </si>
  <si>
    <t>Nirvana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</si>
  <si>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</si>
  <si>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</si>
  <si>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</si>
  <si>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</si>
  <si>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</si>
  <si>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</si>
  <si>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</si>
  <si>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</si>
  <si>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</si>
  <si>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</si>
  <si>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</si>
  <si>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</si>
  <si>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</si>
  <si>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</si>
  <si>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solo sobre las nacionales?</t>
  </si>
  <si>
    <t>Rodados y equipos auxiliares</t>
  </si>
  <si>
    <t>Muebles y útiles</t>
  </si>
  <si>
    <t>Infraestructura en predio propio</t>
  </si>
  <si>
    <t>la tasa de imprevistos está definida en Info Inicial</t>
  </si>
  <si>
    <t>LISTO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</si>
  <si>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</si>
  <si>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</si>
  <si>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</si>
  <si>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</si>
  <si>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</si>
  <si>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</si>
  <si>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Deberían ajustarla por la calculada en los Costos.</t>
  </si>
  <si>
    <t>Patentes y Licencias</t>
  </si>
  <si>
    <t>Infraestructura en predio ajeno</t>
  </si>
  <si>
    <t>Ídem imprevistos anteriores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</si>
  <si>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</si>
  <si>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</si>
  <si>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</si>
  <si>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</si>
  <si>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</si>
  <si>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</si>
  <si>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</si>
  <si>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</si>
  <si>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</si>
  <si>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</si>
  <si>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</si>
  <si>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</si>
  <si>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</si>
  <si>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% Correspondiente al área de prod. de todos los rubros</t>
  </si>
  <si>
    <t>Pusieron acá el porcentaje de imprevistos que deberia ir arriba, acá va la cuota de amortización, seguramente 20% era. Admito que en InfoInicial está mal presentado el dato y es la primera vez que lo observo, lo voy a tener en cuenta para el año que viene</t>
  </si>
  <si>
    <t>% Correspondiente al área de prod. de repuestos</t>
  </si>
  <si>
    <t>NO DICE NADA EN INFO INICIAL,USAMOS EL 20% QUE NOS PROPONES</t>
  </si>
  <si>
    <t>Subtotal</t>
  </si>
  <si>
    <t xml:space="preserve">Cargos Diferidos </t>
  </si>
  <si>
    <t>Totales, s/IVA</t>
  </si>
  <si>
    <t>Imputación Específica año 2 a 5</t>
  </si>
  <si>
    <t>Imputación Específica año 1</t>
  </si>
  <si>
    <t>PRIMERA ESTRUCTURA FINANCIERA</t>
  </si>
  <si>
    <t>Rubros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</si>
  <si>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</si>
  <si>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</si>
  <si>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</si>
  <si>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</si>
  <si>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</si>
  <si>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</si>
  <si>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</si>
  <si>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</si>
  <si>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Tasa Credito</t>
  </si>
  <si>
    <t>15% anual</t>
  </si>
  <si>
    <t>Pago Semestral</t>
  </si>
  <si>
    <t>Acordado 6 meses despues del mutuo conocimiento</t>
  </si>
  <si>
    <t>Sobre el 50% de la compra de MP</t>
  </si>
  <si>
    <t>Dia</t>
  </si>
  <si>
    <t>Año</t>
  </si>
  <si>
    <t>Deuda</t>
  </si>
  <si>
    <t>Interes Semestral</t>
  </si>
  <si>
    <t>Interes Anual</t>
  </si>
  <si>
    <t>Meses</t>
  </si>
  <si>
    <t>Compra Kg</t>
  </si>
  <si>
    <t>Monto de compra</t>
  </si>
  <si>
    <t>Crèdito</t>
  </si>
  <si>
    <t>Cancelaciòn</t>
  </si>
  <si>
    <t>Intereses</t>
  </si>
  <si>
    <t xml:space="preserve">Los intereses equivalen a un crèdito anual de: </t>
  </si>
  <si>
    <t>COSTO TOTAL DE PRODUCCION</t>
  </si>
  <si>
    <t>Gastos en el Area de Producción</t>
  </si>
  <si>
    <t>Materia prima</t>
  </si>
  <si>
    <t>VARIABLE</t>
  </si>
  <si>
    <t>Mano de obra directa</t>
  </si>
  <si>
    <t>Gastos de fabricación:</t>
  </si>
  <si>
    <t>Amortizaciones</t>
  </si>
  <si>
    <t>CONSTANTE</t>
  </si>
  <si>
    <t>Personal indirecto</t>
  </si>
  <si>
    <t>Materiales</t>
  </si>
  <si>
    <t>Energía eléctrica</t>
  </si>
  <si>
    <t>Combustibles</t>
  </si>
  <si>
    <t>Tasas e impuestos</t>
  </si>
  <si>
    <t>Acá la misma corrección que les decía antes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</si>
  <si>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</si>
  <si>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</si>
  <si>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</si>
  <si>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</si>
  <si>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</si>
  <si>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</si>
  <si>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>Este no está bien hecho me parece, fijensé en conformación de datos, la MOD la hicieron bien.. la MP es similar a la MOD y Materiales en forma de pensar</t>
  </si>
  <si>
    <t>LO HICIMOS TAL CUAL LA GUIA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</si>
  <si>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</si>
  <si>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</si>
  <si>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</si>
  <si>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</si>
  <si>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</si>
  <si>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no suma MP</t>
  </si>
  <si>
    <t>LISTO!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</si>
  <si>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</si>
  <si>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</si>
  <si>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</si>
  <si>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</si>
  <si>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</si>
  <si>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ojo que cambiaron la fórmula respecto al año 1, pusieron la MCySE siempre con signo cambiado pero acá la volvieron a cambiar</t>
  </si>
  <si>
    <t>Costo de prod. Unitario Promedio</t>
  </si>
  <si>
    <t>Gastos en el Area de Administración</t>
  </si>
  <si>
    <t>FIJO</t>
  </si>
  <si>
    <t>Amortizaciones de A. Fijo</t>
  </si>
  <si>
    <t>Combustible</t>
  </si>
  <si>
    <t>Varios</t>
  </si>
  <si>
    <t>Costo total de Admistración</t>
  </si>
  <si>
    <t>Gastos en el Area de Comercialización</t>
  </si>
  <si>
    <t>les falta el rubro amortización</t>
  </si>
  <si>
    <t>Costo total de Comercialización</t>
  </si>
  <si>
    <t>COSTO TOTAL Y RESULTADO A NIVEL ECONOMICO</t>
  </si>
  <si>
    <t>Venta anual, en Unidades Producto 1</t>
  </si>
  <si>
    <t xml:space="preserve">Precio de venta Producto 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</si>
  <si>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</si>
  <si>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</si>
  <si>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</si>
  <si>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</si>
  <si>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</si>
  <si>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Acá hicieron el mismo error con la MCySE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</si>
  <si>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</si>
  <si>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</si>
  <si>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</si>
  <si>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</si>
  <si>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</si>
  <si>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</si>
  <si>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</si>
  <si>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</si>
  <si>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</si>
  <si>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</si>
  <si>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se aplica después de HD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</si>
  <si>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</si>
  <si>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</si>
  <si>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</si>
  <si>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</si>
  <si>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</si>
  <si>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</si>
  <si>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</si>
  <si>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</si>
  <si>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</si>
  <si>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</si>
  <si>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</si>
  <si>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</si>
  <si>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</si>
  <si>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</si>
  <si>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AÑO 1</t>
  </si>
  <si>
    <t>Q</t>
  </si>
  <si>
    <t>Ventas</t>
  </si>
  <si>
    <t>CV</t>
  </si>
  <si>
    <t>CF</t>
  </si>
  <si>
    <t>CT</t>
  </si>
  <si>
    <t>Tienen que ser distancias entre cada punto simétricas, sino les pasa en la curva que tienen un punto de inflexión que en realidad no existe.. no es que a partir de 5000 unidades ganan más por unidad que antes, sino que cambiaron el distanciamiento del eje X</t>
  </si>
  <si>
    <t>AÑO 5</t>
  </si>
  <si>
    <t>INVERSIONES EN ACTIVO DE TRABAJO</t>
  </si>
  <si>
    <r>
      <rPr>
        <rFont val="Arial"/>
        <b/>
        <sz val="10.0"/>
      </rPr>
      <t xml:space="preserve">1. Activo de Trabajo: </t>
    </r>
    <r>
      <rPr>
        <rFont val="Arial"/>
        <sz val="10.0"/>
      </rPr>
      <t>(valor contable)</t>
    </r>
  </si>
  <si>
    <t xml:space="preserve">   a) Disponibilidad Mínima en Caja y Bancos:</t>
  </si>
  <si>
    <t xml:space="preserve">   b) Crédito por Ventas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</si>
  <si>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</si>
  <si>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</si>
  <si>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</si>
  <si>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</si>
  <si>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</si>
  <si>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</si>
  <si>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</si>
  <si>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</si>
  <si>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>Por qué para calcular la amortización de Stock de Elaborado toman la variación de la MCySE?</t>
  </si>
  <si>
    <t xml:space="preserve">    Utilidades en Crédito por ventas</t>
  </si>
  <si>
    <t xml:space="preserve">    Amortizaciones en Crédito por ventas</t>
  </si>
  <si>
    <t>Acá igual. No tengo la guía a mano para chequear si sale de ahí, pero la lógica me dice que le tendrías que restar el total.</t>
  </si>
  <si>
    <t>3. Inversiones en Activo de Trabajo, sin IVA</t>
  </si>
  <si>
    <t>4. Incrementos de Activo de Trabajo</t>
  </si>
  <si>
    <t xml:space="preserve">    Incrementos de Inversión en Activo de Trabajo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</si>
  <si>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</si>
  <si>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</si>
  <si>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</si>
  <si>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</si>
  <si>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</si>
  <si>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</si>
  <si>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</si>
  <si>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</si>
  <si>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Aclaraciones</t>
  </si>
  <si>
    <t>Las disponibilidades mínimas en Caja y Bancos se estimarán en este caso en el 2% de las ventas anuales.</t>
  </si>
  <si>
    <t>El plazo promedio de financiación a clientes es de 30 días.</t>
  </si>
  <si>
    <t>El proyecto prevé el credito por venta de su producción, pero no la financiación del IVA por esa venta. Por otra parte, el IVA venta pertenece al plan de explotación.</t>
  </si>
  <si>
    <t>año 2</t>
  </si>
  <si>
    <t>año 3</t>
  </si>
  <si>
    <t>año 4</t>
  </si>
  <si>
    <t>año 5</t>
  </si>
  <si>
    <t>total</t>
  </si>
  <si>
    <t>incrementos</t>
  </si>
  <si>
    <t>Calendario de Inversiones</t>
  </si>
  <si>
    <t>Año 0: Preinversion</t>
  </si>
  <si>
    <t>Año 0: Instalación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</si>
  <si>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</si>
  <si>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</si>
  <si>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</si>
  <si>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</si>
  <si>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</si>
  <si>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</si>
  <si>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</si>
  <si>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</si>
  <si>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</si>
  <si>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>son incrementos</t>
  </si>
  <si>
    <t xml:space="preserve">     Stock de Materiales</t>
  </si>
  <si>
    <t>en la hoja anterior lo tenés todo en el Año 1</t>
  </si>
  <si>
    <t>DUDA CON ESTE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</si>
  <si>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</si>
  <si>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</si>
  <si>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</si>
  <si>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</si>
  <si>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</si>
  <si>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</si>
  <si>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>en la hoja anterior da distinto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</si>
  <si>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</si>
  <si>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</si>
  <si>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</si>
  <si>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</si>
  <si>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</si>
  <si>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</si>
  <si>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</si>
  <si>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</si>
  <si>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  (s/mano de obra directa)</t>
  </si>
  <si>
    <t>Merc. en proceso</t>
  </si>
  <si>
    <t>pusieron el Año 0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</si>
  <si>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</si>
  <si>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</si>
  <si>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</si>
  <si>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</si>
  <si>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</si>
  <si>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</si>
  <si>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</si>
  <si>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</si>
  <si>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</si>
  <si>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</si>
  <si>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No existe el crédito fiscal negativo</t>
  </si>
  <si>
    <t>e) Recuepro de Credito Fiscal</t>
  </si>
  <si>
    <t xml:space="preserve">    Pago al Fisco por IVA</t>
  </si>
  <si>
    <t>Formulación del Proyecto a Nivel Económico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</si>
  <si>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</si>
  <si>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</si>
  <si>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</si>
  <si>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</si>
  <si>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</si>
  <si>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</si>
  <si>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</si>
  <si>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</si>
  <si>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</si>
  <si>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</si>
  <si>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</si>
  <si>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</si>
  <si>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</si>
  <si>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</si>
  <si>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</si>
  <si>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Verificaciones</t>
  </si>
  <si>
    <t>Set A</t>
  </si>
  <si>
    <t>una sutileza que no afecta con los números actuales, pero están restando el Año 5 incorrecto, es una fila más abajo</t>
  </si>
  <si>
    <t>toman datos de tres lados distintos</t>
  </si>
  <si>
    <t>IVA</t>
  </si>
  <si>
    <t>AT</t>
  </si>
  <si>
    <t>BN Proyecto</t>
  </si>
  <si>
    <t>https://www.atfconsulting.com.ar/prestamos-min-industria-2/</t>
  </si>
  <si>
    <t>PARA PYMES EN PARQUES INDUSTRIALES REG. (BNA)</t>
  </si>
  <si>
    <t>22% anual</t>
  </si>
  <si>
    <t>5 años de cuotas semestrales con 1/2 año de gracia</t>
  </si>
  <si>
    <t xml:space="preserve">Gasto Bancario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</si>
  <si>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</si>
  <si>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</si>
  <si>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</si>
  <si>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</si>
  <si>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</si>
  <si>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</si>
  <si>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</si>
  <si>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</si>
  <si>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</si>
  <si>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</si>
  <si>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</si>
  <si>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Sobre el 100% de la compra de MP</t>
  </si>
  <si>
    <t>gastos preoperativos:</t>
  </si>
  <si>
    <t>1/1/1</t>
  </si>
  <si>
    <t xml:space="preserve">                                                                                                                                                             </t>
  </si>
  <si>
    <t>30/6/1</t>
  </si>
  <si>
    <t>divieron por 12 en vez de 2</t>
  </si>
  <si>
    <t>31/12/1</t>
  </si>
  <si>
    <t>30/6/2</t>
  </si>
  <si>
    <t>31/12/2</t>
  </si>
  <si>
    <t>30/6/3</t>
  </si>
  <si>
    <t>31/12/3</t>
  </si>
  <si>
    <t>30/6/4</t>
  </si>
  <si>
    <t>31/12/4</t>
  </si>
  <si>
    <t>30/6/5</t>
  </si>
  <si>
    <t>31/12/5</t>
  </si>
  <si>
    <t>Totales:</t>
  </si>
  <si>
    <t>1/4/-1</t>
  </si>
  <si>
    <t>1/8/-1</t>
  </si>
  <si>
    <t>1/12/-1</t>
  </si>
  <si>
    <t>1/6/1</t>
  </si>
  <si>
    <t>1/12/1</t>
  </si>
  <si>
    <t>1/6/2</t>
  </si>
  <si>
    <t>1/12/2</t>
  </si>
  <si>
    <t>1/6/3</t>
  </si>
  <si>
    <t>1/12/3</t>
  </si>
  <si>
    <t>1/6/4</t>
  </si>
  <si>
    <t>1/12/4</t>
  </si>
  <si>
    <t>1/6/5</t>
  </si>
  <si>
    <t>1/12/5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</si>
  <si>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</si>
  <si>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</si>
  <si>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</si>
  <si>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</si>
  <si>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</si>
  <si>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</si>
  <si>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</si>
  <si>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mal fórmula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</si>
  <si>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</si>
  <si>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</si>
  <si>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</si>
  <si>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</si>
  <si>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</si>
  <si>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</si>
  <si>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</si>
  <si>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</si>
  <si>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</si>
  <si>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</si>
  <si>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</si>
  <si>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</si>
  <si>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</si>
  <si>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acá no se pone el stock sino la variación</t>
  </si>
  <si>
    <t>Crédito por ventas (valor contable)</t>
  </si>
  <si>
    <t>Bienes de cambio (valor contable)</t>
  </si>
  <si>
    <t>acá igual, y además falta MCySE</t>
  </si>
  <si>
    <t>Totales activo de trabajo, sin IVA</t>
  </si>
  <si>
    <t>Amortizaciones en inventarios</t>
  </si>
  <si>
    <t>Amortizaciones en crédito</t>
  </si>
  <si>
    <t>Utilidades en crédito</t>
  </si>
  <si>
    <t>acá tengo dudas si se deja negativo o no sé pone, tengo que preguntar</t>
  </si>
  <si>
    <t>Inversión activo de trabajo, s/IVA</t>
  </si>
  <si>
    <t>Averigue y queda así, en la realidad no pero a fin de las cuentas si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</si>
  <si>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</si>
  <si>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</si>
  <si>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</si>
  <si>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</si>
  <si>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</si>
  <si>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</si>
  <si>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</si>
  <si>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</si>
  <si>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</si>
  <si>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</si>
  <si>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</si>
  <si>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falta el renovable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</si>
  <si>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</si>
  <si>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</si>
  <si>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</si>
  <si>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</si>
  <si>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</si>
  <si>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</si>
  <si>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</si>
  <si>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</si>
  <si>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</si>
  <si>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</si>
  <si>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</si>
  <si>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</si>
  <si>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</si>
  <si>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lo mismo que antes, no sé pone negativo</t>
  </si>
  <si>
    <t>f) Recupero Credito Fiscal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</si>
  <si>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</si>
  <si>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</si>
  <si>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</si>
  <si>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</si>
  <si>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</si>
  <si>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</si>
  <si>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</si>
  <si>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</si>
  <si>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</si>
  <si>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</si>
  <si>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</si>
  <si>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</si>
  <si>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</si>
  <si>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</si>
  <si>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</si>
  <si>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</si>
  <si>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</si>
  <si>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</si>
  <si>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</si>
  <si>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</si>
  <si>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</si>
  <si>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</si>
  <si>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</si>
  <si>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</si>
  <si>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</si>
  <si>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</si>
  <si>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</si>
  <si>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</si>
  <si>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Verificación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</si>
  <si>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</si>
  <si>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</si>
  <si>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</si>
  <si>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</si>
  <si>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</si>
  <si>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</si>
  <si>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</si>
  <si>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</si>
  <si>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</si>
  <si>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</si>
  <si>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</si>
  <si>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</si>
  <si>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</si>
  <si>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</si>
  <si>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</si>
  <si>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</si>
  <si>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</si>
  <si>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</si>
  <si>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</si>
  <si>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</si>
  <si>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</si>
  <si>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</si>
  <si>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</si>
  <si>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</si>
  <si>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</si>
  <si>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</si>
  <si>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</si>
  <si>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</si>
  <si>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</si>
  <si>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COMPROVACION DE VERIFICACION INVERSOR 2</t>
  </si>
  <si>
    <t>Set B</t>
  </si>
  <si>
    <t>F- CFyU'!H28-'F- CFyU'!H7-'F- CFyU'!H8+'F- CFyU'!H14-'F- CFyU'!H25+'F- CFyU'!H15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</si>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</sst>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8">
    <numFmt numFmtId="164" formatCode="0.0"/>
    <numFmt numFmtId="165" formatCode="[$ $]#,##0.00"/>
    <numFmt numFmtId="166" formatCode="#,##0.000"/>
    <numFmt numFmtId="167" formatCode="_(\$* #,##0.00_);_(\$* \(#,##0.00\);_(\$* \-??_);_(@_)"/>
    <numFmt numFmtId="168" formatCode="0.000%"/>
    <numFmt numFmtId="169" formatCode="0.000"/>
    <numFmt numFmtId="170" formatCode="0.00\ %"/>
    <numFmt numFmtId="171" formatCode="_(\$* #,##0.0000_);_(\$* \(#,##0.0000\);_(\$* \-??.00_);_(@_)"/>
    <numFmt numFmtId="172" formatCode="0.0%"/>
    <numFmt numFmtId="173" formatCode="_(* #,##0.00_);_(* \(#,##0.00\);_(* \-??_);_(@_)"/>
    <numFmt numFmtId="174" formatCode="yyyy\.mm"/>
    <numFmt numFmtId="175" formatCode="0.00000"/>
    <numFmt numFmtId="176" formatCode="d&quot; de &quot;mmm&quot; de &quot;yy"/>
    <numFmt numFmtId="177" formatCode="0.0000000000"/>
    <numFmt numFmtId="178" formatCode="_(\$* #,##0.000000_);_(\$* \(#,##0.000000\);_(\$* \-??.0000_);_(@_)"/>
    <numFmt numFmtId="179" formatCode="_(* #,##0_);_(* \(#,##0\);_(* \-??_);_(@_)"/>
    <numFmt numFmtId="180" formatCode="_(* #,##0.00000_);_(* \(#,##0.00000\);_(* \-??.000_);_(@_)"/>
    <numFmt numFmtId="181" formatCode="_(* #,##0.0000000000000_);_(* \(#,##0.0000000000000\);_(* \-??.00000000000_);_(@_)"/>
    <numFmt numFmtId="182" formatCode="_(* #,##0.000000000000000000_);_(* \(#,##0.000000000000000000\);_(* \-??.0000000000000000_);_(@_)"/>
    <numFmt numFmtId="183" formatCode="_(\$* #,##0.000_);_(\$* \(#,##0.000\);_(\$* \-??.0_);_(@_)"/>
    <numFmt numFmtId="184" formatCode="_(\$* #,##0.00000000000000_);_(\$* \(#,##0.00000000000000\);_(\$* \-??.000000000000_);_(@_)"/>
    <numFmt numFmtId="185" formatCode="_(\$* #,##0.00000000_);_(\$* \(#,##0.00000000\);_(\$* \-??.000000_);_(@_)"/>
    <numFmt numFmtId="186" formatCode="_(\$* #,##0.0000000000_);_(\$* \(#,##0.0000000000\);_(\$* \-??.00000000_);_(@_)"/>
    <numFmt numFmtId="187" formatCode="0.0000%"/>
    <numFmt numFmtId="188" formatCode="_(\$* #,##0.000_);_(\$* \(#,##0.000\);_(\$* \-??.00_);_(@_)"/>
    <numFmt numFmtId="189" formatCode="_(\$* #,##0.0000_);_(\$* \(#,##0.0000\);_(\$* \-??.0000_);_(@_)"/>
    <numFmt numFmtId="190" formatCode="_(\$* #,##0.0000000000_);_(\$* \(#,##0.0000000000\);_(\$* \-??.000000000_);_(@_)"/>
    <numFmt numFmtId="191" formatCode="_(\$* #,##0.000000000000000000000000_);_(\$* \(#,##0.000000000000000000000000\);_(\$* \-??.000000000000000000000000_);_(@_)"/>
  </numFmts>
  <fonts count="29">
    <font>
      <sz val="10.0"/>
      <color rgb="FF000000"/>
      <name val="Arial"/>
    </font>
    <font>
      <b/>
      <sz val="14.0"/>
      <color rgb="FF000000"/>
      <name val="Calibri"/>
    </font>
    <font>
      <sz val="11.0"/>
      <name val="Calibri"/>
    </font>
    <font/>
    <font>
      <b/>
      <sz val="11.0"/>
      <color rgb="FF000000"/>
      <name val="Calibri"/>
    </font>
    <font>
      <sz val="11.0"/>
      <color rgb="FF000000"/>
      <name val="Calibri"/>
    </font>
    <font>
      <b/>
      <sz val="11.0"/>
      <name val="Calibri"/>
    </font>
    <font>
      <b/>
      <sz val="16.0"/>
      <color rgb="FF000000"/>
      <name val="Calibri"/>
    </font>
    <font>
      <sz val="10.0"/>
      <name val="Arial"/>
    </font>
    <font>
      <b/>
      <sz val="10.0"/>
      <name val="Arial"/>
    </font>
    <font>
      <b/>
      <sz val="12.0"/>
      <color rgb="FF000000"/>
      <name val="Arial"/>
    </font>
    <font>
      <sz val="12.0"/>
      <color rgb="FF000000"/>
      <name val="Arial"/>
    </font>
    <font>
      <b/>
      <sz val="12.0"/>
      <name val="Arial"/>
    </font>
    <font>
      <b/>
      <sz val="14.0"/>
      <color rgb="FFFF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b/>
      <i/>
      <sz val="10.0"/>
      <color rgb="FFFFFFFF"/>
      <name val="Arial"/>
    </font>
    <font>
      <sz val="11.0"/>
      <color rgb="FF000000"/>
      <name val="Arial"/>
    </font>
    <font>
      <i/>
      <sz val="11.0"/>
      <color rgb="FF000000"/>
      <name val="Calibri"/>
    </font>
    <font>
      <b/>
      <sz val="14.0"/>
      <color rgb="FFFFFFFF"/>
      <name val="Arial"/>
    </font>
    <font>
      <u/>
      <sz val="10.0"/>
      <color rgb="FF0000FF"/>
      <name val="Arial"/>
    </font>
    <font>
      <b/>
      <i/>
      <sz val="10.0"/>
      <name val="Arial"/>
    </font>
    <font>
      <b/>
      <sz val="11.0"/>
      <color rgb="FFFFFFFF"/>
      <name val="Arial"/>
    </font>
    <font>
      <sz val="10.0"/>
      <color rgb="FFFFFFFF"/>
      <name val="Arial"/>
    </font>
    <font>
      <b/>
      <sz val="10.0"/>
      <color rgb="FFFFFFFF"/>
      <name val="Arial"/>
    </font>
    <font>
      <b/>
      <sz val="11.0"/>
      <name val="Arial"/>
    </font>
    <font>
      <b/>
      <sz val="10.0"/>
      <color rgb="FF000000"/>
      <name val="Arial"/>
    </font>
    <font>
      <sz val="11.0"/>
      <color rgb="FF11A9CC"/>
      <name val="Inconsolata"/>
    </font>
    <font>
      <sz val="12.0"/>
      <name val="Noto Sans Symbols"/>
    </font>
  </fonts>
  <fills count="30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FFD966"/>
        <bgColor rgb="FFFFD966"/>
      </patternFill>
    </fill>
    <fill>
      <patternFill patternType="solid">
        <fgColor rgb="FFA4C2F4"/>
        <bgColor rgb="FFA4C2F4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76A5AF"/>
        <bgColor rgb="FF76A5AF"/>
      </patternFill>
    </fill>
    <fill>
      <patternFill patternType="solid">
        <fgColor rgb="FFFF9900"/>
        <bgColor rgb="FFFF9900"/>
      </patternFill>
    </fill>
    <fill>
      <patternFill patternType="solid">
        <fgColor rgb="FFFFF2CC"/>
        <bgColor rgb="FFFFF2CC"/>
      </patternFill>
    </fill>
    <fill>
      <patternFill patternType="solid">
        <fgColor rgb="FFDEEAF6"/>
        <bgColor rgb="FFDEEAF6"/>
      </patternFill>
    </fill>
    <fill>
      <patternFill patternType="solid">
        <fgColor rgb="FFFF0000"/>
        <bgColor rgb="FFFF0000"/>
      </patternFill>
    </fill>
    <fill>
      <patternFill patternType="solid">
        <fgColor rgb="FFE6B8AF"/>
        <bgColor rgb="FFE6B8AF"/>
      </patternFill>
    </fill>
    <fill>
      <patternFill patternType="solid">
        <fgColor rgb="FF6D9EEB"/>
        <bgColor rgb="FF6D9EEB"/>
      </patternFill>
    </fill>
    <fill>
      <patternFill patternType="solid">
        <fgColor rgb="FF93C47D"/>
        <bgColor rgb="FF93C47D"/>
      </patternFill>
    </fill>
    <fill>
      <patternFill patternType="solid">
        <fgColor rgb="FFFFFF00"/>
        <bgColor rgb="FFFFFF00"/>
      </patternFill>
    </fill>
    <fill>
      <patternFill patternType="solid">
        <fgColor rgb="FFA2C4C9"/>
        <bgColor rgb="FFA2C4C9"/>
      </patternFill>
    </fill>
    <fill>
      <patternFill patternType="solid">
        <fgColor rgb="FFB6D7A8"/>
        <bgColor rgb="FFB6D7A8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B7B7B7"/>
        <bgColor rgb="FFB7B7B7"/>
      </patternFill>
    </fill>
    <fill>
      <patternFill patternType="solid">
        <fgColor rgb="FFFF420E"/>
        <bgColor rgb="FFFF420E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</fills>
  <borders count="204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  <border>
      <left/>
      <right/>
      <top/>
    </border>
    <border>
      <left/>
      <top/>
    </border>
    <border>
      <top/>
    </border>
    <border>
      <right/>
      <top/>
    </border>
    <border>
      <left/>
      <right/>
    </border>
    <border>
      <left/>
    </border>
    <border>
      <right/>
    </border>
    <border>
      <left/>
      <right/>
      <bottom/>
    </border>
    <border>
      <left/>
      <top/>
      <bottom/>
    </border>
    <border>
      <right/>
      <top/>
      <bottom/>
    </border>
    <border>
      <left/>
      <bottom/>
    </border>
    <border>
      <bottom/>
    </border>
    <border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</border>
    <border>
      <left style="thin">
        <color rgb="FF000000"/>
      </left>
      <right/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/>
    </border>
    <border>
      <left/>
      <right style="thin">
        <color rgb="FF000000"/>
      </right>
      <top/>
    </border>
    <border>
      <left style="thin">
        <color rgb="FF000000"/>
      </left>
      <right style="thin">
        <color rgb="FF000000"/>
      </right>
      <top/>
    </border>
    <border>
      <left style="thick">
        <color rgb="FF000000"/>
      </left>
      <right style="thick">
        <color rgb="FF000000"/>
      </right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/>
    </border>
    <border>
      <left style="medium">
        <color rgb="FF000000"/>
      </left>
      <right style="medium">
        <color rgb="FF000000"/>
      </right>
      <top style="thick">
        <color rgb="FF000000"/>
      </top>
      <bottom/>
    </border>
    <border>
      <left style="medium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ck">
        <color rgb="FF000000"/>
      </right>
      <bottom style="medium">
        <color rgb="FF000000"/>
      </bottom>
    </border>
    <border>
      <left style="thick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ck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right style="medium">
        <color rgb="FF000000"/>
      </right>
      <top style="medium">
        <color rgb="FF000000"/>
      </top>
    </border>
    <border>
      <top style="thick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right style="medium">
        <color rgb="FF000000"/>
      </right>
    </border>
    <border>
      <right style="thin">
        <color rgb="FF000000"/>
      </right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</border>
    <border>
      <right style="hair">
        <color rgb="FF000000"/>
      </right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3C3C3C"/>
      </left>
      <right/>
      <top style="thin">
        <color rgb="FF3C3C3C"/>
      </top>
      <bottom style="thin">
        <color rgb="FF3C3C3C"/>
      </bottom>
    </border>
    <border>
      <left/>
      <right/>
      <top style="thin">
        <color rgb="FF3C3C3C"/>
      </top>
      <bottom style="thin">
        <color rgb="FF3C3C3C"/>
      </bottom>
    </border>
    <border>
      <left/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right style="thin">
        <color rgb="FF3C3C3C"/>
      </right>
      <top style="thin">
        <color rgb="FF3C3C3C"/>
      </top>
      <bottom/>
    </border>
    <border>
      <left style="thin">
        <color rgb="FF3C3C3C"/>
      </left>
      <top style="thin">
        <color rgb="FF3C3C3C"/>
      </top>
      <bottom style="thin">
        <color rgb="FF3C3C3C"/>
      </bottom>
    </border>
    <border>
      <top style="thin">
        <color rgb="FF3C3C3C"/>
      </top>
      <bottom style="thin">
        <color rgb="FF3C3C3C"/>
      </bottom>
    </border>
    <border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right style="thin">
        <color rgb="FF3C3C3C"/>
      </right>
      <top/>
      <bottom style="thin">
        <color rgb="FF3C3C3C"/>
      </bottom>
    </border>
    <border>
      <left style="double">
        <color rgb="FF3C3C3C"/>
      </left>
      <right style="thin">
        <color rgb="FF3C3C3C"/>
      </right>
      <top style="double">
        <color rgb="FF3C3C3C"/>
      </top>
      <bottom style="hair">
        <color rgb="FF3C3C3C"/>
      </bottom>
    </border>
    <border>
      <left style="thin">
        <color rgb="FF3C3C3C"/>
      </left>
      <top style="double">
        <color rgb="FF3C3C3C"/>
      </top>
      <bottom style="hair">
        <color rgb="FF3C3C3C"/>
      </bottom>
    </border>
    <border>
      <right style="thin">
        <color rgb="FF3C3C3C"/>
      </right>
      <top style="double">
        <color rgb="FF3C3C3C"/>
      </top>
      <bottom style="hair">
        <color rgb="FF3C3C3C"/>
      </bottom>
    </border>
    <border>
      <right style="double">
        <color rgb="FF3C3C3C"/>
      </right>
      <top style="double">
        <color rgb="FF3C3C3C"/>
      </top>
      <bottom style="hair">
        <color rgb="FF3C3C3C"/>
      </bottom>
    </border>
    <border>
      <left style="double">
        <color rgb="FF3C3C3C"/>
      </left>
      <right style="thin">
        <color rgb="FF3C3C3C"/>
      </right>
      <top style="hair">
        <color rgb="FF3C3C3C"/>
      </top>
      <bottom style="double">
        <color rgb="FF3C3C3C"/>
      </bottom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3C3C3C"/>
      </bottom>
    </border>
    <border>
      <left style="thin">
        <color rgb="FF3C3C3C"/>
      </left>
      <right style="double">
        <color rgb="FF3C3C3C"/>
      </right>
      <top style="hair">
        <color rgb="FF3C3C3C"/>
      </top>
      <bottom style="double">
        <color rgb="FF3C3C3C"/>
      </bottom>
    </border>
    <border>
      <left style="double">
        <color rgb="FF3C3C3C"/>
      </left>
      <right style="thin">
        <color rgb="FF3C3C3C"/>
      </right>
      <bottom style="hair">
        <color rgb="FF3C3C3C"/>
      </bottom>
    </border>
    <border>
      <left style="thin">
        <color rgb="FF3C3C3C"/>
      </left>
      <right style="thin">
        <color rgb="FF3C3C3C"/>
      </right>
      <bottom style="hair">
        <color rgb="FF3C3C3C"/>
      </bottom>
    </border>
    <border>
      <left style="double">
        <color rgb="FF3C3C3C"/>
      </left>
      <right style="thin">
        <color rgb="FF3C3C3C"/>
      </right>
      <top style="hair">
        <color rgb="FF3C3C3C"/>
      </top>
      <bottom style="hair">
        <color rgb="FF3C3C3C"/>
      </bottom>
    </border>
    <border>
      <left style="thin">
        <color rgb="FF3C3C3C"/>
      </left>
      <right style="thin">
        <color rgb="FF3C3C3C"/>
      </right>
      <top style="hair">
        <color rgb="FF3C3C3C"/>
      </top>
      <bottom style="hair">
        <color rgb="FF3C3C3C"/>
      </bottom>
    </border>
    <border>
      <left style="thin">
        <color rgb="FF3C3C3C"/>
      </left>
      <right style="thin">
        <color rgb="FF3C3C3C"/>
      </right>
      <top style="double">
        <color rgb="FF3C3C3C"/>
      </top>
      <bottom style="hair">
        <color rgb="FF3C3C3C"/>
      </bottom>
    </border>
    <border>
      <top style="double">
        <color rgb="FF3C3C3C"/>
      </top>
      <bottom style="hair">
        <color rgb="FF3C3C3C"/>
      </bottom>
    </border>
    <border>
      <left style="thin">
        <color rgb="FF3C3C3C"/>
      </left>
      <right style="double">
        <color rgb="FF3C3C3C"/>
      </right>
      <top style="double">
        <color rgb="FF3C3C3C"/>
      </top>
      <bottom style="hair">
        <color rgb="FF3C3C3C"/>
      </bottom>
    </border>
    <border>
      <left style="thin">
        <color rgb="FF3C3C3C"/>
      </left>
      <right style="double">
        <color rgb="FF3C3C3C"/>
      </right>
      <bottom style="hair">
        <color rgb="FF3C3C3C"/>
      </bottom>
    </border>
    <border>
      <left style="thin">
        <color rgb="FF3C3C3C"/>
      </left>
      <right style="double">
        <color rgb="FF3C3C3C"/>
      </right>
      <top style="hair">
        <color rgb="FF3C3C3C"/>
      </top>
      <bottom style="hair">
        <color rgb="FF3C3C3C"/>
      </bottom>
    </border>
    <border>
      <left style="thin">
        <color rgb="FF3C3C3C"/>
      </left>
      <top style="hair">
        <color rgb="FF3C3C3C"/>
      </top>
      <bottom style="hair">
        <color rgb="FF3C3C3C"/>
      </bottom>
    </border>
    <border>
      <right style="thin">
        <color rgb="FF3C3C3C"/>
      </right>
      <top style="hair">
        <color rgb="FF3C3C3C"/>
      </top>
      <bottom style="hair">
        <color rgb="FF3C3C3C"/>
      </bottom>
    </border>
    <border>
      <right style="double">
        <color rgb="FF3C3C3C"/>
      </right>
      <top style="hair">
        <color rgb="FF3C3C3C"/>
      </top>
      <bottom style="hair">
        <color rgb="FF3C3C3C"/>
      </bottom>
    </border>
    <border>
      <left style="double">
        <color rgb="FF3C3C3C"/>
      </left>
      <top style="double">
        <color rgb="FF3C3C3C"/>
      </top>
      <bottom style="hair">
        <color rgb="FF3C3C3C"/>
      </bottom>
    </border>
    <border>
      <left style="double">
        <color rgb="FF3C3C3C"/>
      </left>
      <right style="thin">
        <color rgb="FF3C3C3C"/>
      </right>
      <top style="hair">
        <color rgb="FF3C3C3C"/>
      </top>
    </border>
    <border>
      <left style="thin">
        <color rgb="FF3C3C3C"/>
      </left>
      <right style="thin">
        <color rgb="FF3C3C3C"/>
      </right>
      <top style="hair">
        <color rgb="FF3C3C3C"/>
      </top>
    </border>
    <border>
      <left style="thin">
        <color rgb="FF3C3C3C"/>
      </left>
      <right style="double">
        <color rgb="FF3C3C3C"/>
      </right>
      <top style="hair">
        <color rgb="FF3C3C3C"/>
      </top>
    </border>
    <border>
      <left style="double">
        <color rgb="FF000000"/>
      </left>
      <right style="thin">
        <color rgb="FF3C3C3C"/>
      </right>
      <top style="double">
        <color rgb="FF000000"/>
      </top>
      <bottom style="hair">
        <color rgb="FF3C3C3C"/>
      </bottom>
    </border>
    <border>
      <left style="thin">
        <color rgb="FF3C3C3C"/>
      </left>
      <right style="thin">
        <color rgb="FF3C3C3C"/>
      </right>
      <top style="double">
        <color rgb="FF000000"/>
      </top>
      <bottom style="hair">
        <color rgb="FF3C3C3C"/>
      </bottom>
    </border>
    <border>
      <left style="thin">
        <color rgb="FF3C3C3C"/>
      </left>
      <right style="double">
        <color rgb="FF000000"/>
      </right>
      <top style="double">
        <color rgb="FF000000"/>
      </top>
      <bottom style="hair">
        <color rgb="FF3C3C3C"/>
      </bottom>
    </border>
    <border>
      <left style="double">
        <color rgb="FF000000"/>
      </left>
      <right style="thin">
        <color rgb="FF3C3C3C"/>
      </right>
      <top style="hair">
        <color rgb="FF3C3C3C"/>
      </top>
      <bottom style="hair">
        <color rgb="FF3C3C3C"/>
      </bottom>
    </border>
    <border>
      <left style="thin">
        <color rgb="FF3C3C3C"/>
      </left>
      <right style="double">
        <color rgb="FF000000"/>
      </right>
      <top style="hair">
        <color rgb="FF3C3C3C"/>
      </top>
      <bottom style="hair">
        <color rgb="FF3C3C3C"/>
      </bottom>
    </border>
    <border>
      <left style="thin">
        <color rgb="FF3C3C3C"/>
      </left>
      <right style="double">
        <color rgb="FF000000"/>
      </right>
      <top style="hair">
        <color rgb="FF3C3C3C"/>
      </top>
      <bottom style="double">
        <color rgb="FF3C3C3C"/>
      </bottom>
    </border>
    <border>
      <left style="double">
        <color rgb="FF000000"/>
      </left>
      <right style="thin">
        <color rgb="FF3C3C3C"/>
      </right>
      <bottom style="hair">
        <color rgb="FF3C3C3C"/>
      </bottom>
    </border>
    <border>
      <left style="double">
        <color rgb="FF000000"/>
      </left>
      <right style="thin">
        <color rgb="FF3C3C3C"/>
      </right>
      <top style="hair">
        <color rgb="FF3C3C3C"/>
      </top>
      <bottom style="double">
        <color rgb="FF000000"/>
      </bottom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000000"/>
      </bottom>
    </border>
    <border>
      <left style="thin">
        <color rgb="FF3C3C3C"/>
      </left>
      <right style="double">
        <color rgb="FF000000"/>
      </right>
      <top style="hair">
        <color rgb="FF3C3C3C"/>
      </top>
      <bottom style="double">
        <color rgb="FF000000"/>
      </bottom>
    </border>
    <border>
      <left style="double">
        <color rgb="FF000000"/>
      </left>
      <right style="thin">
        <color rgb="FF3C3C3C"/>
      </right>
      <top style="hair">
        <color rgb="FF3C3C3C"/>
      </top>
      <bottom style="double">
        <color rgb="FF3C3C3C"/>
      </bottom>
    </border>
    <border>
      <left style="thin">
        <color rgb="FF3C3C3C"/>
      </left>
      <right style="double">
        <color rgb="FF000000"/>
      </right>
      <bottom style="hair">
        <color rgb="FF3C3C3C"/>
      </bottom>
    </border>
    <border>
      <left style="double">
        <color rgb="FF000000"/>
      </left>
      <right style="thin">
        <color rgb="FF3C3C3C"/>
      </right>
      <top style="hair">
        <color rgb="FF3C3C3C"/>
      </top>
    </border>
    <border>
      <left style="thin">
        <color rgb="FF3C3C3C"/>
      </left>
      <right style="double">
        <color rgb="FF000000"/>
      </right>
      <top style="hair">
        <color rgb="FF3C3C3C"/>
      </top>
    </border>
    <border>
      <left style="double">
        <color rgb="FF000000"/>
      </left>
      <right style="thin">
        <color rgb="FF3C3C3C"/>
      </right>
      <top style="double">
        <color rgb="FF3C3C3C"/>
      </top>
      <bottom style="hair">
        <color rgb="FF3C3C3C"/>
      </bottom>
    </border>
    <border>
      <left style="thin">
        <color rgb="FF3C3C3C"/>
      </left>
      <right style="double">
        <color rgb="FF000000"/>
      </right>
      <top style="double">
        <color rgb="FF3C3C3C"/>
      </top>
      <bottom style="hair">
        <color rgb="FF3C3C3C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top style="double">
        <color rgb="FF000000"/>
      </top>
      <bottom style="hair">
        <color rgb="FF3C3C3C"/>
      </bottom>
    </border>
    <border>
      <top style="double">
        <color rgb="FF000000"/>
      </top>
      <bottom style="hair">
        <color rgb="FF3C3C3C"/>
      </bottom>
    </border>
    <border>
      <right style="double">
        <color rgb="FF000000"/>
      </right>
      <top style="double">
        <color rgb="FF000000"/>
      </top>
      <bottom style="hair">
        <color rgb="FF3C3C3C"/>
      </bottom>
    </border>
    <border>
      <left style="double">
        <color rgb="FF000000"/>
      </left>
      <top style="hair">
        <color rgb="FF3C3C3C"/>
      </top>
      <bottom style="hair">
        <color rgb="FF3C3C3C"/>
      </bottom>
    </border>
    <border>
      <left style="double">
        <color rgb="FF000000"/>
      </left>
      <top style="hair">
        <color rgb="FF3C3C3C"/>
      </top>
      <bottom style="double">
        <color rgb="FF000000"/>
      </bottom>
    </border>
    <border>
      <left style="thin">
        <color rgb="FF3C3C3C"/>
      </left>
      <top style="hair">
        <color rgb="FF3C3C3C"/>
      </top>
      <bottom style="double">
        <color rgb="FF3C3C3C"/>
      </bottom>
    </border>
    <border>
      <top style="hair">
        <color rgb="FF3C3C3C"/>
      </top>
      <bottom style="hair">
        <color rgb="FF3C3C3C"/>
      </bottom>
    </border>
    <border>
      <left style="thin">
        <color rgb="FF3C3C3C"/>
      </left>
      <bottom style="hair">
        <color rgb="FF3C3C3C"/>
      </bottom>
    </border>
    <border>
      <top style="hair">
        <color rgb="FF3C3C3C"/>
      </top>
      <bottom style="double">
        <color rgb="FF3C3C3C"/>
      </bottom>
    </border>
    <border>
      <left style="thin">
        <color rgb="FF3C3C3C"/>
      </left>
      <right style="thin">
        <color rgb="FF3C3C3C"/>
      </right>
      <top style="thin">
        <color rgb="FF3C3C3C"/>
      </top>
    </border>
    <border>
      <left style="double">
        <color rgb="FF000000"/>
      </left>
      <bottom style="hair">
        <color rgb="FF3C3C3C"/>
      </bottom>
    </border>
    <border>
      <right style="double">
        <color rgb="FF000000"/>
      </right>
      <top style="hair">
        <color rgb="FF3C3C3C"/>
      </top>
      <bottom style="hair">
        <color rgb="FF3C3C3C"/>
      </bottom>
    </border>
    <border>
      <left style="double">
        <color rgb="FF000000"/>
      </left>
      <right style="double">
        <color rgb="FF3C3C3C"/>
      </right>
      <top style="double">
        <color rgb="FF3C3C3C"/>
      </top>
      <bottom style="hair">
        <color rgb="FF3C3C3C"/>
      </bottom>
    </border>
    <border>
      <right style="thin">
        <color rgb="FF3C3C3C"/>
      </right>
      <bottom style="hair">
        <color rgb="FF3C3C3C"/>
      </bottom>
    </border>
    <border>
      <left style="double">
        <color rgb="FF000000"/>
      </left>
      <right style="double">
        <color rgb="FF3C3C3C"/>
      </right>
      <top style="hair">
        <color rgb="FF3C3C3C"/>
      </top>
      <bottom style="hair">
        <color rgb="FF3C3C3C"/>
      </bottom>
    </border>
    <border>
      <left style="double">
        <color rgb="FF000000"/>
      </left>
      <right style="double">
        <color rgb="FF3C3C3C"/>
      </right>
      <top style="hair">
        <color rgb="FF3C3C3C"/>
      </top>
      <bottom style="double">
        <color rgb="FF000000"/>
      </bottom>
    </border>
    <border>
      <right style="thin">
        <color rgb="FF3C3C3C"/>
      </right>
      <top style="hair">
        <color rgb="FF3C3C3C"/>
      </top>
      <bottom style="double">
        <color rgb="FF000000"/>
      </bottom>
    </border>
    <border>
      <left style="double">
        <color rgb="FF3C3C3C"/>
      </left>
      <right style="double">
        <color rgb="FF3C3C3C"/>
      </right>
      <top style="double">
        <color rgb="FF3C3C3C"/>
      </top>
      <bottom style="hair">
        <color rgb="FF3C3C3C"/>
      </bottom>
    </border>
    <border>
      <left style="double">
        <color rgb="FF3C3C3C"/>
      </left>
      <right style="double">
        <color rgb="FF3C3C3C"/>
      </right>
      <top style="hair">
        <color rgb="FF3C3C3C"/>
      </top>
      <bottom style="hair">
        <color rgb="FF3C3C3C"/>
      </bottom>
    </border>
    <border>
      <left style="double">
        <color rgb="FF3C3C3C"/>
      </left>
      <right style="double">
        <color rgb="FF3C3C3C"/>
      </right>
      <top style="hair">
        <color rgb="FF3C3C3C"/>
      </top>
      <bottom style="double">
        <color rgb="FF3C3C3C"/>
      </bottom>
    </border>
    <border>
      <right style="thin">
        <color rgb="FF3C3C3C"/>
      </right>
      <top style="hair">
        <color rgb="FF3C3C3C"/>
      </top>
      <bottom style="double">
        <color rgb="FF3C3C3C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double">
        <color rgb="FF3C3C3C"/>
      </left>
      <right style="thin">
        <color rgb="FF3C3C3C"/>
      </right>
      <top style="double">
        <color rgb="FF3C3C3C"/>
      </top>
      <bottom style="thin">
        <color rgb="FF3C3C3C"/>
      </bottom>
    </border>
    <border>
      <left style="thin">
        <color rgb="FF3C3C3C"/>
      </left>
      <right style="thin">
        <color rgb="FF3C3C3C"/>
      </right>
      <top style="double">
        <color rgb="FF3C3C3C"/>
      </top>
      <bottom style="thin">
        <color rgb="FF3C3C3C"/>
      </bottom>
    </border>
    <border>
      <left style="thin">
        <color rgb="FF3C3C3C"/>
      </left>
      <right style="double">
        <color rgb="FF3C3C3C"/>
      </right>
      <top style="double">
        <color rgb="FF3C3C3C"/>
      </top>
      <bottom style="thin">
        <color rgb="FF3C3C3C"/>
      </bottom>
    </border>
    <border>
      <left style="double">
        <color rgb="FF3C3C3C"/>
      </left>
      <right style="thin">
        <color rgb="FF3C3C3C"/>
      </right>
    </border>
    <border>
      <left style="thin">
        <color rgb="FF3C3C3C"/>
      </left>
      <right style="thin">
        <color rgb="FF3C3C3C"/>
      </right>
    </border>
    <border>
      <left style="thin">
        <color rgb="FF3C3C3C"/>
      </left>
      <right style="double">
        <color rgb="FF3C3C3C"/>
      </right>
    </border>
    <border>
      <left style="double">
        <color rgb="FF3C3C3C"/>
      </left>
      <right style="thin">
        <color rgb="FF3C3C3C"/>
      </right>
      <bottom style="double">
        <color rgb="FF3C3C3C"/>
      </bottom>
    </border>
    <border>
      <left style="thin">
        <color rgb="FF3C3C3C"/>
      </left>
      <right style="thin">
        <color rgb="FF3C3C3C"/>
      </right>
      <bottom style="double">
        <color rgb="FF3C3C3C"/>
      </bottom>
    </border>
    <border>
      <left style="thin">
        <color rgb="FF3C3C3C"/>
      </left>
      <right style="double">
        <color rgb="FF3C3C3C"/>
      </right>
      <bottom style="double">
        <color rgb="FF3C3C3C"/>
      </bottom>
    </border>
    <border>
      <left style="thin">
        <color rgb="FF3C3C3C"/>
      </left>
      <right/>
      <top style="hair">
        <color rgb="FF3C3C3C"/>
      </top>
      <bottom style="hair">
        <color rgb="FF3C3C3C"/>
      </bottom>
    </border>
    <border>
      <left style="double">
        <color rgb="FF3C3C3C"/>
      </left>
      <bottom style="double">
        <color rgb="FF3C3C3C"/>
      </bottom>
    </border>
    <border>
      <left style="double">
        <color rgb="FF3C3C3C"/>
      </left>
      <bottom style="hair">
        <color rgb="FF3C3C3C"/>
      </bottom>
    </border>
    <border>
      <left/>
      <right style="thin">
        <color rgb="FF3C3C3C"/>
      </right>
      <top style="hair">
        <color rgb="FF3C3C3C"/>
      </top>
      <bottom style="hair">
        <color rgb="FF3C3C3C"/>
      </bottom>
    </border>
    <border>
      <left style="thin">
        <color rgb="FF3C3C3C"/>
      </left>
      <top style="double">
        <color rgb="FF000000"/>
      </top>
      <bottom style="hair">
        <color rgb="FF3C3C3C"/>
      </bottom>
    </border>
    <border>
      <left style="double">
        <color rgb="FF000000"/>
      </left>
    </border>
  </borders>
  <cellStyleXfs count="1">
    <xf borderId="0" fillId="0" fontId="0" numFmtId="0" applyAlignment="1" applyFont="1"/>
  </cellStyleXfs>
  <cellXfs count="65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Border="1" applyFont="1"/>
    <xf borderId="2" fillId="0" fontId="3" numFmtId="0" xfId="0" applyBorder="1" applyFont="1"/>
    <xf borderId="3" fillId="0" fontId="3" numFmtId="0" xfId="0" applyBorder="1" applyFont="1"/>
    <xf borderId="4" fillId="0" fontId="4" numFmtId="1" xfId="0" applyAlignment="1" applyBorder="1" applyFont="1" applyNumberFormat="1">
      <alignment horizontal="center"/>
    </xf>
    <xf borderId="4" fillId="0" fontId="5" numFmtId="0" xfId="0" applyAlignment="1" applyBorder="1" applyFont="1">
      <alignment horizontal="center"/>
    </xf>
    <xf borderId="4" fillId="0" fontId="4" numFmtId="2" xfId="0" applyAlignment="1" applyBorder="1" applyFont="1" applyNumberFormat="1">
      <alignment horizontal="center"/>
    </xf>
    <xf borderId="4" fillId="0" fontId="2" numFmtId="0" xfId="0" applyBorder="1" applyFont="1"/>
    <xf borderId="4" fillId="2" fontId="4" numFmtId="0" xfId="0" applyAlignment="1" applyBorder="1" applyFill="1" applyFont="1">
      <alignment horizontal="center" shrinkToFit="0" vertical="center" wrapText="1"/>
    </xf>
    <xf borderId="5" fillId="0" fontId="5" numFmtId="0" xfId="0" applyAlignment="1" applyBorder="1" applyFont="1">
      <alignment horizontal="center"/>
    </xf>
    <xf borderId="6" fillId="0" fontId="5" numFmtId="9" xfId="0" applyAlignment="1" applyBorder="1" applyFont="1" applyNumberFormat="1">
      <alignment horizontal="center"/>
    </xf>
    <xf borderId="6" fillId="0" fontId="5" numFmtId="1" xfId="0" applyAlignment="1" applyBorder="1" applyFont="1" applyNumberFormat="1">
      <alignment horizontal="center"/>
    </xf>
    <xf borderId="6" fillId="0" fontId="5" numFmtId="2" xfId="0" applyAlignment="1" applyBorder="1" applyFont="1" applyNumberFormat="1">
      <alignment horizontal="center"/>
    </xf>
    <xf borderId="7" fillId="0" fontId="5" numFmtId="1" xfId="0" applyAlignment="1" applyBorder="1" applyFont="1" applyNumberFormat="1">
      <alignment horizontal="center"/>
    </xf>
    <xf borderId="8" fillId="0" fontId="5" numFmtId="0" xfId="0" applyAlignment="1" applyBorder="1" applyFont="1">
      <alignment horizontal="center"/>
    </xf>
    <xf borderId="9" fillId="0" fontId="5" numFmtId="9" xfId="0" applyAlignment="1" applyBorder="1" applyFont="1" applyNumberFormat="1">
      <alignment horizontal="center"/>
    </xf>
    <xf borderId="9" fillId="0" fontId="5" numFmtId="1" xfId="0" applyAlignment="1" applyBorder="1" applyFont="1" applyNumberFormat="1">
      <alignment horizontal="center"/>
    </xf>
    <xf borderId="9" fillId="0" fontId="5" numFmtId="2" xfId="0" applyAlignment="1" applyBorder="1" applyFont="1" applyNumberFormat="1">
      <alignment horizontal="center"/>
    </xf>
    <xf borderId="10" fillId="0" fontId="5" numFmtId="1" xfId="0" applyAlignment="1" applyBorder="1" applyFont="1" applyNumberFormat="1">
      <alignment horizontal="center"/>
    </xf>
    <xf borderId="11" fillId="0" fontId="5" numFmtId="0" xfId="0" applyAlignment="1" applyBorder="1" applyFont="1">
      <alignment horizontal="center"/>
    </xf>
    <xf borderId="12" fillId="0" fontId="5" numFmtId="9" xfId="0" applyAlignment="1" applyBorder="1" applyFont="1" applyNumberFormat="1">
      <alignment horizontal="center"/>
    </xf>
    <xf borderId="12" fillId="0" fontId="5" numFmtId="1" xfId="0" applyAlignment="1" applyBorder="1" applyFont="1" applyNumberFormat="1">
      <alignment horizontal="center"/>
    </xf>
    <xf borderId="12" fillId="0" fontId="5" numFmtId="2" xfId="0" applyAlignment="1" applyBorder="1" applyFont="1" applyNumberFormat="1">
      <alignment horizontal="center"/>
    </xf>
    <xf borderId="13" fillId="0" fontId="5" numFmtId="1" xfId="0" applyAlignment="1" applyBorder="1" applyFont="1" applyNumberFormat="1">
      <alignment horizontal="center"/>
    </xf>
    <xf borderId="14" fillId="0" fontId="5" numFmtId="0" xfId="0" applyAlignment="1" applyBorder="1" applyFont="1">
      <alignment horizontal="center"/>
    </xf>
    <xf borderId="15" fillId="0" fontId="5" numFmtId="2" xfId="0" applyAlignment="1" applyBorder="1" applyFont="1" applyNumberFormat="1">
      <alignment horizontal="center"/>
    </xf>
    <xf borderId="16" fillId="0" fontId="5" numFmtId="1" xfId="0" applyAlignment="1" applyBorder="1" applyFont="1" applyNumberFormat="1">
      <alignment horizontal="center"/>
    </xf>
    <xf borderId="4" fillId="0" fontId="5" numFmtId="164" xfId="0" applyAlignment="1" applyBorder="1" applyFont="1" applyNumberFormat="1">
      <alignment horizontal="center"/>
    </xf>
    <xf borderId="4" fillId="0" fontId="4" numFmtId="0" xfId="0" applyAlignment="1" applyBorder="1" applyFont="1">
      <alignment horizontal="center"/>
    </xf>
    <xf borderId="4" fillId="0" fontId="5" numFmtId="1" xfId="0" applyAlignment="1" applyBorder="1" applyFont="1" applyNumberFormat="1">
      <alignment horizontal="center"/>
    </xf>
    <xf borderId="0" fillId="0" fontId="5" numFmtId="1" xfId="0" applyFont="1" applyNumberFormat="1"/>
    <xf borderId="4" fillId="0" fontId="5" numFmtId="2" xfId="0" applyAlignment="1" applyBorder="1" applyFont="1" applyNumberFormat="1">
      <alignment horizontal="center"/>
    </xf>
    <xf borderId="1" fillId="0" fontId="5" numFmtId="0" xfId="0" applyAlignment="1" applyBorder="1" applyFont="1">
      <alignment horizontal="left"/>
    </xf>
    <xf borderId="0" fillId="0" fontId="5" numFmtId="0" xfId="0" applyAlignment="1" applyFont="1">
      <alignment horizontal="center"/>
    </xf>
    <xf borderId="17" fillId="0" fontId="6" numFmtId="0" xfId="0" applyBorder="1" applyFont="1"/>
    <xf borderId="18" fillId="0" fontId="3" numFmtId="0" xfId="0" applyBorder="1" applyFont="1"/>
    <xf borderId="19" fillId="0" fontId="3" numFmtId="0" xfId="0" applyBorder="1" applyFont="1"/>
    <xf borderId="9" fillId="0" fontId="5" numFmtId="0" xfId="0" applyAlignment="1" applyBorder="1" applyFont="1">
      <alignment horizontal="center"/>
    </xf>
    <xf borderId="17" fillId="0" fontId="4" numFmtId="0" xfId="0" applyBorder="1" applyFont="1"/>
    <xf borderId="0" fillId="0" fontId="2" numFmtId="0" xfId="0" applyFont="1"/>
    <xf borderId="0" fillId="0" fontId="5" numFmtId="2" xfId="0" applyAlignment="1" applyFont="1" applyNumberFormat="1">
      <alignment horizontal="center"/>
    </xf>
    <xf borderId="1" fillId="0" fontId="6" numFmtId="0" xfId="0" applyBorder="1" applyFont="1"/>
    <xf borderId="20" fillId="0" fontId="5" numFmtId="0" xfId="0" applyAlignment="1" applyBorder="1" applyFont="1">
      <alignment horizontal="center"/>
    </xf>
    <xf borderId="21" fillId="0" fontId="3" numFmtId="0" xfId="0" applyBorder="1" applyFont="1"/>
    <xf borderId="22" fillId="0" fontId="3" numFmtId="0" xfId="0" applyBorder="1" applyFont="1"/>
    <xf borderId="17" fillId="0" fontId="5" numFmtId="0" xfId="0" applyAlignment="1" applyBorder="1" applyFont="1">
      <alignment horizontal="center"/>
    </xf>
    <xf borderId="17" fillId="0" fontId="5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/>
    </xf>
    <xf borderId="17" fillId="0" fontId="6" numFmtId="0" xfId="0" applyAlignment="1" applyBorder="1" applyFont="1">
      <alignment horizontal="center"/>
    </xf>
    <xf borderId="23" fillId="3" fontId="5" numFmtId="0" xfId="0" applyAlignment="1" applyBorder="1" applyFill="1" applyFont="1">
      <alignment horizontal="center"/>
    </xf>
    <xf borderId="23" fillId="3" fontId="4" numFmtId="0" xfId="0" applyAlignment="1" applyBorder="1" applyFont="1">
      <alignment horizontal="center" vertical="center"/>
    </xf>
    <xf borderId="9" fillId="0" fontId="4" numFmtId="0" xfId="0" applyBorder="1" applyFont="1"/>
    <xf borderId="0" fillId="0" fontId="8" numFmtId="10" xfId="0" applyAlignment="1" applyFont="1" applyNumberFormat="1">
      <alignment horizontal="center"/>
    </xf>
    <xf borderId="24" fillId="3" fontId="5" numFmtId="0" xfId="0" applyAlignment="1" applyBorder="1" applyFont="1">
      <alignment horizontal="center"/>
    </xf>
    <xf borderId="25" fillId="3" fontId="4" numFmtId="0" xfId="0" applyAlignment="1" applyBorder="1" applyFont="1">
      <alignment horizontal="center" vertical="center"/>
    </xf>
    <xf borderId="26" fillId="0" fontId="3" numFmtId="0" xfId="0" applyBorder="1" applyFont="1"/>
    <xf borderId="27" fillId="0" fontId="3" numFmtId="0" xfId="0" applyBorder="1" applyFont="1"/>
    <xf borderId="9" fillId="4" fontId="4" numFmtId="0" xfId="0" applyBorder="1" applyFill="1" applyFont="1"/>
    <xf borderId="9" fillId="4" fontId="5" numFmtId="2" xfId="0" applyAlignment="1" applyBorder="1" applyFont="1" applyNumberFormat="1">
      <alignment horizontal="center"/>
    </xf>
    <xf borderId="9" fillId="4" fontId="5" numFmtId="0" xfId="0" applyAlignment="1" applyBorder="1" applyFont="1">
      <alignment horizontal="center"/>
    </xf>
    <xf borderId="28" fillId="0" fontId="3" numFmtId="0" xfId="0" applyBorder="1" applyFont="1"/>
    <xf borderId="29" fillId="0" fontId="3" numFmtId="0" xfId="0" applyBorder="1" applyFont="1"/>
    <xf borderId="30" fillId="0" fontId="3" numFmtId="0" xfId="0" applyBorder="1" applyFont="1"/>
    <xf borderId="31" fillId="0" fontId="3" numFmtId="0" xfId="0" applyBorder="1" applyFont="1"/>
    <xf borderId="23" fillId="3" fontId="4" numFmtId="0" xfId="0" applyBorder="1" applyFont="1"/>
    <xf borderId="32" fillId="2" fontId="6" numFmtId="0" xfId="0" applyBorder="1" applyFont="1"/>
    <xf borderId="33" fillId="0" fontId="3" numFmtId="0" xfId="0" applyBorder="1" applyFont="1"/>
    <xf borderId="23" fillId="2" fontId="2" numFmtId="0" xfId="0" applyBorder="1" applyFont="1"/>
    <xf borderId="0" fillId="0" fontId="6" numFmtId="0" xfId="0" applyFont="1"/>
    <xf borderId="34" fillId="0" fontId="3" numFmtId="0" xfId="0" applyBorder="1" applyFont="1"/>
    <xf borderId="35" fillId="0" fontId="3" numFmtId="0" xfId="0" applyBorder="1" applyFont="1"/>
    <xf borderId="36" fillId="0" fontId="3" numFmtId="0" xfId="0" applyBorder="1" applyFont="1"/>
    <xf borderId="0" fillId="0" fontId="8" numFmtId="0" xfId="0" applyAlignment="1" applyFont="1">
      <alignment vertical="center"/>
    </xf>
    <xf borderId="37" fillId="0" fontId="4" numFmtId="0" xfId="0" applyAlignment="1" applyBorder="1" applyFont="1">
      <alignment horizontal="left" shrinkToFit="0" vertical="center" wrapText="1"/>
    </xf>
    <xf borderId="37" fillId="2" fontId="4" numFmtId="0" xfId="0" applyAlignment="1" applyBorder="1" applyFont="1">
      <alignment horizontal="center" vertical="center"/>
    </xf>
    <xf borderId="37" fillId="2" fontId="4" numFmtId="0" xfId="0" applyAlignment="1" applyBorder="1" applyFont="1">
      <alignment horizontal="center" shrinkToFit="0" vertical="center" wrapText="1"/>
    </xf>
    <xf borderId="17" fillId="2" fontId="4" numFmtId="0" xfId="0" applyAlignment="1" applyBorder="1" applyFont="1">
      <alignment horizontal="center"/>
    </xf>
    <xf borderId="38" fillId="0" fontId="3" numFmtId="0" xfId="0" applyBorder="1" applyFont="1"/>
    <xf borderId="9" fillId="0" fontId="4" numFmtId="0" xfId="0" applyAlignment="1" applyBorder="1" applyFont="1">
      <alignment horizontal="center"/>
    </xf>
    <xf borderId="23" fillId="2" fontId="5" numFmtId="2" xfId="0" applyBorder="1" applyFont="1" applyNumberFormat="1"/>
    <xf borderId="9" fillId="2" fontId="4" numFmtId="0" xfId="0" applyAlignment="1" applyBorder="1" applyFont="1">
      <alignment horizontal="center" vertical="center"/>
    </xf>
    <xf borderId="9" fillId="0" fontId="4" numFmtId="0" xfId="0" applyAlignment="1" applyBorder="1" applyFont="1">
      <alignment horizontal="center" vertical="center"/>
    </xf>
    <xf borderId="9" fillId="0" fontId="2" numFmtId="0" xfId="0" applyAlignment="1" applyBorder="1" applyFont="1">
      <alignment horizontal="center"/>
    </xf>
    <xf borderId="37" fillId="5" fontId="6" numFmtId="0" xfId="0" applyAlignment="1" applyBorder="1" applyFill="1" applyFont="1">
      <alignment horizontal="center" shrinkToFit="0" vertical="center" wrapText="1"/>
    </xf>
    <xf borderId="39" fillId="0" fontId="3" numFmtId="0" xfId="0" applyBorder="1" applyFont="1"/>
    <xf borderId="9" fillId="3" fontId="5" numFmtId="1" xfId="0" applyAlignment="1" applyBorder="1" applyFont="1" applyNumberFormat="1">
      <alignment horizontal="center"/>
    </xf>
    <xf borderId="23" fillId="5" fontId="6" numFmtId="0" xfId="0" applyAlignment="1" applyBorder="1" applyFont="1">
      <alignment horizontal="center" shrinkToFit="0" vertical="center" wrapText="1"/>
    </xf>
    <xf borderId="0" fillId="0" fontId="4" numFmtId="0" xfId="0" applyFont="1"/>
    <xf borderId="9" fillId="0" fontId="6" numFmtId="0" xfId="0" applyBorder="1" applyFont="1"/>
    <xf borderId="9" fillId="0" fontId="2" numFmtId="0" xfId="0" applyAlignment="1" applyBorder="1" applyFont="1">
      <alignment horizontal="center" vertical="center"/>
    </xf>
    <xf borderId="0" fillId="0" fontId="6" numFmtId="0" xfId="0" applyAlignment="1" applyFont="1">
      <alignment vertical="center"/>
    </xf>
    <xf borderId="0" fillId="0" fontId="8" numFmtId="0" xfId="0" applyAlignment="1" applyFont="1">
      <alignment horizontal="center"/>
    </xf>
    <xf borderId="9" fillId="0" fontId="2" numFmtId="0" xfId="0" applyBorder="1" applyFont="1"/>
    <xf borderId="17" fillId="2" fontId="4" numFmtId="0" xfId="0" applyAlignment="1" applyBorder="1" applyFont="1">
      <alignment horizontal="center" shrinkToFit="0" vertical="center" wrapText="1"/>
    </xf>
    <xf borderId="17" fillId="2" fontId="4" numFmtId="0" xfId="0" applyAlignment="1" applyBorder="1" applyFont="1">
      <alignment horizontal="center" shrinkToFit="0" wrapText="1"/>
    </xf>
    <xf borderId="9" fillId="0" fontId="5" numFmtId="10" xfId="0" applyAlignment="1" applyBorder="1" applyFont="1" applyNumberFormat="1">
      <alignment horizontal="center" vertical="center"/>
    </xf>
    <xf borderId="0" fillId="0" fontId="0" numFmtId="0" xfId="0" applyFont="1"/>
    <xf borderId="40" fillId="5" fontId="4" numFmtId="0" xfId="0" applyAlignment="1" applyBorder="1" applyFont="1">
      <alignment horizontal="center" vertical="center"/>
    </xf>
    <xf borderId="9" fillId="0" fontId="4" numFmtId="0" xfId="0" applyAlignment="1" applyBorder="1" applyFont="1">
      <alignment vertical="center"/>
    </xf>
    <xf borderId="9" fillId="0" fontId="5" numFmtId="0" xfId="0" applyAlignment="1" applyBorder="1" applyFont="1">
      <alignment horizontal="center" vertical="center"/>
    </xf>
    <xf borderId="9" fillId="6" fontId="5" numFmtId="0" xfId="0" applyAlignment="1" applyBorder="1" applyFill="1" applyFont="1">
      <alignment horizontal="center" vertical="center"/>
    </xf>
    <xf borderId="41" fillId="0" fontId="3" numFmtId="0" xfId="0" applyBorder="1" applyFont="1"/>
    <xf borderId="42" fillId="0" fontId="3" numFmtId="0" xfId="0" applyBorder="1" applyFont="1"/>
    <xf borderId="0" fillId="0" fontId="5" numFmtId="2" xfId="0" applyFont="1" applyNumberFormat="1"/>
    <xf borderId="0" fillId="0" fontId="5" numFmtId="0" xfId="0" applyFont="1"/>
    <xf borderId="32" fillId="7" fontId="9" numFmtId="0" xfId="0" applyAlignment="1" applyBorder="1" applyFill="1" applyFont="1">
      <alignment horizontal="center"/>
    </xf>
    <xf borderId="43" fillId="8" fontId="10" numFmtId="0" xfId="0" applyAlignment="1" applyBorder="1" applyFill="1" applyFont="1">
      <alignment horizontal="center"/>
    </xf>
    <xf borderId="44" fillId="8" fontId="10" numFmtId="0" xfId="0" applyAlignment="1" applyBorder="1" applyFont="1">
      <alignment horizontal="center"/>
    </xf>
    <xf borderId="45" fillId="8" fontId="10" numFmtId="0" xfId="0" applyAlignment="1" applyBorder="1" applyFont="1">
      <alignment horizontal="center"/>
    </xf>
    <xf borderId="46" fillId="8" fontId="10" numFmtId="0" xfId="0" applyAlignment="1" applyBorder="1" applyFont="1">
      <alignment horizontal="center"/>
    </xf>
    <xf borderId="47" fillId="9" fontId="10" numFmtId="0" xfId="0" applyAlignment="1" applyBorder="1" applyFill="1" applyFont="1">
      <alignment horizontal="center" shrinkToFit="0" wrapText="1"/>
    </xf>
    <xf borderId="48" fillId="10" fontId="11" numFmtId="0" xfId="0" applyAlignment="1" applyBorder="1" applyFill="1" applyFont="1">
      <alignment horizontal="center" vertical="center"/>
    </xf>
    <xf borderId="49" fillId="10" fontId="11" numFmtId="0" xfId="0" applyAlignment="1" applyBorder="1" applyFont="1">
      <alignment horizontal="center" vertical="center"/>
    </xf>
    <xf borderId="50" fillId="0" fontId="3" numFmtId="0" xfId="0" applyBorder="1" applyFont="1"/>
    <xf borderId="51" fillId="0" fontId="3" numFmtId="0" xfId="0" applyBorder="1" applyFont="1"/>
    <xf borderId="43" fillId="11" fontId="10" numFmtId="0" xfId="0" applyAlignment="1" applyBorder="1" applyFill="1" applyFont="1">
      <alignment horizontal="center"/>
    </xf>
    <xf borderId="44" fillId="11" fontId="10" numFmtId="0" xfId="0" applyAlignment="1" applyBorder="1" applyFont="1">
      <alignment horizontal="center"/>
    </xf>
    <xf borderId="45" fillId="11" fontId="10" numFmtId="0" xfId="0" applyAlignment="1" applyBorder="1" applyFont="1">
      <alignment horizontal="center"/>
    </xf>
    <xf borderId="52" fillId="11" fontId="10" numFmtId="0" xfId="0" applyAlignment="1" applyBorder="1" applyFont="1">
      <alignment horizontal="center"/>
    </xf>
    <xf borderId="53" fillId="11" fontId="10" numFmtId="0" xfId="0" applyAlignment="1" applyBorder="1" applyFont="1">
      <alignment horizontal="center"/>
    </xf>
    <xf borderId="48" fillId="10" fontId="11" numFmtId="165" xfId="0" applyAlignment="1" applyBorder="1" applyFont="1" applyNumberFormat="1">
      <alignment horizontal="center" vertical="center"/>
    </xf>
    <xf borderId="44" fillId="11" fontId="11" numFmtId="165" xfId="0" applyAlignment="1" applyBorder="1" applyFont="1" applyNumberFormat="1">
      <alignment horizontal="center"/>
    </xf>
    <xf borderId="54" fillId="11" fontId="11" numFmtId="165" xfId="0" applyAlignment="1" applyBorder="1" applyFont="1" applyNumberFormat="1">
      <alignment horizontal="center"/>
    </xf>
    <xf borderId="46" fillId="11" fontId="10" numFmtId="0" xfId="0" applyAlignment="1" applyBorder="1" applyFont="1">
      <alignment horizontal="center"/>
    </xf>
    <xf borderId="44" fillId="11" fontId="10" numFmtId="165" xfId="0" applyAlignment="1" applyBorder="1" applyFont="1" applyNumberFormat="1">
      <alignment horizontal="center"/>
    </xf>
    <xf borderId="52" fillId="11" fontId="10" numFmtId="165" xfId="0" applyAlignment="1" applyBorder="1" applyFont="1" applyNumberFormat="1">
      <alignment horizontal="center"/>
    </xf>
    <xf borderId="53" fillId="11" fontId="10" numFmtId="165" xfId="0" applyAlignment="1" applyBorder="1" applyFont="1" applyNumberFormat="1">
      <alignment horizontal="center"/>
    </xf>
    <xf borderId="55" fillId="2" fontId="4" numFmtId="0" xfId="0" applyAlignment="1" applyBorder="1" applyFont="1">
      <alignment horizontal="center" shrinkToFit="0" vertical="center" wrapText="1"/>
    </xf>
    <xf borderId="56" fillId="2" fontId="4" numFmtId="0" xfId="0" applyAlignment="1" applyBorder="1" applyFont="1">
      <alignment horizontal="center" shrinkToFit="0" vertical="center" wrapText="1"/>
    </xf>
    <xf borderId="57" fillId="2" fontId="4" numFmtId="0" xfId="0" applyAlignment="1" applyBorder="1" applyFont="1">
      <alignment horizontal="center" shrinkToFit="0" vertical="center" wrapText="1"/>
    </xf>
    <xf borderId="23" fillId="3" fontId="4" numFmtId="0" xfId="0" applyAlignment="1" applyBorder="1" applyFont="1">
      <alignment horizontal="center" shrinkToFit="0" vertical="center" wrapText="1"/>
    </xf>
    <xf borderId="58" fillId="0" fontId="4" numFmtId="1" xfId="0" applyAlignment="1" applyBorder="1" applyFont="1" applyNumberFormat="1">
      <alignment horizontal="center" shrinkToFit="0" vertical="center" wrapText="1"/>
    </xf>
    <xf borderId="59" fillId="3" fontId="5" numFmtId="1" xfId="0" applyAlignment="1" applyBorder="1" applyFont="1" applyNumberFormat="1">
      <alignment horizontal="center" shrinkToFit="0" vertical="center" wrapText="1"/>
    </xf>
    <xf borderId="59" fillId="0" fontId="8" numFmtId="0" xfId="0" applyAlignment="1" applyBorder="1" applyFont="1">
      <alignment horizontal="center" shrinkToFit="0" vertical="center" wrapText="1"/>
    </xf>
    <xf borderId="60" fillId="0" fontId="8" numFmtId="0" xfId="0" applyAlignment="1" applyBorder="1" applyFont="1">
      <alignment horizontal="center" shrinkToFit="0" vertical="center" wrapText="1"/>
    </xf>
    <xf borderId="23" fillId="3" fontId="8" numFmtId="0" xfId="0" applyAlignment="1" applyBorder="1" applyFont="1">
      <alignment horizontal="center" shrinkToFit="0" vertical="center" wrapText="1"/>
    </xf>
    <xf borderId="58" fillId="0" fontId="8" numFmtId="0" xfId="0" applyAlignment="1" applyBorder="1" applyFont="1">
      <alignment horizontal="center" shrinkToFit="0" vertical="center" wrapText="1"/>
    </xf>
    <xf borderId="61" fillId="0" fontId="4" numFmtId="1" xfId="0" applyAlignment="1" applyBorder="1" applyFont="1" applyNumberFormat="1">
      <alignment horizontal="center" shrinkToFit="0" vertical="center" wrapText="1"/>
    </xf>
    <xf borderId="9" fillId="3" fontId="5" numFmtId="1" xfId="0" applyAlignment="1" applyBorder="1" applyFont="1" applyNumberFormat="1">
      <alignment horizontal="center" shrinkToFit="0" vertical="center" wrapText="1"/>
    </xf>
    <xf borderId="9" fillId="0" fontId="8" numFmtId="0" xfId="0" applyAlignment="1" applyBorder="1" applyFont="1">
      <alignment horizontal="center" shrinkToFit="0" vertical="center" wrapText="1"/>
    </xf>
    <xf borderId="62" fillId="0" fontId="8" numFmtId="0" xfId="0" applyAlignment="1" applyBorder="1" applyFont="1">
      <alignment horizontal="center" shrinkToFit="0" vertical="center" wrapText="1"/>
    </xf>
    <xf borderId="61" fillId="0" fontId="8" numFmtId="0" xfId="0" applyAlignment="1" applyBorder="1" applyFont="1">
      <alignment horizontal="center" shrinkToFit="0" vertical="center" wrapText="1"/>
    </xf>
    <xf borderId="63" fillId="0" fontId="4" numFmtId="1" xfId="0" applyAlignment="1" applyBorder="1" applyFont="1" applyNumberFormat="1">
      <alignment horizontal="center" shrinkToFit="0" vertical="center" wrapText="1"/>
    </xf>
    <xf borderId="64" fillId="3" fontId="5" numFmtId="1" xfId="0" applyAlignment="1" applyBorder="1" applyFont="1" applyNumberFormat="1">
      <alignment horizontal="center" shrinkToFit="0" vertical="center" wrapText="1"/>
    </xf>
    <xf borderId="64" fillId="0" fontId="8" numFmtId="0" xfId="0" applyAlignment="1" applyBorder="1" applyFont="1">
      <alignment horizontal="center" shrinkToFit="0" vertical="center" wrapText="1"/>
    </xf>
    <xf borderId="65" fillId="0" fontId="8" numFmtId="0" xfId="0" applyAlignment="1" applyBorder="1" applyFont="1">
      <alignment horizontal="center" shrinkToFit="0" vertical="center" wrapText="1"/>
    </xf>
    <xf borderId="63" fillId="0" fontId="8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43" fillId="12" fontId="12" numFmtId="0" xfId="0" applyAlignment="1" applyBorder="1" applyFill="1" applyFont="1">
      <alignment horizontal="center" shrinkToFit="0" vertical="center" wrapText="1"/>
    </xf>
    <xf borderId="43" fillId="0" fontId="8" numFmtId="0" xfId="0" applyAlignment="1" applyBorder="1" applyFont="1">
      <alignment horizontal="center" shrinkToFit="0" vertical="center" wrapText="1"/>
    </xf>
    <xf borderId="23" fillId="3" fontId="12" numFmtId="0" xfId="0" applyAlignment="1" applyBorder="1" applyFont="1">
      <alignment horizontal="center" shrinkToFit="0" vertical="center" wrapText="1"/>
    </xf>
    <xf borderId="43" fillId="13" fontId="8" numFmtId="0" xfId="0" applyAlignment="1" applyBorder="1" applyFill="1" applyFont="1">
      <alignment horizontal="center" shrinkToFit="0" vertical="center" wrapText="1"/>
    </xf>
    <xf borderId="43" fillId="0" fontId="8" numFmtId="165" xfId="0" applyAlignment="1" applyBorder="1" applyFont="1" applyNumberFormat="1">
      <alignment horizontal="center" shrinkToFit="0" vertical="center" wrapText="1"/>
    </xf>
    <xf borderId="66" fillId="13" fontId="8" numFmtId="0" xfId="0" applyAlignment="1" applyBorder="1" applyFont="1">
      <alignment horizontal="center" shrinkToFit="0" vertical="center" wrapText="1"/>
    </xf>
    <xf borderId="67" fillId="0" fontId="8" numFmtId="0" xfId="0" applyAlignment="1" applyBorder="1" applyFont="1">
      <alignment horizontal="center"/>
    </xf>
    <xf borderId="45" fillId="0" fontId="8" numFmtId="0" xfId="0" applyAlignment="1" applyBorder="1" applyFont="1">
      <alignment horizontal="center"/>
    </xf>
    <xf borderId="46" fillId="0" fontId="8" numFmtId="165" xfId="0" applyAlignment="1" applyBorder="1" applyFont="1" applyNumberFormat="1">
      <alignment horizontal="center"/>
    </xf>
    <xf borderId="68" fillId="0" fontId="8" numFmtId="0" xfId="0" applyBorder="1" applyFont="1"/>
    <xf borderId="69" fillId="0" fontId="8" numFmtId="0" xfId="0" applyBorder="1" applyFont="1"/>
    <xf borderId="70" fillId="0" fontId="8" numFmtId="0" xfId="0" applyBorder="1" applyFont="1"/>
    <xf borderId="71" fillId="0" fontId="13" numFmtId="0" xfId="0" applyAlignment="1" applyBorder="1" applyFont="1">
      <alignment horizontal="center" shrinkToFit="0" vertical="center" wrapText="1"/>
    </xf>
    <xf borderId="72" fillId="0" fontId="3" numFmtId="0" xfId="0" applyBorder="1" applyFont="1"/>
    <xf borderId="73" fillId="0" fontId="3" numFmtId="0" xfId="0" applyBorder="1" applyFont="1"/>
    <xf borderId="0" fillId="0" fontId="2" numFmtId="0" xfId="0" applyAlignment="1" applyFont="1">
      <alignment horizontal="center" shrinkToFit="0" vertical="center" wrapText="1"/>
    </xf>
    <xf borderId="74" fillId="0" fontId="13" numFmtId="0" xfId="0" applyAlignment="1" applyBorder="1" applyFont="1">
      <alignment horizontal="center" shrinkToFit="0" vertical="center" wrapText="1"/>
    </xf>
    <xf borderId="75" fillId="0" fontId="13" numFmtId="0" xfId="0" applyAlignment="1" applyBorder="1" applyFont="1">
      <alignment horizontal="center" shrinkToFit="0" vertical="center" wrapText="1"/>
    </xf>
    <xf borderId="73" fillId="0" fontId="13" numFmtId="0" xfId="0" applyAlignment="1" applyBorder="1" applyFont="1">
      <alignment horizontal="center" shrinkToFit="0" vertical="center" wrapText="1"/>
    </xf>
    <xf borderId="76" fillId="14" fontId="5" numFmtId="0" xfId="0" applyAlignment="1" applyBorder="1" applyFill="1" applyFont="1">
      <alignment horizontal="center" shrinkToFit="0" vertical="center" wrapText="1"/>
    </xf>
    <xf borderId="77" fillId="14" fontId="5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horizontal="center" shrinkToFit="0" vertical="center" wrapText="1"/>
    </xf>
    <xf borderId="76" fillId="14" fontId="15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78" fillId="14" fontId="5" numFmtId="0" xfId="0" applyAlignment="1" applyBorder="1" applyFont="1">
      <alignment horizontal="center" shrinkToFit="0" vertical="center" wrapText="1"/>
    </xf>
    <xf borderId="79" fillId="14" fontId="5" numFmtId="0" xfId="0" applyAlignment="1" applyBorder="1" applyFont="1">
      <alignment horizontal="center" shrinkToFit="0" vertical="center" wrapText="1"/>
    </xf>
    <xf borderId="80" fillId="14" fontId="5" numFmtId="0" xfId="0" applyAlignment="1" applyBorder="1" applyFont="1">
      <alignment horizontal="center" shrinkToFit="0" vertical="center" wrapText="1"/>
    </xf>
    <xf borderId="81" fillId="14" fontId="5" numFmtId="0" xfId="0" applyAlignment="1" applyBorder="1" applyFont="1">
      <alignment horizontal="center" shrinkToFit="0" vertical="center" wrapText="1"/>
    </xf>
    <xf borderId="82" fillId="0" fontId="4" numFmtId="0" xfId="0" applyAlignment="1" applyBorder="1" applyFont="1">
      <alignment horizontal="center" shrinkToFit="0" vertical="center" wrapText="1"/>
    </xf>
    <xf borderId="83" fillId="0" fontId="4" numFmtId="165" xfId="0" applyAlignment="1" applyBorder="1" applyFont="1" applyNumberFormat="1">
      <alignment horizontal="center" shrinkToFit="0" vertical="center" wrapText="1"/>
    </xf>
    <xf borderId="84" fillId="0" fontId="3" numFmtId="0" xfId="0" applyBorder="1" applyFont="1"/>
    <xf borderId="85" fillId="2" fontId="4" numFmtId="0" xfId="0" applyAlignment="1" applyBorder="1" applyFont="1">
      <alignment horizontal="center" shrinkToFit="0" vertical="center" wrapText="1"/>
    </xf>
    <xf borderId="9" fillId="15" fontId="16" numFmtId="0" xfId="0" applyAlignment="1" applyBorder="1" applyFill="1" applyFont="1">
      <alignment horizontal="center" shrinkToFit="0" vertical="center" wrapText="1"/>
    </xf>
    <xf borderId="9" fillId="12" fontId="0" numFmtId="0" xfId="0" applyAlignment="1" applyBorder="1" applyFont="1">
      <alignment horizontal="center" shrinkToFit="0" vertical="center" wrapText="1"/>
    </xf>
    <xf borderId="86" fillId="12" fontId="0" numFmtId="0" xfId="0" applyAlignment="1" applyBorder="1" applyFont="1">
      <alignment horizontal="center" shrinkToFit="0" vertical="center" wrapText="1"/>
    </xf>
    <xf borderId="9" fillId="0" fontId="0" numFmtId="0" xfId="0" applyAlignment="1" applyBorder="1" applyFont="1">
      <alignment horizontal="center" shrinkToFit="0" vertical="center" wrapText="1"/>
    </xf>
    <xf borderId="9" fillId="0" fontId="8" numFmtId="0" xfId="0" applyBorder="1" applyFont="1"/>
    <xf borderId="19" fillId="0" fontId="0" numFmtId="0" xfId="0" applyAlignment="1" applyBorder="1" applyFont="1">
      <alignment horizontal="center" shrinkToFit="0" wrapText="1"/>
    </xf>
    <xf borderId="18" fillId="0" fontId="0" numFmtId="0" xfId="0" applyAlignment="1" applyBorder="1" applyFont="1">
      <alignment horizontal="center" shrinkToFit="0" wrapText="1"/>
    </xf>
    <xf borderId="38" fillId="0" fontId="0" numFmtId="0" xfId="0" applyAlignment="1" applyBorder="1" applyFont="1">
      <alignment horizontal="center" shrinkToFit="0" wrapText="1"/>
    </xf>
    <xf borderId="22" fillId="0" fontId="0" numFmtId="0" xfId="0" applyAlignment="1" applyBorder="1" applyFont="1">
      <alignment horizontal="center" shrinkToFit="0" wrapText="1"/>
    </xf>
    <xf borderId="21" fillId="0" fontId="0" numFmtId="0" xfId="0" applyAlignment="1" applyBorder="1" applyFont="1">
      <alignment horizontal="center" shrinkToFit="0" wrapText="1"/>
    </xf>
    <xf borderId="21" fillId="0" fontId="8" numFmtId="0" xfId="0" applyBorder="1" applyFont="1"/>
    <xf borderId="23" fillId="16" fontId="9" numFmtId="0" xfId="0" applyAlignment="1" applyBorder="1" applyFill="1" applyFont="1">
      <alignment horizontal="center"/>
    </xf>
    <xf borderId="68" fillId="17" fontId="9" numFmtId="0" xfId="0" applyAlignment="1" applyBorder="1" applyFill="1" applyFont="1">
      <alignment horizontal="center" shrinkToFit="0" vertical="center" wrapText="1"/>
    </xf>
    <xf borderId="69" fillId="0" fontId="3" numFmtId="0" xfId="0" applyBorder="1" applyFont="1"/>
    <xf borderId="70" fillId="0" fontId="3" numFmtId="0" xfId="0" applyBorder="1" applyFont="1"/>
    <xf borderId="87" fillId="0" fontId="3" numFmtId="0" xfId="0" applyBorder="1" applyFont="1"/>
    <xf borderId="88" fillId="0" fontId="3" numFmtId="0" xfId="0" applyBorder="1" applyFont="1"/>
    <xf borderId="66" fillId="18" fontId="9" numFmtId="0" xfId="0" applyAlignment="1" applyBorder="1" applyFill="1" applyFont="1">
      <alignment horizontal="center" shrinkToFit="0" vertical="center" wrapText="1"/>
    </xf>
    <xf borderId="89" fillId="18" fontId="9" numFmtId="0" xfId="0" applyAlignment="1" applyBorder="1" applyFont="1">
      <alignment horizontal="center" shrinkToFit="0" vertical="center" wrapText="1"/>
    </xf>
    <xf borderId="90" fillId="18" fontId="9" numFmtId="165" xfId="0" applyAlignment="1" applyBorder="1" applyFont="1" applyNumberFormat="1">
      <alignment horizontal="center" shrinkToFit="0" vertical="center" wrapText="1"/>
    </xf>
    <xf borderId="0" fillId="0" fontId="9" numFmtId="0" xfId="0" applyFont="1"/>
    <xf borderId="0" fillId="0" fontId="8" numFmtId="165" xfId="0" applyAlignment="1" applyFont="1" applyNumberFormat="1">
      <alignment horizontal="center" shrinkToFit="0" vertical="center" wrapText="1"/>
    </xf>
    <xf borderId="9" fillId="0" fontId="8" numFmtId="165" xfId="0" applyAlignment="1" applyBorder="1" applyFont="1" applyNumberFormat="1">
      <alignment horizontal="center" shrinkToFit="0" vertical="center" wrapText="1"/>
    </xf>
    <xf borderId="17" fillId="0" fontId="2" numFmtId="0" xfId="0" applyBorder="1" applyFont="1"/>
    <xf borderId="9" fillId="0" fontId="4" numFmtId="1" xfId="0" applyAlignment="1" applyBorder="1" applyFont="1" applyNumberFormat="1">
      <alignment horizontal="center"/>
    </xf>
    <xf borderId="9" fillId="0" fontId="4" numFmtId="2" xfId="0" applyAlignment="1" applyBorder="1" applyFont="1" applyNumberFormat="1">
      <alignment horizontal="center"/>
    </xf>
    <xf borderId="91" fillId="0" fontId="2" numFmtId="0" xfId="0" applyBorder="1" applyFont="1"/>
    <xf borderId="92" fillId="0" fontId="5" numFmtId="2" xfId="0" applyAlignment="1" applyBorder="1" applyFont="1" applyNumberFormat="1">
      <alignment horizontal="center"/>
    </xf>
    <xf borderId="93" fillId="0" fontId="5" numFmtId="2" xfId="0" applyAlignment="1" applyBorder="1" applyFont="1" applyNumberFormat="1">
      <alignment horizontal="center"/>
    </xf>
    <xf borderId="0" fillId="0" fontId="5" numFmtId="1" xfId="0" applyAlignment="1" applyFont="1" applyNumberFormat="1">
      <alignment horizontal="center"/>
    </xf>
    <xf borderId="43" fillId="0" fontId="5" numFmtId="1" xfId="0" applyAlignment="1" applyBorder="1" applyFont="1" applyNumberFormat="1">
      <alignment horizontal="center"/>
    </xf>
    <xf borderId="3" fillId="0" fontId="4" numFmtId="0" xfId="0" applyAlignment="1" applyBorder="1" applyFont="1">
      <alignment horizontal="center"/>
    </xf>
    <xf borderId="92" fillId="0" fontId="5" numFmtId="0" xfId="0" applyAlignment="1" applyBorder="1" applyFont="1">
      <alignment horizontal="center"/>
    </xf>
    <xf borderId="93" fillId="0" fontId="5" numFmtId="0" xfId="0" applyAlignment="1" applyBorder="1" applyFont="1">
      <alignment horizontal="center"/>
    </xf>
    <xf borderId="43" fillId="0" fontId="5" numFmtId="0" xfId="0" applyAlignment="1" applyBorder="1" applyFont="1">
      <alignment horizontal="center"/>
    </xf>
    <xf borderId="17" fillId="0" fontId="5" numFmtId="0" xfId="0" applyAlignment="1" applyBorder="1" applyFont="1">
      <alignment horizontal="left"/>
    </xf>
    <xf borderId="17" fillId="0" fontId="5" numFmtId="0" xfId="0" applyAlignment="1" applyBorder="1" applyFont="1">
      <alignment horizontal="left" shrinkToFit="0" vertical="center" wrapText="1"/>
    </xf>
    <xf borderId="0" fillId="0" fontId="8" numFmtId="165" xfId="0" applyFont="1" applyNumberFormat="1"/>
    <xf borderId="23" fillId="19" fontId="8" numFmtId="0" xfId="0" applyBorder="1" applyFill="1" applyFont="1"/>
    <xf borderId="66" fillId="7" fontId="9" numFmtId="0" xfId="0" applyBorder="1" applyFont="1"/>
    <xf borderId="89" fillId="7" fontId="9" numFmtId="0" xfId="0" applyBorder="1" applyFont="1"/>
    <xf borderId="90" fillId="7" fontId="9" numFmtId="165" xfId="0" applyBorder="1" applyFont="1" applyNumberFormat="1"/>
    <xf borderId="23" fillId="12" fontId="8" numFmtId="0" xfId="0" applyBorder="1" applyFont="1"/>
    <xf borderId="82" fillId="4" fontId="8" numFmtId="0" xfId="0" applyAlignment="1" applyBorder="1" applyFont="1">
      <alignment horizontal="center" shrinkToFit="0" vertical="center" wrapText="1"/>
    </xf>
    <xf borderId="94" fillId="0" fontId="3" numFmtId="0" xfId="0" applyBorder="1" applyFont="1"/>
    <xf borderId="83" fillId="0" fontId="3" numFmtId="0" xfId="0" applyBorder="1" applyFont="1"/>
    <xf borderId="60" fillId="0" fontId="8" numFmtId="1" xfId="0" applyAlignment="1" applyBorder="1" applyFont="1" applyNumberFormat="1">
      <alignment horizontal="center" shrinkToFit="0" vertical="center" wrapText="1"/>
    </xf>
    <xf borderId="62" fillId="0" fontId="8" numFmtId="1" xfId="0" applyAlignment="1" applyBorder="1" applyFont="1" applyNumberFormat="1">
      <alignment horizontal="center" shrinkToFit="0" vertical="center" wrapText="1"/>
    </xf>
    <xf borderId="0" fillId="0" fontId="8" numFmtId="0" xfId="0" applyAlignment="1" applyFont="1">
      <alignment shrinkToFit="0" wrapText="1"/>
    </xf>
    <xf borderId="17" fillId="20" fontId="8" numFmtId="0" xfId="0" applyAlignment="1" applyBorder="1" applyFill="1" applyFont="1">
      <alignment horizontal="center" shrinkToFit="0" vertical="center" wrapText="1"/>
    </xf>
    <xf borderId="9" fillId="0" fontId="8" numFmtId="10" xfId="0" applyAlignment="1" applyBorder="1" applyFont="1" applyNumberFormat="1">
      <alignment horizontal="center" shrinkToFit="0" vertical="center" wrapText="1"/>
    </xf>
    <xf borderId="17" fillId="0" fontId="8" numFmtId="0" xfId="0" applyAlignment="1" applyBorder="1" applyFont="1">
      <alignment horizontal="center" shrinkToFit="0" vertical="center" wrapText="1"/>
    </xf>
    <xf borderId="9" fillId="0" fontId="8" numFmtId="9" xfId="0" applyAlignment="1" applyBorder="1" applyFont="1" applyNumberFormat="1">
      <alignment horizontal="center" shrinkToFit="0" vertical="center" wrapText="1"/>
    </xf>
    <xf borderId="23" fillId="3" fontId="17" numFmtId="0" xfId="0" applyBorder="1" applyFont="1"/>
    <xf borderId="43" fillId="21" fontId="8" numFmtId="0" xfId="0" applyAlignment="1" applyBorder="1" applyFill="1" applyFont="1">
      <alignment horizontal="center" shrinkToFit="0" vertical="center" wrapText="1"/>
    </xf>
    <xf borderId="82" fillId="21" fontId="8" numFmtId="0" xfId="0" applyAlignment="1" applyBorder="1" applyFont="1">
      <alignment horizontal="center" shrinkToFit="0" vertical="center" wrapText="1"/>
    </xf>
    <xf borderId="43" fillId="21" fontId="8" numFmtId="1" xfId="0" applyAlignment="1" applyBorder="1" applyFont="1" applyNumberFormat="1">
      <alignment horizontal="center" shrinkToFit="0" vertical="center" wrapText="1"/>
    </xf>
    <xf borderId="95" fillId="0" fontId="12" numFmtId="0" xfId="0" applyAlignment="1" applyBorder="1" applyFont="1">
      <alignment horizontal="center" shrinkToFit="0" vertical="center" wrapText="1"/>
    </xf>
    <xf borderId="96" fillId="0" fontId="3" numFmtId="0" xfId="0" applyBorder="1" applyFont="1"/>
    <xf borderId="97" fillId="0" fontId="3" numFmtId="0" xfId="0" applyBorder="1" applyFont="1"/>
    <xf borderId="20" fillId="0" fontId="3" numFmtId="0" xfId="0" applyBorder="1" applyFont="1"/>
    <xf borderId="37" fillId="0" fontId="8" numFmtId="0" xfId="0" applyAlignment="1" applyBorder="1" applyFont="1">
      <alignment horizontal="center" shrinkToFit="0" vertical="center" wrapText="1"/>
    </xf>
    <xf borderId="9" fillId="0" fontId="8" numFmtId="165" xfId="0" applyBorder="1" applyFont="1" applyNumberFormat="1"/>
    <xf borderId="32" fillId="18" fontId="9" numFmtId="0" xfId="0" applyBorder="1" applyFont="1"/>
    <xf borderId="23" fillId="18" fontId="9" numFmtId="165" xfId="0" applyBorder="1" applyFont="1" applyNumberFormat="1"/>
    <xf borderId="43" fillId="12" fontId="9" numFmtId="0" xfId="0" applyBorder="1" applyFont="1"/>
    <xf borderId="43" fillId="0" fontId="9" numFmtId="0" xfId="0" applyBorder="1" applyFont="1"/>
    <xf borderId="23" fillId="3" fontId="8" numFmtId="0" xfId="0" applyBorder="1" applyFont="1"/>
    <xf borderId="23" fillId="16" fontId="9" numFmtId="0" xfId="0" applyAlignment="1" applyBorder="1" applyFont="1">
      <alignment horizontal="center" shrinkToFit="0" wrapText="1"/>
    </xf>
    <xf borderId="9" fillId="3" fontId="8" numFmtId="0" xfId="0" applyAlignment="1" applyBorder="1" applyFont="1">
      <alignment horizontal="center" shrinkToFit="0" vertical="center" wrapText="1"/>
    </xf>
    <xf borderId="32" fillId="16" fontId="9" numFmtId="0" xfId="0" applyAlignment="1" applyBorder="1" applyFont="1">
      <alignment horizontal="center"/>
    </xf>
    <xf borderId="72" fillId="0" fontId="2" numFmtId="0" xfId="0" applyBorder="1" applyFont="1"/>
    <xf borderId="75" fillId="0" fontId="2" numFmtId="0" xfId="0" applyBorder="1" applyFont="1"/>
    <xf borderId="72" fillId="0" fontId="4" numFmtId="0" xfId="0" applyAlignment="1" applyBorder="1" applyFont="1">
      <alignment horizontal="center"/>
    </xf>
    <xf borderId="75" fillId="0" fontId="4" numFmtId="0" xfId="0" applyAlignment="1" applyBorder="1" applyFont="1">
      <alignment horizontal="center"/>
    </xf>
    <xf borderId="98" fillId="0" fontId="4" numFmtId="0" xfId="0" applyAlignment="1" applyBorder="1" applyFont="1">
      <alignment horizontal="center"/>
    </xf>
    <xf borderId="99" fillId="0" fontId="4" numFmtId="0" xfId="0" applyAlignment="1" applyBorder="1" applyFont="1">
      <alignment horizontal="center"/>
    </xf>
    <xf borderId="99" fillId="0" fontId="2" numFmtId="0" xfId="0" applyBorder="1" applyFont="1"/>
    <xf borderId="100" fillId="0" fontId="18" numFmtId="0" xfId="0" applyBorder="1" applyFont="1"/>
    <xf borderId="22" fillId="0" fontId="5" numFmtId="0" xfId="0" applyBorder="1" applyFont="1"/>
    <xf borderId="101" fillId="22" fontId="2" numFmtId="0" xfId="0" applyBorder="1" applyFill="1" applyFont="1"/>
    <xf borderId="22" fillId="0" fontId="5" numFmtId="1" xfId="0" applyAlignment="1" applyBorder="1" applyFont="1" applyNumberFormat="1">
      <alignment horizontal="center"/>
    </xf>
    <xf borderId="102" fillId="23" fontId="2" numFmtId="1" xfId="0" applyBorder="1" applyFill="1" applyFont="1" applyNumberFormat="1"/>
    <xf borderId="77" fillId="23" fontId="2" numFmtId="1" xfId="0" applyBorder="1" applyFont="1" applyNumberFormat="1"/>
    <xf borderId="22" fillId="0" fontId="5" numFmtId="0" xfId="0" applyAlignment="1" applyBorder="1" applyFont="1">
      <alignment horizontal="center"/>
    </xf>
    <xf borderId="102" fillId="23" fontId="2" numFmtId="0" xfId="0" applyBorder="1" applyFont="1"/>
    <xf borderId="77" fillId="23" fontId="2" numFmtId="0" xfId="0" applyBorder="1" applyFont="1"/>
    <xf borderId="22" fillId="0" fontId="5" numFmtId="2" xfId="0" applyAlignment="1" applyBorder="1" applyFont="1" applyNumberFormat="1">
      <alignment horizontal="center"/>
    </xf>
    <xf borderId="22" fillId="0" fontId="2" numFmtId="2" xfId="0" applyBorder="1" applyFont="1" applyNumberFormat="1"/>
    <xf borderId="103" fillId="0" fontId="2" numFmtId="2" xfId="0" applyBorder="1" applyFont="1" applyNumberFormat="1"/>
    <xf borderId="22" fillId="0" fontId="2" numFmtId="2" xfId="0" applyAlignment="1" applyBorder="1" applyFont="1" applyNumberFormat="1">
      <alignment horizontal="center"/>
    </xf>
    <xf borderId="104" fillId="22" fontId="2" numFmtId="0" xfId="0" applyBorder="1" applyFont="1"/>
    <xf borderId="22" fillId="0" fontId="5" numFmtId="3" xfId="0" applyAlignment="1" applyBorder="1" applyFont="1" applyNumberFormat="1">
      <alignment horizontal="center"/>
    </xf>
    <xf borderId="98" fillId="0" fontId="18" numFmtId="0" xfId="0" applyBorder="1" applyFont="1"/>
    <xf borderId="99" fillId="0" fontId="5" numFmtId="0" xfId="0" applyBorder="1" applyFont="1"/>
    <xf borderId="99" fillId="0" fontId="5" numFmtId="0" xfId="0" applyAlignment="1" applyBorder="1" applyFont="1">
      <alignment horizontal="center"/>
    </xf>
    <xf borderId="99" fillId="0" fontId="5" numFmtId="2" xfId="0" applyAlignment="1" applyBorder="1" applyFont="1" applyNumberFormat="1">
      <alignment horizontal="center"/>
    </xf>
    <xf borderId="99" fillId="0" fontId="2" numFmtId="2" xfId="0" applyBorder="1" applyFont="1" applyNumberFormat="1"/>
    <xf borderId="99" fillId="0" fontId="2" numFmtId="2" xfId="0" applyAlignment="1" applyBorder="1" applyFont="1" applyNumberFormat="1">
      <alignment horizontal="center"/>
    </xf>
    <xf borderId="75" fillId="0" fontId="2" numFmtId="2" xfId="0" applyBorder="1" applyFont="1" applyNumberFormat="1"/>
    <xf borderId="0" fillId="0" fontId="18" numFmtId="0" xfId="0" applyAlignment="1" applyFont="1">
      <alignment horizontal="center"/>
    </xf>
    <xf borderId="0" fillId="0" fontId="2" numFmtId="2" xfId="0" applyFont="1" applyNumberFormat="1"/>
    <xf borderId="105" fillId="0" fontId="2" numFmtId="0" xfId="0" applyBorder="1" applyFont="1"/>
    <xf borderId="23" fillId="24" fontId="8" numFmtId="0" xfId="0" applyBorder="1" applyFill="1" applyFont="1"/>
    <xf borderId="0" fillId="0" fontId="2" numFmtId="1" xfId="0" applyAlignment="1" applyFont="1" applyNumberFormat="1">
      <alignment horizontal="right"/>
    </xf>
    <xf borderId="22" fillId="0" fontId="5" numFmtId="4" xfId="0" applyAlignment="1" applyBorder="1" applyFont="1" applyNumberFormat="1">
      <alignment horizontal="center"/>
    </xf>
    <xf borderId="22" fillId="0" fontId="5" numFmtId="166" xfId="0" applyAlignment="1" applyBorder="1" applyFont="1" applyNumberFormat="1">
      <alignment horizontal="center"/>
    </xf>
    <xf borderId="103" fillId="0" fontId="2" numFmtId="0" xfId="0" applyBorder="1" applyFont="1"/>
    <xf borderId="0" fillId="0" fontId="2" numFmtId="0" xfId="0" applyAlignment="1" applyFont="1">
      <alignment horizontal="right"/>
    </xf>
    <xf borderId="21" fillId="0" fontId="2" numFmtId="0" xfId="0" applyBorder="1" applyFont="1"/>
    <xf borderId="106" fillId="0" fontId="2" numFmtId="0" xfId="0" applyBorder="1" applyFont="1"/>
    <xf borderId="21" fillId="0" fontId="4" numFmtId="0" xfId="0" applyBorder="1" applyFont="1"/>
    <xf borderId="22" fillId="0" fontId="2" numFmtId="0" xfId="0" applyBorder="1" applyFont="1"/>
    <xf borderId="22" fillId="0" fontId="18" numFmtId="0" xfId="0" applyAlignment="1" applyBorder="1" applyFont="1">
      <alignment horizontal="center"/>
    </xf>
    <xf borderId="0" fillId="0" fontId="5" numFmtId="2" xfId="0" applyAlignment="1" applyFont="1" applyNumberFormat="1">
      <alignment horizontal="right"/>
    </xf>
    <xf borderId="0" fillId="0" fontId="8" numFmtId="1" xfId="0" applyFont="1" applyNumberFormat="1"/>
    <xf borderId="23" fillId="3" fontId="8" numFmtId="167" xfId="0" applyBorder="1" applyFont="1" applyNumberFormat="1"/>
    <xf borderId="0" fillId="0" fontId="8" numFmtId="167" xfId="0" applyFont="1" applyNumberFormat="1"/>
    <xf borderId="0" fillId="0" fontId="8" numFmtId="3" xfId="0" applyFont="1" applyNumberFormat="1"/>
    <xf borderId="0" fillId="0" fontId="8" numFmtId="4" xfId="0" applyFont="1" applyNumberFormat="1"/>
    <xf borderId="0" fillId="0" fontId="8" numFmtId="2" xfId="0" applyFont="1" applyNumberFormat="1"/>
    <xf borderId="9" fillId="0" fontId="8" numFmtId="0" xfId="0" applyAlignment="1" applyBorder="1" applyFont="1">
      <alignment horizontal="center"/>
    </xf>
    <xf borderId="9" fillId="0" fontId="9" numFmtId="0" xfId="0" applyAlignment="1" applyBorder="1" applyFont="1">
      <alignment horizontal="center"/>
    </xf>
    <xf borderId="9" fillId="0" fontId="8" numFmtId="165" xfId="0" applyAlignment="1" applyBorder="1" applyFont="1" applyNumberFormat="1">
      <alignment horizontal="center"/>
    </xf>
    <xf borderId="9" fillId="0" fontId="9" numFmtId="165" xfId="0" applyAlignment="1" applyBorder="1" applyFont="1" applyNumberFormat="1">
      <alignment horizontal="center"/>
    </xf>
    <xf borderId="0" fillId="0" fontId="8" numFmtId="0" xfId="0" applyFont="1"/>
    <xf borderId="0" fillId="0" fontId="8" numFmtId="10" xfId="0" applyFont="1" applyNumberFormat="1"/>
    <xf borderId="23" fillId="3" fontId="19" numFmtId="0" xfId="0" applyAlignment="1" applyBorder="1" applyFont="1">
      <alignment horizontal="center" shrinkToFit="0" vertical="center" wrapText="1"/>
    </xf>
    <xf borderId="25" fillId="3" fontId="19" numFmtId="0" xfId="0" applyAlignment="1" applyBorder="1" applyFont="1">
      <alignment horizontal="center" shrinkToFit="0" vertical="center" wrapText="1"/>
    </xf>
    <xf borderId="0" fillId="0" fontId="8" numFmtId="168" xfId="0" applyFont="1" applyNumberFormat="1"/>
    <xf borderId="0" fillId="0" fontId="8" numFmtId="9" xfId="0" applyFont="1" applyNumberFormat="1"/>
    <xf borderId="0" fillId="0" fontId="8" numFmtId="169" xfId="0" applyFont="1" applyNumberFormat="1"/>
    <xf borderId="23" fillId="20" fontId="9" numFmtId="0" xfId="0" applyBorder="1" applyFont="1"/>
    <xf borderId="9" fillId="0" fontId="0" numFmtId="0" xfId="0" applyAlignment="1" applyBorder="1" applyFont="1">
      <alignment horizontal="center"/>
    </xf>
    <xf borderId="17" fillId="0" fontId="8" numFmtId="0" xfId="0" applyBorder="1" applyFont="1"/>
    <xf borderId="19" fillId="0" fontId="8" numFmtId="0" xfId="0" applyAlignment="1" applyBorder="1" applyFont="1">
      <alignment horizontal="center"/>
    </xf>
    <xf borderId="0" fillId="0" fontId="20" numFmtId="0" xfId="0" applyAlignment="1" applyFont="1">
      <alignment shrinkToFit="0" vertical="center" wrapText="1"/>
    </xf>
    <xf borderId="0" fillId="0" fontId="0" numFmtId="0" xfId="0" applyAlignment="1" applyFont="1">
      <alignment horizontal="center"/>
    </xf>
    <xf borderId="23" fillId="20" fontId="9" numFmtId="0" xfId="0" applyAlignment="1" applyBorder="1" applyFont="1">
      <alignment horizontal="center"/>
    </xf>
    <xf borderId="0" fillId="0" fontId="21" numFmtId="0" xfId="0" applyFont="1"/>
    <xf borderId="107" fillId="0" fontId="9" numFmtId="0" xfId="0" applyBorder="1" applyFont="1"/>
    <xf borderId="108" fillId="25" fontId="22" numFmtId="0" xfId="0" applyAlignment="1" applyBorder="1" applyFill="1" applyFont="1">
      <alignment horizontal="center"/>
    </xf>
    <xf borderId="109" fillId="0" fontId="3" numFmtId="0" xfId="0" applyBorder="1" applyFont="1"/>
    <xf borderId="110" fillId="0" fontId="3" numFmtId="0" xfId="0" applyBorder="1" applyFont="1"/>
    <xf borderId="0" fillId="0" fontId="9" numFmtId="0" xfId="0" applyAlignment="1" applyFont="1">
      <alignment horizontal="right"/>
    </xf>
    <xf borderId="107" fillId="26" fontId="9" numFmtId="9" xfId="0" applyBorder="1" applyFill="1" applyFont="1" applyNumberFormat="1"/>
    <xf borderId="111" fillId="25" fontId="23" numFmtId="0" xfId="0" applyAlignment="1" applyBorder="1" applyFont="1">
      <alignment horizontal="left" shrinkToFit="0" vertical="center" wrapText="1"/>
    </xf>
    <xf borderId="112" fillId="0" fontId="3" numFmtId="0" xfId="0" applyBorder="1" applyFont="1"/>
    <xf borderId="113" fillId="0" fontId="3" numFmtId="0" xfId="0" applyBorder="1" applyFont="1"/>
    <xf borderId="114" fillId="0" fontId="3" numFmtId="0" xfId="0" applyBorder="1" applyFont="1"/>
    <xf borderId="115" fillId="0" fontId="3" numFmtId="0" xfId="0" applyBorder="1" applyFont="1"/>
    <xf borderId="116" fillId="0" fontId="3" numFmtId="0" xfId="0" applyBorder="1" applyFont="1"/>
    <xf borderId="117" fillId="0" fontId="3" numFmtId="0" xfId="0" applyBorder="1" applyFont="1"/>
    <xf borderId="118" fillId="0" fontId="3" numFmtId="0" xfId="0" applyBorder="1" applyFont="1"/>
    <xf borderId="111" fillId="25" fontId="24" numFmtId="0" xfId="0" applyAlignment="1" applyBorder="1" applyFont="1">
      <alignment horizontal="left" shrinkToFit="0" vertical="center" wrapText="1"/>
    </xf>
    <xf borderId="0" fillId="0" fontId="8" numFmtId="0" xfId="0" applyAlignment="1" applyFont="1">
      <alignment horizontal="right"/>
    </xf>
    <xf borderId="107" fillId="26" fontId="9" numFmtId="0" xfId="0" applyAlignment="1" applyBorder="1" applyFont="1">
      <alignment horizontal="center"/>
    </xf>
    <xf borderId="108" fillId="25" fontId="24" numFmtId="0" xfId="0" applyAlignment="1" applyBorder="1" applyFont="1">
      <alignment horizontal="left" vertical="center"/>
    </xf>
    <xf borderId="107" fillId="26" fontId="9" numFmtId="170" xfId="0" applyAlignment="1" applyBorder="1" applyFont="1" applyNumberFormat="1">
      <alignment horizontal="center"/>
    </xf>
    <xf borderId="119" fillId="27" fontId="8" numFmtId="0" xfId="0" applyBorder="1" applyFill="1" applyFont="1"/>
    <xf borderId="120" fillId="27" fontId="8" numFmtId="0" xfId="0" applyBorder="1" applyFont="1"/>
    <xf borderId="121" fillId="27" fontId="8" numFmtId="0" xfId="0" applyBorder="1" applyFont="1"/>
    <xf borderId="107" fillId="27" fontId="0" numFmtId="0" xfId="0" applyAlignment="1" applyBorder="1" applyFont="1">
      <alignment horizontal="center"/>
    </xf>
    <xf borderId="107" fillId="27" fontId="0" numFmtId="165" xfId="0" applyAlignment="1" applyBorder="1" applyFont="1" applyNumberFormat="1">
      <alignment horizontal="center"/>
    </xf>
    <xf borderId="107" fillId="27" fontId="8" numFmtId="0" xfId="0" applyAlignment="1" applyBorder="1" applyFont="1">
      <alignment horizontal="center"/>
    </xf>
    <xf borderId="122" fillId="27" fontId="8" numFmtId="0" xfId="0" applyBorder="1" applyFont="1"/>
    <xf borderId="0" fillId="0" fontId="23" numFmtId="0" xfId="0" applyFont="1"/>
    <xf borderId="123" fillId="27" fontId="8" numFmtId="0" xfId="0" applyAlignment="1" applyBorder="1" applyFont="1">
      <alignment horizontal="center"/>
    </xf>
    <xf borderId="124" fillId="0" fontId="3" numFmtId="0" xfId="0" applyBorder="1" applyFont="1"/>
    <xf borderId="125" fillId="0" fontId="3" numFmtId="0" xfId="0" applyBorder="1" applyFont="1"/>
    <xf borderId="126" fillId="27" fontId="8" numFmtId="0" xfId="0" applyBorder="1" applyFont="1"/>
    <xf borderId="107" fillId="27" fontId="8" numFmtId="0" xfId="0" applyBorder="1" applyFont="1"/>
    <xf borderId="127" fillId="0" fontId="12" numFmtId="0" xfId="0" applyBorder="1" applyFont="1"/>
    <xf borderId="128" fillId="0" fontId="9" numFmtId="0" xfId="0" applyAlignment="1" applyBorder="1" applyFont="1">
      <alignment horizontal="center"/>
    </xf>
    <xf borderId="129" fillId="0" fontId="3" numFmtId="0" xfId="0" applyBorder="1" applyFont="1"/>
    <xf borderId="130" fillId="0" fontId="3" numFmtId="0" xfId="0" applyBorder="1" applyFont="1"/>
    <xf borderId="131" fillId="0" fontId="12" numFmtId="0" xfId="0" applyBorder="1" applyFont="1"/>
    <xf borderId="132" fillId="0" fontId="9" numFmtId="0" xfId="0" applyAlignment="1" applyBorder="1" applyFont="1">
      <alignment horizontal="center"/>
    </xf>
    <xf borderId="133" fillId="0" fontId="9" numFmtId="0" xfId="0" applyAlignment="1" applyBorder="1" applyFont="1">
      <alignment horizontal="center"/>
    </xf>
    <xf borderId="134" fillId="0" fontId="8" numFmtId="0" xfId="0" applyBorder="1" applyFont="1"/>
    <xf borderId="135" fillId="0" fontId="8" numFmtId="0" xfId="0" applyBorder="1" applyFont="1"/>
    <xf borderId="136" fillId="0" fontId="9" numFmtId="0" xfId="0" applyBorder="1" applyFont="1"/>
    <xf borderId="137" fillId="0" fontId="8" numFmtId="0" xfId="0" applyBorder="1" applyFont="1"/>
    <xf borderId="136" fillId="0" fontId="8" numFmtId="0" xfId="0" applyBorder="1" applyFont="1"/>
    <xf borderId="137" fillId="0" fontId="8" numFmtId="171" xfId="0" applyBorder="1" applyFont="1" applyNumberFormat="1"/>
    <xf borderId="137" fillId="0" fontId="8" numFmtId="167" xfId="0" applyBorder="1" applyFont="1" applyNumberFormat="1"/>
    <xf borderId="136" fillId="0" fontId="8" numFmtId="0" xfId="0" applyAlignment="1" applyBorder="1" applyFont="1">
      <alignment horizontal="left"/>
    </xf>
    <xf borderId="137" fillId="19" fontId="8" numFmtId="167" xfId="0" applyBorder="1" applyFont="1" applyNumberFormat="1"/>
    <xf borderId="131" fillId="0" fontId="9" numFmtId="0" xfId="0" applyAlignment="1" applyBorder="1" applyFont="1">
      <alignment horizontal="left"/>
    </xf>
    <xf borderId="132" fillId="0" fontId="8" numFmtId="167" xfId="0" applyBorder="1" applyFont="1" applyNumberFormat="1"/>
    <xf borderId="127" fillId="0" fontId="9" numFmtId="0" xfId="0" applyAlignment="1" applyBorder="1" applyFont="1">
      <alignment horizontal="center"/>
    </xf>
    <xf borderId="138" fillId="0" fontId="9" numFmtId="0" xfId="0" applyAlignment="1" applyBorder="1" applyFont="1">
      <alignment horizontal="center"/>
    </xf>
    <xf borderId="139" fillId="0" fontId="3" numFmtId="0" xfId="0" applyBorder="1" applyFont="1"/>
    <xf borderId="140" fillId="0" fontId="9" numFmtId="0" xfId="0" applyBorder="1" applyFont="1"/>
    <xf borderId="131" fillId="0" fontId="9" numFmtId="0" xfId="0" applyBorder="1" applyFont="1"/>
    <xf borderId="133" fillId="0" fontId="9" numFmtId="0" xfId="0" applyBorder="1" applyFont="1"/>
    <xf borderId="127" fillId="0" fontId="9" numFmtId="0" xfId="0" applyBorder="1" applyFont="1"/>
    <xf borderId="138" fillId="0" fontId="8" numFmtId="167" xfId="0" applyBorder="1" applyFont="1" applyNumberFormat="1"/>
    <xf borderId="138" fillId="0" fontId="8" numFmtId="0" xfId="0" applyAlignment="1" applyBorder="1" applyFont="1">
      <alignment horizontal="center"/>
    </xf>
    <xf borderId="140" fillId="0" fontId="8" numFmtId="0" xfId="0" applyBorder="1" applyFont="1"/>
    <xf borderId="134" fillId="0" fontId="9" numFmtId="0" xfId="0" applyBorder="1" applyFont="1"/>
    <xf borderId="135" fillId="0" fontId="8" numFmtId="167" xfId="0" applyBorder="1" applyFont="1" applyNumberFormat="1"/>
    <xf borderId="135" fillId="0" fontId="8" numFmtId="0" xfId="0" applyAlignment="1" applyBorder="1" applyFont="1">
      <alignment horizontal="center"/>
    </xf>
    <xf borderId="141" fillId="0" fontId="8" numFmtId="0" xfId="0" applyBorder="1" applyFont="1"/>
    <xf borderId="137" fillId="0" fontId="8" numFmtId="10" xfId="0" applyBorder="1" applyFont="1" applyNumberFormat="1"/>
    <xf borderId="142" fillId="0" fontId="8" numFmtId="167" xfId="0" applyBorder="1" applyFont="1" applyNumberFormat="1"/>
    <xf borderId="137" fillId="19" fontId="8" numFmtId="9" xfId="0" applyBorder="1" applyFont="1" applyNumberFormat="1"/>
    <xf borderId="136" fillId="0" fontId="9" numFmtId="0" xfId="0" applyAlignment="1" applyBorder="1" applyFont="1">
      <alignment horizontal="left"/>
    </xf>
    <xf borderId="137" fillId="0" fontId="8" numFmtId="164" xfId="0" applyAlignment="1" applyBorder="1" applyFont="1" applyNumberFormat="1">
      <alignment horizontal="center"/>
    </xf>
    <xf borderId="137" fillId="0" fontId="8" numFmtId="164" xfId="0" applyBorder="1" applyFont="1" applyNumberFormat="1"/>
    <xf borderId="142" fillId="0" fontId="8" numFmtId="164" xfId="0" applyBorder="1" applyFont="1" applyNumberFormat="1"/>
    <xf borderId="137" fillId="0" fontId="9" numFmtId="167" xfId="0" applyAlignment="1" applyBorder="1" applyFont="1" applyNumberFormat="1">
      <alignment horizontal="center"/>
    </xf>
    <xf borderId="137" fillId="0" fontId="8" numFmtId="167" xfId="0" applyAlignment="1" applyBorder="1" applyFont="1" applyNumberFormat="1">
      <alignment horizontal="center"/>
    </xf>
    <xf borderId="137" fillId="0" fontId="8" numFmtId="2" xfId="0" applyAlignment="1" applyBorder="1" applyFont="1" applyNumberFormat="1">
      <alignment horizontal="center"/>
    </xf>
    <xf borderId="142" fillId="0" fontId="8" numFmtId="2" xfId="0" applyAlignment="1" applyBorder="1" applyFont="1" applyNumberFormat="1">
      <alignment horizontal="center"/>
    </xf>
    <xf borderId="0" fillId="0" fontId="8" numFmtId="164" xfId="0" applyFont="1" applyNumberFormat="1"/>
    <xf borderId="0" fillId="0" fontId="9" numFmtId="164" xfId="0" applyAlignment="1" applyFont="1" applyNumberFormat="1">
      <alignment horizontal="center"/>
    </xf>
    <xf borderId="107" fillId="0" fontId="8" numFmtId="0" xfId="0" applyBorder="1" applyFont="1"/>
    <xf borderId="0" fillId="0" fontId="12" numFmtId="0" xfId="0" applyAlignment="1" applyFont="1">
      <alignment horizontal="left"/>
    </xf>
    <xf borderId="127" fillId="0" fontId="12" numFmtId="0" xfId="0" applyAlignment="1" applyBorder="1" applyFont="1">
      <alignment horizontal="left"/>
    </xf>
    <xf borderId="138" fillId="0" fontId="12" numFmtId="0" xfId="0" applyAlignment="1" applyBorder="1" applyFont="1">
      <alignment horizontal="center"/>
    </xf>
    <xf borderId="140" fillId="0" fontId="12" numFmtId="0" xfId="0" applyAlignment="1" applyBorder="1" applyFont="1">
      <alignment horizontal="center"/>
    </xf>
    <xf borderId="0" fillId="0" fontId="9" numFmtId="0" xfId="0" applyAlignment="1" applyFont="1">
      <alignment horizontal="center"/>
    </xf>
    <xf borderId="136" fillId="0" fontId="9" numFmtId="0" xfId="0" applyAlignment="1" applyBorder="1" applyFont="1">
      <alignment horizontal="center"/>
    </xf>
    <xf borderId="143" fillId="0" fontId="9" numFmtId="0" xfId="0" applyAlignment="1" applyBorder="1" applyFont="1">
      <alignment horizontal="center"/>
    </xf>
    <xf borderId="144" fillId="0" fontId="3" numFmtId="0" xfId="0" applyBorder="1" applyFont="1"/>
    <xf borderId="145" fillId="0" fontId="3" numFmtId="0" xfId="0" applyBorder="1" applyFont="1"/>
    <xf borderId="137" fillId="0" fontId="9" numFmtId="0" xfId="0" applyAlignment="1" applyBorder="1" applyFont="1">
      <alignment horizontal="center"/>
    </xf>
    <xf borderId="142" fillId="0" fontId="9" numFmtId="0" xfId="0" applyAlignment="1" applyBorder="1" applyFont="1">
      <alignment horizontal="center"/>
    </xf>
    <xf borderId="0" fillId="0" fontId="8" numFmtId="0" xfId="0" applyAlignment="1" applyFont="1">
      <alignment horizontal="left"/>
    </xf>
    <xf borderId="137" fillId="0" fontId="8" numFmtId="9" xfId="0" applyAlignment="1" applyBorder="1" applyFont="1" applyNumberFormat="1">
      <alignment horizontal="center"/>
    </xf>
    <xf borderId="142" fillId="0" fontId="8" numFmtId="9" xfId="0" applyAlignment="1" applyBorder="1" applyFont="1" applyNumberFormat="1">
      <alignment horizontal="center"/>
    </xf>
    <xf borderId="132" fillId="0" fontId="9" numFmtId="167" xfId="0" applyAlignment="1" applyBorder="1" applyFont="1" applyNumberFormat="1">
      <alignment horizontal="center"/>
    </xf>
    <xf borderId="132" fillId="0" fontId="9" numFmtId="9" xfId="0" applyAlignment="1" applyBorder="1" applyFont="1" applyNumberFormat="1">
      <alignment horizontal="center"/>
    </xf>
    <xf borderId="133" fillId="0" fontId="9" numFmtId="9" xfId="0" applyAlignment="1" applyBorder="1" applyFont="1" applyNumberFormat="1">
      <alignment horizontal="center"/>
    </xf>
    <xf borderId="0" fillId="0" fontId="9" numFmtId="1" xfId="0" applyAlignment="1" applyFont="1" applyNumberFormat="1">
      <alignment horizontal="center"/>
    </xf>
    <xf borderId="9" fillId="0" fontId="25" numFmtId="0" xfId="0" applyAlignment="1" applyBorder="1" applyFont="1">
      <alignment horizontal="center"/>
    </xf>
    <xf borderId="9" fillId="0" fontId="8" numFmtId="167" xfId="0" applyAlignment="1" applyBorder="1" applyFont="1" applyNumberFormat="1">
      <alignment horizontal="center"/>
    </xf>
    <xf borderId="9" fillId="0" fontId="5" numFmtId="0" xfId="0" applyBorder="1" applyFont="1"/>
    <xf borderId="9" fillId="0" fontId="5" numFmtId="166" xfId="0" applyAlignment="1" applyBorder="1" applyFont="1" applyNumberFormat="1">
      <alignment horizontal="center"/>
    </xf>
    <xf borderId="0" fillId="0" fontId="9" numFmtId="165" xfId="0" applyFont="1" applyNumberFormat="1"/>
    <xf borderId="146" fillId="0" fontId="12" numFmtId="0" xfId="0" applyAlignment="1" applyBorder="1" applyFont="1">
      <alignment horizontal="center"/>
    </xf>
    <xf borderId="139" fillId="0" fontId="12" numFmtId="0" xfId="0" applyAlignment="1" applyBorder="1" applyFont="1">
      <alignment horizontal="center"/>
    </xf>
    <xf borderId="130" fillId="0" fontId="12" numFmtId="0" xfId="0" applyAlignment="1" applyBorder="1" applyFont="1">
      <alignment horizontal="center"/>
    </xf>
    <xf borderId="135" fillId="0" fontId="8" numFmtId="167" xfId="0" applyAlignment="1" applyBorder="1" applyFont="1" applyNumberFormat="1">
      <alignment horizontal="center"/>
    </xf>
    <xf borderId="142" fillId="0" fontId="8" numFmtId="167" xfId="0" applyAlignment="1" applyBorder="1" applyFont="1" applyNumberFormat="1">
      <alignment horizontal="center"/>
    </xf>
    <xf borderId="137" fillId="19" fontId="8" numFmtId="167" xfId="0" applyAlignment="1" applyBorder="1" applyFont="1" applyNumberFormat="1">
      <alignment horizontal="center"/>
    </xf>
    <xf borderId="147" fillId="0" fontId="8" numFmtId="0" xfId="0" applyBorder="1" applyFont="1"/>
    <xf borderId="148" fillId="0" fontId="8" numFmtId="164" xfId="0" applyAlignment="1" applyBorder="1" applyFont="1" applyNumberFormat="1">
      <alignment horizontal="center"/>
    </xf>
    <xf borderId="149" fillId="0" fontId="8" numFmtId="164" xfId="0" applyBorder="1" applyFont="1" applyNumberFormat="1"/>
    <xf borderId="147" fillId="0" fontId="9" numFmtId="0" xfId="0" applyBorder="1" applyFont="1"/>
    <xf borderId="148" fillId="0" fontId="8" numFmtId="10" xfId="0" applyAlignment="1" applyBorder="1" applyFont="1" applyNumberFormat="1">
      <alignment horizontal="center"/>
    </xf>
    <xf borderId="132" fillId="0" fontId="8" numFmtId="10" xfId="0" applyAlignment="1" applyBorder="1" applyFont="1" applyNumberFormat="1">
      <alignment horizontal="center"/>
    </xf>
    <xf borderId="150" fillId="0" fontId="8" numFmtId="0" xfId="0" applyBorder="1" applyFont="1"/>
    <xf borderId="151" fillId="0" fontId="9" numFmtId="0" xfId="0" applyAlignment="1" applyBorder="1" applyFont="1">
      <alignment horizontal="center"/>
    </xf>
    <xf borderId="152" fillId="0" fontId="9" numFmtId="0" xfId="0" applyAlignment="1" applyBorder="1" applyFont="1">
      <alignment horizontal="center"/>
    </xf>
    <xf borderId="153" fillId="0" fontId="9" numFmtId="0" xfId="0" applyAlignment="1" applyBorder="1" applyFont="1">
      <alignment horizontal="center"/>
    </xf>
    <xf borderId="154" fillId="0" fontId="9" numFmtId="0" xfId="0" applyAlignment="1" applyBorder="1" applyFont="1">
      <alignment horizontal="center"/>
    </xf>
    <xf borderId="132" fillId="0" fontId="8" numFmtId="0" xfId="0" applyAlignment="1" applyBorder="1" applyFont="1">
      <alignment horizontal="center"/>
    </xf>
    <xf borderId="155" fillId="0" fontId="8" numFmtId="0" xfId="0" applyAlignment="1" applyBorder="1" applyFont="1">
      <alignment horizontal="center"/>
    </xf>
    <xf borderId="156" fillId="0" fontId="8" numFmtId="0" xfId="0" applyBorder="1" applyFont="1"/>
    <xf borderId="154" fillId="19" fontId="8" numFmtId="167" xfId="0" applyAlignment="1" applyBorder="1" applyFont="1" applyNumberFormat="1">
      <alignment horizontal="center"/>
    </xf>
    <xf borderId="153" fillId="0" fontId="8" numFmtId="0" xfId="0" applyBorder="1" applyFont="1"/>
    <xf borderId="154" fillId="0" fontId="8" numFmtId="167" xfId="0" applyAlignment="1" applyBorder="1" applyFont="1" applyNumberFormat="1">
      <alignment horizontal="center"/>
    </xf>
    <xf borderId="154" fillId="0" fontId="8" numFmtId="167" xfId="0" applyBorder="1" applyFont="1" applyNumberFormat="1"/>
    <xf borderId="157" fillId="0" fontId="9" numFmtId="0" xfId="0" applyBorder="1" applyFont="1"/>
    <xf borderId="158" fillId="0" fontId="8" numFmtId="167" xfId="0" applyAlignment="1" applyBorder="1" applyFont="1" applyNumberFormat="1">
      <alignment horizontal="center"/>
    </xf>
    <xf borderId="159" fillId="19" fontId="8" numFmtId="167" xfId="0" applyAlignment="1" applyBorder="1" applyFont="1" applyNumberFormat="1">
      <alignment horizontal="center"/>
    </xf>
    <xf borderId="0" fillId="0" fontId="8" numFmtId="169" xfId="0" applyAlignment="1" applyFont="1" applyNumberFormat="1">
      <alignment horizontal="center"/>
    </xf>
    <xf borderId="150" fillId="0" fontId="9" numFmtId="0" xfId="0" applyBorder="1" applyFont="1"/>
    <xf borderId="151" fillId="0" fontId="9" numFmtId="169" xfId="0" applyAlignment="1" applyBorder="1" applyFont="1" applyNumberFormat="1">
      <alignment horizontal="center"/>
    </xf>
    <xf borderId="152" fillId="0" fontId="9" numFmtId="169" xfId="0" applyAlignment="1" applyBorder="1" applyFont="1" applyNumberFormat="1">
      <alignment horizontal="center"/>
    </xf>
    <xf borderId="0" fillId="0" fontId="9" numFmtId="0" xfId="0" applyAlignment="1" applyFont="1">
      <alignment horizontal="center" shrinkToFit="0" vertical="center" wrapText="1"/>
    </xf>
    <xf borderId="160" fillId="0" fontId="9" numFmtId="0" xfId="0" applyBorder="1" applyFont="1"/>
    <xf borderId="155" fillId="0" fontId="9" numFmtId="0" xfId="0" applyAlignment="1" applyBorder="1" applyFont="1">
      <alignment horizontal="center"/>
    </xf>
    <xf borderId="156" fillId="0" fontId="9" numFmtId="0" xfId="0" applyBorder="1" applyFont="1"/>
    <xf borderId="161" fillId="0" fontId="8" numFmtId="167" xfId="0" applyAlignment="1" applyBorder="1" applyFont="1" applyNumberFormat="1">
      <alignment horizontal="center"/>
    </xf>
    <xf borderId="153" fillId="0" fontId="9" numFmtId="0" xfId="0" applyBorder="1" applyFont="1"/>
    <xf borderId="23" fillId="19" fontId="8" numFmtId="169" xfId="0" applyAlignment="1" applyBorder="1" applyFont="1" applyNumberFormat="1">
      <alignment horizontal="left"/>
    </xf>
    <xf borderId="162" fillId="0" fontId="9" numFmtId="0" xfId="0" applyBorder="1" applyFont="1"/>
    <xf borderId="148" fillId="0" fontId="8" numFmtId="167" xfId="0" applyAlignment="1" applyBorder="1" applyFont="1" applyNumberFormat="1">
      <alignment horizontal="center"/>
    </xf>
    <xf borderId="163" fillId="0" fontId="8" numFmtId="167" xfId="0" applyAlignment="1" applyBorder="1" applyFont="1" applyNumberFormat="1">
      <alignment horizontal="center"/>
    </xf>
    <xf borderId="23" fillId="12" fontId="8" numFmtId="169" xfId="0" applyBorder="1" applyFont="1" applyNumberFormat="1"/>
    <xf borderId="148" fillId="0" fontId="8" numFmtId="172" xfId="0" applyAlignment="1" applyBorder="1" applyFont="1" applyNumberFormat="1">
      <alignment horizontal="center"/>
    </xf>
    <xf borderId="163" fillId="0" fontId="8" numFmtId="172" xfId="0" applyAlignment="1" applyBorder="1" applyFont="1" applyNumberFormat="1">
      <alignment horizontal="center"/>
    </xf>
    <xf borderId="158" fillId="0" fontId="8" numFmtId="172" xfId="0" applyAlignment="1" applyBorder="1" applyFont="1" applyNumberFormat="1">
      <alignment horizontal="center"/>
    </xf>
    <xf borderId="159" fillId="0" fontId="8" numFmtId="172" xfId="0" applyAlignment="1" applyBorder="1" applyFont="1" applyNumberFormat="1">
      <alignment horizontal="center"/>
    </xf>
    <xf borderId="150" fillId="0" fontId="9" numFmtId="0" xfId="0" applyAlignment="1" applyBorder="1" applyFont="1">
      <alignment horizontal="center"/>
    </xf>
    <xf borderId="160" fillId="0" fontId="9" numFmtId="0" xfId="0" applyAlignment="1" applyBorder="1" applyFont="1">
      <alignment horizontal="center"/>
    </xf>
    <xf borderId="164" fillId="0" fontId="8" numFmtId="0" xfId="0" applyBorder="1" applyFont="1"/>
    <xf borderId="138" fillId="0" fontId="8" numFmtId="167" xfId="0" applyAlignment="1" applyBorder="1" applyFont="1" applyNumberFormat="1">
      <alignment horizontal="center"/>
    </xf>
    <xf borderId="165" fillId="0" fontId="8" numFmtId="167" xfId="0" applyAlignment="1" applyBorder="1" applyFont="1" applyNumberFormat="1">
      <alignment horizontal="center"/>
    </xf>
    <xf borderId="154" fillId="0" fontId="8" numFmtId="164" xfId="0" applyBorder="1" applyFont="1" applyNumberFormat="1"/>
    <xf borderId="154" fillId="0" fontId="8" numFmtId="9" xfId="0" applyAlignment="1" applyBorder="1" applyFont="1" applyNumberFormat="1">
      <alignment horizontal="center"/>
    </xf>
    <xf borderId="158" fillId="0" fontId="8" numFmtId="9" xfId="0" applyAlignment="1" applyBorder="1" applyFont="1" applyNumberFormat="1">
      <alignment horizontal="center"/>
    </xf>
    <xf borderId="159" fillId="0" fontId="8" numFmtId="9" xfId="0" applyAlignment="1" applyBorder="1" applyFont="1" applyNumberFormat="1">
      <alignment horizontal="center"/>
    </xf>
    <xf borderId="151" fillId="19" fontId="9" numFmtId="0" xfId="0" applyAlignment="1" applyBorder="1" applyFont="1">
      <alignment horizontal="center"/>
    </xf>
    <xf borderId="150" fillId="0" fontId="12" numFmtId="0" xfId="0" applyAlignment="1" applyBorder="1" applyFont="1">
      <alignment horizontal="left"/>
    </xf>
    <xf borderId="151" fillId="0" fontId="12" numFmtId="0" xfId="0" applyAlignment="1" applyBorder="1" applyFont="1">
      <alignment horizontal="center"/>
    </xf>
    <xf borderId="152" fillId="0" fontId="12" numFmtId="0" xfId="0" applyAlignment="1" applyBorder="1" applyFont="1">
      <alignment horizontal="center"/>
    </xf>
    <xf borderId="137" fillId="0" fontId="8" numFmtId="173" xfId="0" applyAlignment="1" applyBorder="1" applyFont="1" applyNumberFormat="1">
      <alignment horizontal="center"/>
    </xf>
    <xf borderId="154" fillId="0" fontId="8" numFmtId="173" xfId="0" applyAlignment="1" applyBorder="1" applyFont="1" applyNumberFormat="1">
      <alignment horizontal="center"/>
    </xf>
    <xf borderId="137" fillId="0" fontId="26" numFmtId="167" xfId="0" applyAlignment="1" applyBorder="1" applyFont="1" applyNumberFormat="1">
      <alignment horizontal="center"/>
    </xf>
    <xf borderId="154" fillId="0" fontId="26" numFmtId="167" xfId="0" applyAlignment="1" applyBorder="1" applyFont="1" applyNumberFormat="1">
      <alignment horizontal="center"/>
    </xf>
    <xf borderId="153" fillId="0" fontId="8" numFmtId="0" xfId="0" applyAlignment="1" applyBorder="1" applyFont="1">
      <alignment horizontal="left"/>
    </xf>
    <xf borderId="137" fillId="19" fontId="9" numFmtId="167" xfId="0" applyAlignment="1" applyBorder="1" applyFont="1" applyNumberFormat="1">
      <alignment horizontal="center"/>
    </xf>
    <xf borderId="154" fillId="19" fontId="9" numFmtId="167" xfId="0" applyAlignment="1" applyBorder="1" applyFont="1" applyNumberFormat="1">
      <alignment horizontal="center"/>
    </xf>
    <xf borderId="137" fillId="0" fontId="8" numFmtId="3" xfId="0" applyAlignment="1" applyBorder="1" applyFont="1" applyNumberFormat="1">
      <alignment horizontal="right"/>
    </xf>
    <xf borderId="154" fillId="0" fontId="8" numFmtId="3" xfId="0" applyAlignment="1" applyBorder="1" applyFont="1" applyNumberFormat="1">
      <alignment horizontal="right"/>
    </xf>
    <xf borderId="154" fillId="0" fontId="9" numFmtId="167" xfId="0" applyAlignment="1" applyBorder="1" applyFont="1" applyNumberFormat="1">
      <alignment horizontal="center"/>
    </xf>
    <xf borderId="153" fillId="0" fontId="9" numFmtId="0" xfId="0" applyAlignment="1" applyBorder="1" applyFont="1">
      <alignment horizontal="left"/>
    </xf>
    <xf borderId="137" fillId="0" fontId="8" numFmtId="9" xfId="0" applyBorder="1" applyFont="1" applyNumberFormat="1"/>
    <xf borderId="154" fillId="0" fontId="8" numFmtId="9" xfId="0" applyBorder="1" applyFont="1" applyNumberFormat="1"/>
    <xf borderId="137" fillId="0" fontId="8" numFmtId="165" xfId="0" applyBorder="1" applyFont="1" applyNumberFormat="1"/>
    <xf borderId="154" fillId="0" fontId="8" numFmtId="165" xfId="0" applyBorder="1" applyFont="1" applyNumberFormat="1"/>
    <xf borderId="158" fillId="0" fontId="8" numFmtId="10" xfId="0" applyBorder="1" applyFont="1" applyNumberFormat="1"/>
    <xf borderId="159" fillId="0" fontId="8" numFmtId="10" xfId="0" applyBorder="1" applyFont="1" applyNumberFormat="1"/>
    <xf borderId="0" fillId="0" fontId="12" numFmtId="0" xfId="0" applyFont="1"/>
    <xf borderId="166" fillId="0" fontId="8" numFmtId="0" xfId="0" applyBorder="1" applyFont="1"/>
    <xf borderId="166" fillId="19" fontId="8" numFmtId="0" xfId="0" applyBorder="1" applyFont="1"/>
    <xf borderId="166" fillId="0" fontId="8" numFmtId="165" xfId="0" applyBorder="1" applyFont="1" applyNumberFormat="1"/>
    <xf borderId="166" fillId="0" fontId="8" numFmtId="167" xfId="0" applyBorder="1" applyFont="1" applyNumberFormat="1"/>
    <xf borderId="166" fillId="19" fontId="8" numFmtId="3" xfId="0" applyBorder="1" applyFont="1" applyNumberFormat="1"/>
    <xf borderId="166" fillId="19" fontId="8" numFmtId="173" xfId="0" applyBorder="1" applyFont="1" applyNumberFormat="1"/>
    <xf borderId="167" fillId="0" fontId="12" numFmtId="0" xfId="0" applyAlignment="1" applyBorder="1" applyFont="1">
      <alignment horizontal="center"/>
    </xf>
    <xf borderId="168" fillId="0" fontId="12" numFmtId="0" xfId="0" applyAlignment="1" applyBorder="1" applyFont="1">
      <alignment horizontal="center"/>
    </xf>
    <xf borderId="169" fillId="0" fontId="12" numFmtId="0" xfId="0" applyAlignment="1" applyBorder="1" applyFont="1">
      <alignment horizontal="center"/>
    </xf>
    <xf borderId="170" fillId="0" fontId="9" numFmtId="0" xfId="0" applyBorder="1" applyFont="1"/>
    <xf borderId="170" fillId="0" fontId="8" numFmtId="0" xfId="0" applyBorder="1" applyFont="1"/>
    <xf borderId="163" fillId="0" fontId="8" numFmtId="164" xfId="0" applyBorder="1" applyFont="1" applyNumberFormat="1"/>
    <xf borderId="171" fillId="0" fontId="9" numFmtId="0" xfId="0" applyBorder="1" applyFont="1"/>
    <xf borderId="158" fillId="0" fontId="9" numFmtId="167" xfId="0" applyAlignment="1" applyBorder="1" applyFont="1" applyNumberFormat="1">
      <alignment horizontal="center"/>
    </xf>
    <xf borderId="159" fillId="0" fontId="9" numFmtId="167" xfId="0" applyAlignment="1" applyBorder="1" applyFont="1" applyNumberFormat="1">
      <alignment horizontal="center"/>
    </xf>
    <xf borderId="0" fillId="0" fontId="8" numFmtId="174" xfId="0" applyFont="1" applyNumberFormat="1"/>
    <xf borderId="132" fillId="0" fontId="9" numFmtId="0" xfId="0" applyAlignment="1" applyBorder="1" applyFont="1">
      <alignment horizontal="center" shrinkToFit="0" wrapText="1"/>
    </xf>
    <xf borderId="172" fillId="0" fontId="9" numFmtId="0" xfId="0" applyAlignment="1" applyBorder="1" applyFont="1">
      <alignment horizontal="center"/>
    </xf>
    <xf borderId="173" fillId="0" fontId="9" numFmtId="0" xfId="0" applyBorder="1" applyFont="1"/>
    <xf borderId="174" fillId="0" fontId="8" numFmtId="167" xfId="0" applyAlignment="1" applyBorder="1" applyFont="1" applyNumberFormat="1">
      <alignment horizontal="center"/>
    </xf>
    <xf borderId="141" fillId="0" fontId="8" numFmtId="167" xfId="0" applyAlignment="1" applyBorder="1" applyFont="1" applyNumberFormat="1">
      <alignment horizontal="center"/>
    </xf>
    <xf borderId="173" fillId="0" fontId="8" numFmtId="0" xfId="0" applyBorder="1" applyFont="1"/>
    <xf borderId="137" fillId="0" fontId="0" numFmtId="167" xfId="0" applyAlignment="1" applyBorder="1" applyFont="1" applyNumberFormat="1">
      <alignment horizontal="center"/>
    </xf>
    <xf borderId="143" fillId="0" fontId="8" numFmtId="167" xfId="0" applyAlignment="1" applyBorder="1" applyFont="1" applyNumberFormat="1">
      <alignment horizontal="center"/>
    </xf>
    <xf borderId="142" fillId="0" fontId="0" numFmtId="167" xfId="0" applyAlignment="1" applyBorder="1" applyFont="1" applyNumberFormat="1">
      <alignment horizontal="center"/>
    </xf>
    <xf borderId="137" fillId="19" fontId="0" numFmtId="167" xfId="0" applyAlignment="1" applyBorder="1" applyFont="1" applyNumberFormat="1">
      <alignment horizontal="center"/>
    </xf>
    <xf borderId="23" fillId="15" fontId="8" numFmtId="0" xfId="0" applyBorder="1" applyFont="1"/>
    <xf borderId="142" fillId="0" fontId="9" numFmtId="167" xfId="0" applyAlignment="1" applyBorder="1" applyFont="1" applyNumberFormat="1">
      <alignment horizontal="center"/>
    </xf>
    <xf borderId="142" fillId="19" fontId="8" numFmtId="167" xfId="0" applyAlignment="1" applyBorder="1" applyFont="1" applyNumberFormat="1">
      <alignment horizontal="center"/>
    </xf>
    <xf borderId="175" fillId="0" fontId="9" numFmtId="0" xfId="0" applyBorder="1" applyFont="1"/>
    <xf borderId="176" fillId="0" fontId="9" numFmtId="0" xfId="0" applyBorder="1" applyFont="1"/>
    <xf borderId="167" fillId="0" fontId="12" numFmtId="0" xfId="0" applyAlignment="1" applyBorder="1" applyFont="1">
      <alignment horizontal="left"/>
    </xf>
    <xf borderId="177" fillId="0" fontId="12" numFmtId="0" xfId="0" applyAlignment="1" applyBorder="1" applyFont="1">
      <alignment horizontal="left"/>
    </xf>
    <xf borderId="173" fillId="0" fontId="12" numFmtId="0" xfId="0" applyAlignment="1" applyBorder="1" applyFont="1">
      <alignment horizontal="center"/>
    </xf>
    <xf borderId="178" fillId="0" fontId="12" numFmtId="0" xfId="0" applyAlignment="1" applyBorder="1" applyFont="1">
      <alignment horizontal="center"/>
    </xf>
    <xf borderId="162" fillId="0" fontId="9" numFmtId="0" xfId="0" applyAlignment="1" applyBorder="1" applyFont="1">
      <alignment horizontal="center"/>
    </xf>
    <xf borderId="179" fillId="0" fontId="9" numFmtId="0" xfId="0" applyBorder="1" applyFont="1"/>
    <xf borderId="180" fillId="0" fontId="8" numFmtId="167" xfId="0" applyAlignment="1" applyBorder="1" applyFont="1" applyNumberFormat="1">
      <alignment horizontal="center"/>
    </xf>
    <xf borderId="181" fillId="0" fontId="8" numFmtId="0" xfId="0" applyBorder="1" applyFont="1"/>
    <xf borderId="144" fillId="0" fontId="8" numFmtId="167" xfId="0" applyAlignment="1" applyBorder="1" applyFont="1" applyNumberFormat="1">
      <alignment horizontal="center"/>
    </xf>
    <xf borderId="181" fillId="0" fontId="9" numFmtId="0" xfId="0" applyBorder="1" applyFont="1"/>
    <xf borderId="23" fillId="3" fontId="27" numFmtId="167" xfId="0" applyAlignment="1" applyBorder="1" applyFont="1" applyNumberFormat="1">
      <alignment horizontal="left"/>
    </xf>
    <xf borderId="181" fillId="0" fontId="9" numFmtId="0" xfId="0" applyAlignment="1" applyBorder="1" applyFont="1">
      <alignment horizontal="left"/>
    </xf>
    <xf borderId="182" fillId="0" fontId="9" numFmtId="0" xfId="0" applyBorder="1" applyFont="1"/>
    <xf borderId="183" fillId="0" fontId="8" numFmtId="167" xfId="0" applyAlignment="1" applyBorder="1" applyFont="1" applyNumberFormat="1">
      <alignment horizontal="center"/>
    </xf>
    <xf borderId="146" fillId="0" fontId="12" numFmtId="0" xfId="0" applyAlignment="1" applyBorder="1" applyFont="1">
      <alignment horizontal="left"/>
    </xf>
    <xf borderId="147" fillId="0" fontId="9" numFmtId="0" xfId="0" applyAlignment="1" applyBorder="1" applyFont="1">
      <alignment horizontal="center"/>
    </xf>
    <xf borderId="172" fillId="0" fontId="9" numFmtId="0" xfId="0" applyAlignment="1" applyBorder="1" applyFont="1">
      <alignment horizontal="center" shrinkToFit="0" wrapText="1"/>
    </xf>
    <xf borderId="133" fillId="0" fontId="9" numFmtId="0" xfId="0" applyAlignment="1" applyBorder="1" applyFont="1">
      <alignment horizontal="center" shrinkToFit="0" wrapText="1"/>
    </xf>
    <xf borderId="184" fillId="0" fontId="9" numFmtId="0" xfId="0" applyAlignment="1" applyBorder="1" applyFont="1">
      <alignment horizontal="center"/>
    </xf>
    <xf borderId="185" fillId="0" fontId="9" numFmtId="0" xfId="0" applyAlignment="1" applyBorder="1" applyFont="1">
      <alignment horizontal="center"/>
    </xf>
    <xf borderId="186" fillId="0" fontId="9" numFmtId="0" xfId="0" applyAlignment="1" applyBorder="1" applyFont="1">
      <alignment horizontal="center"/>
    </xf>
    <xf borderId="187" fillId="0" fontId="8" numFmtId="167" xfId="0" applyAlignment="1" applyBorder="1" applyFont="1" applyNumberFormat="1">
      <alignment horizontal="center"/>
    </xf>
    <xf borderId="133" fillId="0" fontId="8" numFmtId="167" xfId="0" applyAlignment="1" applyBorder="1" applyFont="1" applyNumberFormat="1">
      <alignment horizontal="center"/>
    </xf>
    <xf borderId="107" fillId="0" fontId="8" numFmtId="167" xfId="0" applyBorder="1" applyFont="1" applyNumberFormat="1"/>
    <xf borderId="107" fillId="0" fontId="8" numFmtId="175" xfId="0" applyBorder="1" applyFont="1" applyNumberFormat="1"/>
    <xf borderId="107" fillId="0" fontId="8" numFmtId="168" xfId="0" applyBorder="1" applyFont="1" applyNumberFormat="1"/>
    <xf borderId="108" fillId="25" fontId="24" numFmtId="0" xfId="0" applyAlignment="1" applyBorder="1" applyFont="1">
      <alignment horizontal="center" vertical="center"/>
    </xf>
    <xf borderId="188" fillId="25" fontId="24" numFmtId="0" xfId="0" applyBorder="1" applyFont="1"/>
    <xf borderId="188" fillId="0" fontId="8" numFmtId="0" xfId="0" applyAlignment="1" applyBorder="1" applyFont="1">
      <alignment horizontal="center"/>
    </xf>
    <xf borderId="189" fillId="0" fontId="12" numFmtId="0" xfId="0" applyAlignment="1" applyBorder="1" applyFont="1">
      <alignment horizontal="left"/>
    </xf>
    <xf borderId="190" fillId="0" fontId="12" numFmtId="0" xfId="0" applyAlignment="1" applyBorder="1" applyFont="1">
      <alignment horizontal="left"/>
    </xf>
    <xf borderId="191" fillId="0" fontId="12" numFmtId="0" xfId="0" applyAlignment="1" applyBorder="1" applyFont="1">
      <alignment horizontal="left"/>
    </xf>
    <xf borderId="192" fillId="0" fontId="9" numFmtId="0" xfId="0" applyAlignment="1" applyBorder="1" applyFont="1">
      <alignment horizontal="center"/>
    </xf>
    <xf borderId="193" fillId="0" fontId="9" numFmtId="0" xfId="0" applyAlignment="1" applyBorder="1" applyFont="1">
      <alignment horizontal="center"/>
    </xf>
    <xf borderId="194" fillId="0" fontId="9" numFmtId="0" xfId="0" applyAlignment="1" applyBorder="1" applyFont="1">
      <alignment horizontal="center"/>
    </xf>
    <xf borderId="195" fillId="0" fontId="9" numFmtId="0" xfId="0" applyAlignment="1" applyBorder="1" applyFont="1">
      <alignment horizontal="center"/>
    </xf>
    <xf borderId="196" fillId="0" fontId="9" numFmtId="0" xfId="0" applyAlignment="1" applyBorder="1" applyFont="1">
      <alignment horizontal="center"/>
    </xf>
    <xf borderId="197" fillId="0" fontId="9" numFmtId="0" xfId="0" applyAlignment="1" applyBorder="1" applyFont="1">
      <alignment horizontal="center"/>
    </xf>
    <xf borderId="127" fillId="0" fontId="8" numFmtId="176" xfId="0" applyBorder="1" applyFont="1" applyNumberFormat="1"/>
    <xf borderId="138" fillId="0" fontId="8" numFmtId="9" xfId="0" applyBorder="1" applyFont="1" applyNumberFormat="1"/>
    <xf borderId="140" fillId="0" fontId="8" numFmtId="167" xfId="0" applyAlignment="1" applyBorder="1" applyFont="1" applyNumberFormat="1">
      <alignment horizontal="center"/>
    </xf>
    <xf borderId="136" fillId="0" fontId="8" numFmtId="176" xfId="0" applyBorder="1" applyFont="1" applyNumberFormat="1"/>
    <xf borderId="131" fillId="0" fontId="8" numFmtId="176" xfId="0" applyBorder="1" applyFont="1" applyNumberFormat="1"/>
    <xf borderId="132" fillId="0" fontId="8" numFmtId="167" xfId="0" applyAlignment="1" applyBorder="1" applyFont="1" applyNumberFormat="1">
      <alignment horizontal="center"/>
    </xf>
    <xf borderId="132" fillId="0" fontId="8" numFmtId="9" xfId="0" applyBorder="1" applyFont="1" applyNumberFormat="1"/>
    <xf borderId="149" fillId="0" fontId="8" numFmtId="167" xfId="0" applyAlignment="1" applyBorder="1" applyFont="1" applyNumberFormat="1">
      <alignment horizontal="center"/>
    </xf>
    <xf borderId="0" fillId="0" fontId="9" numFmtId="167" xfId="0" applyAlignment="1" applyFont="1" applyNumberFormat="1">
      <alignment horizontal="center"/>
    </xf>
    <xf borderId="107" fillId="0" fontId="9" numFmtId="167" xfId="0" applyAlignment="1" applyBorder="1" applyFont="1" applyNumberFormat="1">
      <alignment horizontal="center"/>
    </xf>
    <xf borderId="0" fillId="0" fontId="9" numFmtId="167" xfId="0" applyFont="1" applyNumberFormat="1"/>
    <xf borderId="0" fillId="0" fontId="8" numFmtId="177" xfId="0" applyFont="1" applyNumberFormat="1"/>
    <xf borderId="127" fillId="0" fontId="8" numFmtId="49" xfId="0" applyBorder="1" applyFont="1" applyNumberFormat="1"/>
    <xf borderId="136" fillId="0" fontId="8" numFmtId="49" xfId="0" applyBorder="1" applyFont="1" applyNumberFormat="1"/>
    <xf borderId="136" fillId="0" fontId="8" numFmtId="176" xfId="0" applyAlignment="1" applyBorder="1" applyFont="1" applyNumberFormat="1">
      <alignment horizontal="left"/>
    </xf>
    <xf borderId="131" fillId="0" fontId="9" numFmtId="0" xfId="0" applyAlignment="1" applyBorder="1" applyFont="1">
      <alignment horizontal="center"/>
    </xf>
    <xf borderId="127" fillId="0" fontId="8" numFmtId="0" xfId="0" applyBorder="1" applyFont="1"/>
    <xf borderId="0" fillId="0" fontId="8" numFmtId="176" xfId="0" applyFont="1" applyNumberFormat="1"/>
    <xf borderId="0" fillId="0" fontId="8" numFmtId="176" xfId="0" applyAlignment="1" applyFont="1" applyNumberFormat="1">
      <alignment horizontal="left"/>
    </xf>
    <xf borderId="23" fillId="28" fontId="8" numFmtId="0" xfId="0" applyBorder="1" applyFill="1" applyFont="1"/>
    <xf borderId="137" fillId="3" fontId="8" numFmtId="167" xfId="0" applyAlignment="1" applyBorder="1" applyFont="1" applyNumberFormat="1">
      <alignment horizontal="center"/>
    </xf>
    <xf borderId="198" fillId="19" fontId="8" numFmtId="167" xfId="0" applyAlignment="1" applyBorder="1" applyFont="1" applyNumberFormat="1">
      <alignment horizontal="center"/>
    </xf>
    <xf borderId="142" fillId="3" fontId="8" numFmtId="167" xfId="0" applyAlignment="1" applyBorder="1" applyFont="1" applyNumberFormat="1">
      <alignment horizontal="center"/>
    </xf>
    <xf borderId="0" fillId="0" fontId="8" numFmtId="178" xfId="0" applyFont="1" applyNumberFormat="1"/>
    <xf borderId="23" fillId="12" fontId="9" numFmtId="0" xfId="0" applyAlignment="1" applyBorder="1" applyFont="1">
      <alignment horizontal="center" shrinkToFit="0" wrapText="1"/>
    </xf>
    <xf borderId="23" fillId="29" fontId="8" numFmtId="0" xfId="0" applyBorder="1" applyFill="1" applyFont="1"/>
    <xf borderId="199" fillId="0" fontId="8" numFmtId="0" xfId="0" applyBorder="1" applyFont="1"/>
    <xf borderId="198" fillId="3" fontId="8" numFmtId="167" xfId="0" applyAlignment="1" applyBorder="1" applyFont="1" applyNumberFormat="1">
      <alignment horizontal="center"/>
    </xf>
    <xf borderId="141" fillId="0" fontId="9" numFmtId="167" xfId="0" applyAlignment="1" applyBorder="1" applyFont="1" applyNumberFormat="1">
      <alignment horizontal="center"/>
    </xf>
    <xf borderId="132" fillId="0" fontId="8" numFmtId="10" xfId="0" applyBorder="1" applyFont="1" applyNumberFormat="1"/>
    <xf borderId="23" fillId="15" fontId="12" numFmtId="0" xfId="0" applyBorder="1" applyFont="1"/>
    <xf borderId="166" fillId="19" fontId="8" numFmtId="179" xfId="0" applyBorder="1" applyFont="1" applyNumberFormat="1"/>
    <xf borderId="200" fillId="0" fontId="12" numFmtId="0" xfId="0" applyAlignment="1" applyBorder="1" applyFont="1">
      <alignment horizontal="left"/>
    </xf>
    <xf borderId="145" fillId="0" fontId="12" numFmtId="0" xfId="0" applyAlignment="1" applyBorder="1" applyFont="1">
      <alignment horizontal="center"/>
    </xf>
    <xf borderId="184" fillId="0" fontId="9" numFmtId="0" xfId="0" applyBorder="1" applyFont="1"/>
    <xf borderId="185" fillId="0" fontId="8" numFmtId="0" xfId="0" applyBorder="1" applyFont="1"/>
    <xf borderId="185" fillId="0" fontId="8" numFmtId="0" xfId="0" applyAlignment="1" applyBorder="1" applyFont="1">
      <alignment horizontal="left"/>
    </xf>
    <xf borderId="185" fillId="0" fontId="9" numFmtId="0" xfId="0" applyBorder="1" applyFont="1"/>
    <xf borderId="144" fillId="0" fontId="8" numFmtId="165" xfId="0" applyAlignment="1" applyBorder="1" applyFont="1" applyNumberFormat="1">
      <alignment horizontal="center"/>
    </xf>
    <xf borderId="185" fillId="0" fontId="9" numFmtId="0" xfId="0" applyAlignment="1" applyBorder="1" applyFont="1">
      <alignment horizontal="left"/>
    </xf>
    <xf borderId="201" fillId="3" fontId="8" numFmtId="167" xfId="0" applyAlignment="1" applyBorder="1" applyFont="1" applyNumberFormat="1">
      <alignment horizontal="center"/>
    </xf>
    <xf borderId="186" fillId="0" fontId="9" numFmtId="0" xfId="0" applyBorder="1" applyFont="1"/>
    <xf borderId="148" fillId="0" fontId="9" numFmtId="0" xfId="0" applyAlignment="1" applyBorder="1" applyFont="1">
      <alignment horizontal="center"/>
    </xf>
    <xf borderId="149" fillId="0" fontId="9" numFmtId="0" xfId="0" applyAlignment="1" applyBorder="1" applyFont="1">
      <alignment horizontal="center"/>
    </xf>
    <xf borderId="138" fillId="0" fontId="8" numFmtId="173" xfId="0" applyAlignment="1" applyBorder="1" applyFont="1" applyNumberFormat="1">
      <alignment horizontal="center"/>
    </xf>
    <xf borderId="137" fillId="0" fontId="8" numFmtId="173" xfId="0" applyBorder="1" applyFont="1" applyNumberFormat="1"/>
    <xf borderId="137" fillId="3" fontId="8" numFmtId="173" xfId="0" applyAlignment="1" applyBorder="1" applyFont="1" applyNumberFormat="1">
      <alignment horizontal="center"/>
    </xf>
    <xf borderId="142" fillId="0" fontId="8" numFmtId="173" xfId="0" applyAlignment="1" applyBorder="1" applyFont="1" applyNumberFormat="1">
      <alignment horizontal="center"/>
    </xf>
    <xf borderId="137" fillId="3" fontId="8" numFmtId="173" xfId="0" applyBorder="1" applyFont="1" applyNumberFormat="1"/>
    <xf borderId="142" fillId="0" fontId="8" numFmtId="173" xfId="0" applyBorder="1" applyFont="1" applyNumberFormat="1"/>
    <xf borderId="142" fillId="3" fontId="8" numFmtId="173" xfId="0" applyBorder="1" applyFont="1" applyNumberFormat="1"/>
    <xf borderId="0" fillId="0" fontId="8" numFmtId="173" xfId="0" applyFont="1" applyNumberFormat="1"/>
    <xf borderId="188" fillId="25" fontId="24" numFmtId="0" xfId="0" applyAlignment="1" applyBorder="1" applyFont="1">
      <alignment horizontal="center"/>
    </xf>
    <xf borderId="202" fillId="0" fontId="12" numFmtId="0" xfId="0" applyAlignment="1" applyBorder="1" applyFont="1">
      <alignment horizontal="center"/>
    </xf>
    <xf borderId="203" fillId="0" fontId="9" numFmtId="0" xfId="0" applyBorder="1" applyFont="1"/>
    <xf borderId="203" fillId="0" fontId="8" numFmtId="0" xfId="0" applyBorder="1" applyFont="1"/>
    <xf borderId="154" fillId="0" fontId="8" numFmtId="173" xfId="0" applyBorder="1" applyFont="1" applyNumberFormat="1"/>
    <xf borderId="137" fillId="0" fontId="8" numFmtId="171" xfId="0" applyAlignment="1" applyBorder="1" applyFont="1" applyNumberFormat="1">
      <alignment horizontal="center"/>
    </xf>
    <xf borderId="154" fillId="0" fontId="8" numFmtId="180" xfId="0" applyBorder="1" applyFont="1" applyNumberFormat="1"/>
    <xf borderId="0" fillId="0" fontId="8" numFmtId="181" xfId="0" applyFont="1" applyNumberFormat="1"/>
    <xf borderId="143" fillId="0" fontId="8" numFmtId="173" xfId="0" applyAlignment="1" applyBorder="1" applyFont="1" applyNumberFormat="1">
      <alignment horizontal="center"/>
    </xf>
    <xf borderId="154" fillId="3" fontId="8" numFmtId="167" xfId="0" applyAlignment="1" applyBorder="1" applyFont="1" applyNumberFormat="1">
      <alignment horizontal="center"/>
    </xf>
    <xf borderId="0" fillId="0" fontId="8" numFmtId="182" xfId="0" applyFont="1" applyNumberFormat="1"/>
    <xf borderId="0" fillId="0" fontId="8" numFmtId="183" xfId="0" applyFont="1" applyNumberFormat="1"/>
    <xf borderId="0" fillId="0" fontId="8" numFmtId="184" xfId="0" applyFont="1" applyNumberFormat="1"/>
    <xf borderId="158" fillId="0" fontId="8" numFmtId="167" xfId="0" applyBorder="1" applyFont="1" applyNumberFormat="1"/>
    <xf borderId="0" fillId="0" fontId="8" numFmtId="185" xfId="0" applyFont="1" applyNumberFormat="1"/>
    <xf borderId="0" fillId="0" fontId="8" numFmtId="186" xfId="0" applyFont="1" applyNumberFormat="1"/>
    <xf borderId="107" fillId="0" fontId="8" numFmtId="187" xfId="0" applyBorder="1" applyFont="1" applyNumberFormat="1"/>
    <xf borderId="0" fillId="0" fontId="9" numFmtId="0" xfId="0" applyAlignment="1" applyFont="1">
      <alignment horizontal="center" vertical="center"/>
    </xf>
    <xf borderId="107" fillId="0" fontId="8" numFmtId="9" xfId="0" applyBorder="1" applyFont="1" applyNumberFormat="1"/>
    <xf borderId="0" fillId="0" fontId="8" numFmtId="171" xfId="0" applyFont="1" applyNumberFormat="1"/>
    <xf borderId="0" fillId="0" fontId="8" numFmtId="0" xfId="0" applyAlignment="1" applyFont="1">
      <alignment shrinkToFit="0" vertical="center" wrapText="1"/>
    </xf>
    <xf borderId="0" fillId="0" fontId="8" numFmtId="164" xfId="0" applyAlignment="1" applyFont="1" applyNumberFormat="1">
      <alignment horizontal="center"/>
    </xf>
    <xf borderId="0" fillId="0" fontId="8" numFmtId="167" xfId="0" applyAlignment="1" applyFont="1" applyNumberFormat="1">
      <alignment shrinkToFit="0" vertical="center" wrapText="1"/>
    </xf>
    <xf borderId="0" fillId="0" fontId="28" numFmtId="0" xfId="0" applyFont="1"/>
    <xf borderId="0" fillId="0" fontId="8" numFmtId="1" xfId="0" applyAlignment="1" applyFont="1" applyNumberFormat="1">
      <alignment horizontal="center"/>
    </xf>
    <xf borderId="0" fillId="0" fontId="9" numFmtId="0" xfId="0" applyAlignment="1" applyFont="1">
      <alignment horizontal="left"/>
    </xf>
    <xf borderId="174" fillId="0" fontId="8" numFmtId="188" xfId="0" applyAlignment="1" applyBorder="1" applyFont="1" applyNumberFormat="1">
      <alignment horizontal="center"/>
    </xf>
    <xf borderId="108" fillId="25" fontId="24" numFmtId="0" xfId="0" applyAlignment="1" applyBorder="1" applyFont="1">
      <alignment horizontal="center"/>
    </xf>
    <xf borderId="143" fillId="0" fontId="8" numFmtId="188" xfId="0" applyAlignment="1" applyBorder="1" applyFont="1" applyNumberFormat="1">
      <alignment horizontal="center"/>
    </xf>
    <xf quotePrefix="1" borderId="23" fillId="3" fontId="0" numFmtId="0" xfId="0" applyBorder="1" applyFont="1"/>
    <xf borderId="172" fillId="0" fontId="8" numFmtId="189" xfId="0" applyAlignment="1" applyBorder="1" applyFont="1" applyNumberFormat="1">
      <alignment horizontal="center"/>
    </xf>
    <xf borderId="0" fillId="0" fontId="8" numFmtId="188" xfId="0" applyFont="1" applyNumberFormat="1"/>
    <xf borderId="23" fillId="19" fontId="8" numFmtId="190" xfId="0" applyBorder="1" applyFont="1" applyNumberFormat="1"/>
    <xf borderId="0" fillId="0" fontId="8" numFmtId="191" xfId="0" applyFont="1" applyNumberFormat="1"/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>
        <color rgb="FFFFFFFF"/>
      </font>
      <fill>
        <patternFill patternType="solid">
          <fgColor rgb="FF62A73B"/>
          <bgColor rgb="FF62A73B"/>
        </patternFill>
      </fill>
      <border/>
    </dxf>
    <dxf>
      <font>
        <color rgb="FFFFFFFF"/>
      </font>
      <fill>
        <patternFill patternType="solid">
          <fgColor rgb="FFED1C24"/>
          <bgColor rgb="FFED1C24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8" Type="http://schemas.openxmlformats.org/officeDocument/2006/relationships/worksheet" Target="worksheets/sheet15.xml"/><Relationship Id="rId5" Type="http://schemas.openxmlformats.org/officeDocument/2006/relationships/worksheet" Target="worksheets/sheet2.xml"/><Relationship Id="rId12" Type="http://schemas.openxmlformats.org/officeDocument/2006/relationships/worksheet" Target="worksheets/sheet9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15" Type="http://schemas.openxmlformats.org/officeDocument/2006/relationships/worksheet" Target="worksheets/sheet12.xml"/><Relationship Id="rId24" Type="http://schemas.openxmlformats.org/officeDocument/2006/relationships/worksheet" Target="worksheets/sheet21.xml"/><Relationship Id="rId11" Type="http://schemas.openxmlformats.org/officeDocument/2006/relationships/worksheet" Target="worksheets/sheet8.xml"/><Relationship Id="rId14" Type="http://schemas.openxmlformats.org/officeDocument/2006/relationships/worksheet" Target="worksheets/sheet11.xml"/><Relationship Id="rId7" Type="http://schemas.openxmlformats.org/officeDocument/2006/relationships/worksheet" Target="worksheets/sheet4.xml"/><Relationship Id="rId23" Type="http://schemas.openxmlformats.org/officeDocument/2006/relationships/worksheet" Target="worksheets/sheet20.xml"/><Relationship Id="rId21" Type="http://schemas.openxmlformats.org/officeDocument/2006/relationships/worksheet" Target="worksheets/sheet18.xml"/><Relationship Id="rId2" Type="http://schemas.openxmlformats.org/officeDocument/2006/relationships/styles" Target="styles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13" Type="http://schemas.openxmlformats.org/officeDocument/2006/relationships/worksheet" Target="worksheets/sheet10.xml"/><Relationship Id="rId8" Type="http://schemas.openxmlformats.org/officeDocument/2006/relationships/worksheet" Target="worksheets/sheet5.xml"/><Relationship Id="rId17" Type="http://schemas.openxmlformats.org/officeDocument/2006/relationships/worksheet" Target="worksheets/sheet14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3" Type="http://schemas.openxmlformats.org/officeDocument/2006/relationships/sharedStrings" Target="sharedStrings.xml"/><Relationship Id="rId6" Type="http://schemas.openxmlformats.org/officeDocument/2006/relationships/worksheet" Target="worksheets/sheet3.xml"/><Relationship Id="rId22" Type="http://schemas.openxmlformats.org/officeDocument/2006/relationships/worksheet" Target="worksheets/sheet19.xml"/><Relationship Id="rId1" Type="http://schemas.openxmlformats.org/officeDocument/2006/relationships/theme" Target="theme/theme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/>
            </a:pPr>
            <a:r>
              <a:t>PUNTO DE EQUILIBRIO AÑO 5</a:t>
            </a:r>
          </a:p>
        </c:rich>
      </c:tx>
      <c:overlay val="0"/>
    </c:title>
    <c:plotArea>
      <c:layout/>
      <c:lineChart>
        <c:ser>
          <c:idx val="0"/>
          <c:order val="0"/>
          <c:spPr>
            <a:ln cmpd="sng" w="19050">
              <a:solidFill>
                <a:srgbClr val="3366CC"/>
              </a:solidFill>
              <a:prstDash val="solid"/>
            </a:ln>
          </c:spPr>
          <c:marker>
            <c:symbol val="none"/>
          </c:marker>
          <c:cat>
            <c:strRef>
              <c:f>'E-Costos'!$B$168:$B$199</c:f>
            </c:strRef>
          </c:cat>
          <c:val>
            <c:numRef>
              <c:f>'E-Costos'!$C$169:$C$199</c:f>
            </c:numRef>
          </c:val>
          <c:smooth val="0"/>
        </c:ser>
        <c:ser>
          <c:idx val="1"/>
          <c:order val="1"/>
          <c:spPr>
            <a:ln cmpd="sng" w="19050">
              <a:solidFill>
                <a:srgbClr val="DC3912"/>
              </a:solidFill>
              <a:prstDash val="solid"/>
            </a:ln>
          </c:spPr>
          <c:marker>
            <c:symbol val="none"/>
          </c:marker>
          <c:cat>
            <c:strRef>
              <c:f>'E-Costos'!$B$168:$B$199</c:f>
            </c:strRef>
          </c:cat>
          <c:val>
            <c:numRef>
              <c:f>'E-Costos'!$D$169:$D$199</c:f>
            </c:numRef>
          </c:val>
          <c:smooth val="0"/>
        </c:ser>
        <c:ser>
          <c:idx val="2"/>
          <c:order val="2"/>
          <c:spPr>
            <a:ln cmpd="sng" w="1905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'E-Costos'!$B$168:$B$199</c:f>
            </c:strRef>
          </c:cat>
          <c:val>
            <c:numRef>
              <c:f>'E-Costos'!$E$169:$E$199</c:f>
            </c:numRef>
          </c:val>
          <c:smooth val="0"/>
        </c:ser>
        <c:ser>
          <c:idx val="3"/>
          <c:order val="3"/>
          <c:spPr>
            <a:ln cmpd="sng" w="19050">
              <a:solidFill>
                <a:srgbClr val="109618"/>
              </a:solidFill>
              <a:prstDash val="solid"/>
            </a:ln>
          </c:spPr>
          <c:marker>
            <c:symbol val="none"/>
          </c:marker>
          <c:cat>
            <c:strRef>
              <c:f>'E-Costos'!$B$168:$B$199</c:f>
            </c:strRef>
          </c:cat>
          <c:val>
            <c:numRef>
              <c:f>'E-Costos'!$F$169:$F$199</c:f>
            </c:numRef>
          </c:val>
          <c:smooth val="0"/>
        </c:ser>
        <c:axId val="358048643"/>
        <c:axId val="645351599"/>
      </c:lineChart>
      <c:catAx>
        <c:axId val="358048643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/>
            </a:pPr>
          </a:p>
        </c:txPr>
        <c:crossAx val="645351599"/>
      </c:catAx>
      <c:valAx>
        <c:axId val="64535159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/>
            </a:pPr>
          </a:p>
        </c:txPr>
        <c:crossAx val="358048643"/>
      </c:valAx>
      <c:spPr>
        <a:solidFill>
          <a:srgbClr val="FFFFFF"/>
        </a:solidFill>
      </c:spPr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/>
            </a:pPr>
            <a:r>
              <a:t>PUNTO DE EQUILIBRIO AÑO 1</a:t>
            </a:r>
          </a:p>
        </c:rich>
      </c:tx>
      <c:overlay val="0"/>
    </c:title>
    <c:plotArea>
      <c:layout>
        <c:manualLayout>
          <c:xMode val="edge"/>
          <c:yMode val="edge"/>
          <c:x val="0.08645096056622852"/>
          <c:y val="0.13712509742147377"/>
          <c:w val="0.7942257684441301"/>
          <c:h val="0.7761881813713685"/>
        </c:manualLayout>
      </c:layout>
      <c:lineChart>
        <c:ser>
          <c:idx val="0"/>
          <c:order val="0"/>
          <c:tx>
            <c:strRef>
              <c:f>'E-Costos'!$C$139</c:f>
            </c:strRef>
          </c:tx>
          <c:spPr>
            <a:ln cmpd="sng" w="19050">
              <a:solidFill>
                <a:srgbClr val="3366CC"/>
              </a:solidFill>
              <a:prstDash val="solid"/>
            </a:ln>
          </c:spPr>
          <c:marker>
            <c:symbol val="none"/>
          </c:marker>
          <c:cat>
            <c:strRef>
              <c:f>'E-Costos'!$B$140:$B$164</c:f>
            </c:strRef>
          </c:cat>
          <c:val>
            <c:numRef>
              <c:f>'E-Costos'!$C$140:$C$164</c:f>
            </c:numRef>
          </c:val>
          <c:smooth val="0"/>
        </c:ser>
        <c:ser>
          <c:idx val="1"/>
          <c:order val="1"/>
          <c:tx>
            <c:strRef>
              <c:f>'E-Costos'!$D$139</c:f>
            </c:strRef>
          </c:tx>
          <c:spPr>
            <a:ln cmpd="sng" w="19050">
              <a:solidFill>
                <a:srgbClr val="DC3912"/>
              </a:solidFill>
              <a:prstDash val="solid"/>
            </a:ln>
          </c:spPr>
          <c:marker>
            <c:symbol val="none"/>
          </c:marker>
          <c:cat>
            <c:strRef>
              <c:f>'E-Costos'!$B$140:$B$164</c:f>
            </c:strRef>
          </c:cat>
          <c:val>
            <c:numRef>
              <c:f>'E-Costos'!$D$140:$D$164</c:f>
            </c:numRef>
          </c:val>
          <c:smooth val="0"/>
        </c:ser>
        <c:ser>
          <c:idx val="2"/>
          <c:order val="2"/>
          <c:tx>
            <c:strRef>
              <c:f>'E-Costos'!$E$139</c:f>
            </c:strRef>
          </c:tx>
          <c:spPr>
            <a:ln cmpd="sng" w="1905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'E-Costos'!$B$140:$B$164</c:f>
            </c:strRef>
          </c:cat>
          <c:val>
            <c:numRef>
              <c:f>'E-Costos'!$E$140:$E$164</c:f>
            </c:numRef>
          </c:val>
          <c:smooth val="0"/>
        </c:ser>
        <c:ser>
          <c:idx val="3"/>
          <c:order val="3"/>
          <c:tx>
            <c:strRef>
              <c:f>'E-Costos'!$F$139</c:f>
            </c:strRef>
          </c:tx>
          <c:spPr>
            <a:ln cmpd="sng" w="19050">
              <a:solidFill>
                <a:srgbClr val="109618"/>
              </a:solidFill>
              <a:prstDash val="solid"/>
            </a:ln>
          </c:spPr>
          <c:marker>
            <c:symbol val="none"/>
          </c:marker>
          <c:cat>
            <c:strRef>
              <c:f>'E-Costos'!$B$140:$B$164</c:f>
            </c:strRef>
          </c:cat>
          <c:val>
            <c:numRef>
              <c:f>'E-Costos'!$F$140:$F$164</c:f>
            </c:numRef>
          </c:val>
          <c:smooth val="0"/>
        </c:ser>
        <c:axId val="1989392189"/>
        <c:axId val="209580012"/>
      </c:lineChart>
      <c:catAx>
        <c:axId val="1989392189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/>
            </a:pPr>
          </a:p>
        </c:txPr>
        <c:crossAx val="209580012"/>
      </c:catAx>
      <c:valAx>
        <c:axId val="2095800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/>
            </a:pPr>
          </a:p>
        </c:txPr>
        <c:crossAx val="1989392189"/>
      </c:valAx>
      <c:spPr>
        <a:solidFill>
          <a:srgbClr val="FFFFFF"/>
        </a:solidFill>
      </c:spPr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/>
            </a:pPr>
            <a:r>
              <a:t>PUNTO DE EQUILIBRIO AÑO 1</a:t>
            </a:r>
          </a:p>
        </c:rich>
      </c:tx>
      <c:overlay val="0"/>
    </c:title>
    <c:plotArea>
      <c:layout>
        <c:manualLayout>
          <c:xMode val="edge"/>
          <c:yMode val="edge"/>
          <c:x val="0.08645096056622852"/>
          <c:y val="0.13712509742147377"/>
          <c:w val="0.7942257684441301"/>
          <c:h val="0.7761881813713685"/>
        </c:manualLayout>
      </c:layout>
      <c:lineChart>
        <c:ser>
          <c:idx val="0"/>
          <c:order val="0"/>
          <c:tx>
            <c:strRef>
              <c:f>'F-2 Estructura'!$C$55</c:f>
            </c:strRef>
          </c:tx>
          <c:spPr>
            <a:ln cmpd="sng" w="19050">
              <a:solidFill>
                <a:srgbClr val="3366CC"/>
              </a:solidFill>
              <a:prstDash val="solid"/>
            </a:ln>
          </c:spPr>
          <c:marker>
            <c:symbol val="none"/>
          </c:marker>
          <c:val>
            <c:numRef>
              <c:f>'F-2 Estructura'!$C$56:$C$80</c:f>
            </c:numRef>
          </c:val>
          <c:smooth val="0"/>
        </c:ser>
        <c:ser>
          <c:idx val="1"/>
          <c:order val="1"/>
          <c:tx>
            <c:strRef>
              <c:f>'F-2 Estructura'!$D$55</c:f>
            </c:strRef>
          </c:tx>
          <c:spPr>
            <a:ln cmpd="sng" w="19050">
              <a:solidFill>
                <a:srgbClr val="DC3912"/>
              </a:solidFill>
              <a:prstDash val="solid"/>
            </a:ln>
          </c:spPr>
          <c:marker>
            <c:symbol val="none"/>
          </c:marker>
          <c:val>
            <c:numRef>
              <c:f>'F-2 Estructura'!$D$56:$D$80</c:f>
            </c:numRef>
          </c:val>
          <c:smooth val="0"/>
        </c:ser>
        <c:ser>
          <c:idx val="2"/>
          <c:order val="2"/>
          <c:tx>
            <c:strRef>
              <c:f>'F-2 Estructura'!$E$55</c:f>
            </c:strRef>
          </c:tx>
          <c:spPr>
            <a:ln cmpd="sng" w="1905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'F-2 Estructura'!$E$56:$E$80</c:f>
            </c:numRef>
          </c:val>
          <c:smooth val="0"/>
        </c:ser>
        <c:ser>
          <c:idx val="3"/>
          <c:order val="3"/>
          <c:tx>
            <c:strRef>
              <c:f>'F-2 Estructura'!$F$55</c:f>
            </c:strRef>
          </c:tx>
          <c:spPr>
            <a:ln cmpd="sng" w="19050">
              <a:solidFill>
                <a:srgbClr val="109618"/>
              </a:solidFill>
              <a:prstDash val="solid"/>
            </a:ln>
          </c:spPr>
          <c:marker>
            <c:symbol val="none"/>
          </c:marker>
          <c:val>
            <c:numRef>
              <c:f>'F-2 Estructura'!$F$56:$F$80</c:f>
            </c:numRef>
          </c:val>
          <c:smooth val="0"/>
        </c:ser>
        <c:axId val="830425874"/>
        <c:axId val="1984207913"/>
      </c:lineChart>
      <c:catAx>
        <c:axId val="830425874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/>
            </a:pPr>
          </a:p>
        </c:txPr>
        <c:crossAx val="1984207913"/>
      </c:catAx>
      <c:valAx>
        <c:axId val="198420791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/>
            </a:pPr>
          </a:p>
        </c:txPr>
        <c:crossAx val="830425874"/>
      </c:valAx>
      <c:spPr>
        <a:solidFill>
          <a:srgbClr val="FFFFFF"/>
        </a:solidFill>
      </c:spPr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/>
            </a:pPr>
            <a:r>
              <a:t>PUNTO DE EQUILIBRIO AÑO 5</a:t>
            </a:r>
          </a:p>
        </c:rich>
      </c:tx>
      <c:overlay val="0"/>
    </c:title>
    <c:plotArea>
      <c:layout>
        <c:manualLayout>
          <c:xMode val="edge"/>
          <c:yMode val="edge"/>
          <c:x val="0.08645096056622852"/>
          <c:y val="0.13712509742147377"/>
          <c:w val="0.7942257684441301"/>
          <c:h val="0.7761881813713685"/>
        </c:manualLayout>
      </c:layout>
      <c:lineChart>
        <c:ser>
          <c:idx val="0"/>
          <c:order val="0"/>
          <c:tx>
            <c:strRef>
              <c:f>'F-2 Estructura'!$C$84</c:f>
            </c:strRef>
          </c:tx>
          <c:spPr>
            <a:ln cmpd="sng" w="19050">
              <a:solidFill>
                <a:srgbClr val="3366CC"/>
              </a:solidFill>
              <a:prstDash val="solid"/>
            </a:ln>
          </c:spPr>
          <c:marker>
            <c:symbol val="none"/>
          </c:marker>
          <c:val>
            <c:numRef>
              <c:f>'F-2 Estructura'!$C$85:$C$115</c:f>
            </c:numRef>
          </c:val>
          <c:smooth val="0"/>
        </c:ser>
        <c:ser>
          <c:idx val="1"/>
          <c:order val="1"/>
          <c:tx>
            <c:strRef>
              <c:f>'F-2 Estructura'!$D$84</c:f>
            </c:strRef>
          </c:tx>
          <c:spPr>
            <a:ln cmpd="sng" w="19050">
              <a:solidFill>
                <a:srgbClr val="DC3912"/>
              </a:solidFill>
              <a:prstDash val="solid"/>
            </a:ln>
          </c:spPr>
          <c:marker>
            <c:symbol val="none"/>
          </c:marker>
          <c:val>
            <c:numRef>
              <c:f>'F-2 Estructura'!$D$85:$D$115</c:f>
            </c:numRef>
          </c:val>
          <c:smooth val="0"/>
        </c:ser>
        <c:ser>
          <c:idx val="2"/>
          <c:order val="2"/>
          <c:tx>
            <c:strRef>
              <c:f>'F-2 Estructura'!$E$84</c:f>
            </c:strRef>
          </c:tx>
          <c:spPr>
            <a:ln cmpd="sng" w="1905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'F-2 Estructura'!$E$85:$E$115</c:f>
            </c:numRef>
          </c:val>
          <c:smooth val="0"/>
        </c:ser>
        <c:ser>
          <c:idx val="3"/>
          <c:order val="3"/>
          <c:tx>
            <c:strRef>
              <c:f>'F-2 Estructura'!$F$84</c:f>
            </c:strRef>
          </c:tx>
          <c:spPr>
            <a:ln cmpd="sng" w="19050">
              <a:solidFill>
                <a:srgbClr val="109618"/>
              </a:solidFill>
              <a:prstDash val="solid"/>
            </a:ln>
          </c:spPr>
          <c:marker>
            <c:symbol val="none"/>
          </c:marker>
          <c:val>
            <c:numRef>
              <c:f>'F-2 Estructura'!$F$85:$F$115</c:f>
            </c:numRef>
          </c:val>
          <c:smooth val="0"/>
        </c:ser>
        <c:axId val="956246028"/>
        <c:axId val="1611498824"/>
      </c:lineChart>
      <c:catAx>
        <c:axId val="956246028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/>
            </a:pPr>
          </a:p>
        </c:txPr>
        <c:crossAx val="1611498824"/>
      </c:catAx>
      <c:valAx>
        <c:axId val="16114988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/>
            </a:pPr>
          </a:p>
        </c:txPr>
        <c:crossAx val="956246028"/>
      </c:valAx>
      <c:spPr>
        <a:solidFill>
          <a:srgbClr val="FFFFFF"/>
        </a:solidFill>
      </c:spPr>
    </c:plotArea>
    <c:legend>
      <c:legendPos val="r"/>
      <c:overlay val="0"/>
    </c:legend>
    <c:plotVisOnly val="1"/>
  </c:chart>
</c:chartSpace>
</file>

<file path=xl/drawings/_rels/worksheetdrawing17.xml.rels><?xml version="1.0" encoding="UTF-8" standalone="yes"?>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worksheetdrawing9.xml.rels><?xml version="1.0" encoding="UTF-8" standalone="yes"?>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7</xdr:col>
      <xdr:colOff>209550</xdr:colOff>
      <xdr:row>51</xdr:row>
      <xdr:rowOff>133350</xdr:rowOff>
    </xdr:from>
    <xdr:ext cx="11125200" cy="4714875"/>
    <xdr:graphicFrame>
      <xdr:nvGraphicFramePr>
        <xdr:cNvPr id="3" name="Chart 3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476250</xdr:colOff>
      <xdr:row>88</xdr:row>
      <xdr:rowOff>133350</xdr:rowOff>
    </xdr:from>
    <xdr:ext cx="11125200" cy="4714875"/>
    <xdr:graphicFrame>
      <xdr:nvGraphicFramePr>
        <xdr:cNvPr id="4" name="Chart 4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worksheet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6</xdr:col>
      <xdr:colOff>352425</xdr:colOff>
      <xdr:row>167</xdr:row>
      <xdr:rowOff>95250</xdr:rowOff>
    </xdr:from>
    <xdr:ext cx="14325600" cy="4800600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123825</xdr:colOff>
      <xdr:row>138</xdr:row>
      <xdr:rowOff>133350</xdr:rowOff>
    </xdr:from>
    <xdr:ext cx="14573250" cy="4552950"/>
    <xdr:graphicFrame>
      <xdr:nvGraphicFramePr>
        <xdr:cNvPr id="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3.xml"/></Relationships>
</file>

<file path=xl/worksheets/_rels/sheet14.xml.rels><?xml version="1.0" encoding="UTF-8" standalone="yes"?>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worksheetdrawing14.xml"/><Relationship Id="rId1" Type="http://schemas.openxmlformats.org/officeDocument/2006/relationships/comments" Target="../comments6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8.xml"/></Relationships>
</file>

<file path=xl/worksheets/_rels/sheet19.xml.rels><?xml version="1.0" encoding="UTF-8" standalone="yes"?>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worksheetdrawing19.xml"/><Relationship Id="rId1" Type="http://schemas.openxmlformats.org/officeDocument/2006/relationships/comments" Target="../comments7.xml"/></Relationships>
</file>

<file path=xl/worksheets/_rels/sheet2.xml.rels><?xml version="1.0" encoding="UTF-8" standalone="yes"?>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worksheetdrawing2.xml"/><Relationship Id="rId1" Type="http://schemas.openxmlformats.org/officeDocument/2006/relationships/comments" Target="../comments1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0.xml"/></Relationships>
</file>

<file path=xl/worksheets/_rels/sheet21.xml.rels><?xml version="1.0" encoding="UTF-8" standalone="yes"?>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worksheetdrawing21.xml"/><Relationship Id="rId1" Type="http://schemas.openxmlformats.org/officeDocument/2006/relationships/comments" Target="../comments8.xml"/></Relationships>
</file>

<file path=xl/worksheets/_rels/sheet3.xml.rels><?xml version="1.0" encoding="UTF-8" standalone="yes"?>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worksheetdrawing3.xml"/><Relationship Id="rId1" Type="http://schemas.openxmlformats.org/officeDocument/2006/relationships/comments" Target="../comments2.xml"/></Relationships>
</file>

<file path=xl/worksheets/_rels/sheet4.xml.rels><?xml version="1.0" encoding="UTF-8" standalone="yes"?>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worksheetdrawing4.xml"/><Relationship Id="rId1" Type="http://schemas.openxmlformats.org/officeDocument/2006/relationships/comments" Target="../comments3.xml"/></Relationships>
</file>

<file path=xl/worksheets/_rels/sheet5.xml.rels><?xml version="1.0" encoding="UTF-8" standalone="yes"?><Relationships xmlns="http://schemas.openxmlformats.org/package/2006/relationships"><Relationship Id="rId2" Type="http://schemas.openxmlformats.org/officeDocument/2006/relationships/drawing" Target="../drawings/worksheetdrawing5.xml"/><Relationship Id="rId1" Type="http://schemas.openxmlformats.org/officeDocument/2006/relationships/hyperlink" Target="https://www.aya.go.cr/centroDocumetacion/catalogoGeneral/Estimaci%C3%B3n%20de%20consumo%20de%20agua%20potable%20en%20una%20casa.pdf" TargetMode="Externa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worksheetdrawing7.xml"/><Relationship Id="rId1" Type="http://schemas.openxmlformats.org/officeDocument/2006/relationships/comments" Target="../comments4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worksheetdrawing9.xml"/><Relationship Id="rId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pageSetUpPr/>
  </sheetPr>
  <sheetViews>
    <sheetView showGridLines="0" workbookViewId="0"/>
  </sheetViews>
  <sheetFormatPr customHeight="1" defaultColWidth="14.43" defaultRowHeight="15.0"/>
  <cols>
    <col customWidth="1" min="1" max="1" width="11.43"/>
    <col customWidth="1" min="2" max="2" width="42.57"/>
    <col customWidth="1" min="3" max="3" width="11.43"/>
    <col customWidth="1" min="4" max="4" width="14.86"/>
    <col customWidth="1" min="5" max="5" width="12.57"/>
    <col customWidth="1" min="6" max="6" width="13.29"/>
    <col customWidth="1" min="7" max="7" width="12.29"/>
    <col customWidth="1" min="8" max="8" width="11.43"/>
    <col customWidth="1" min="9" max="9" width="11.86"/>
    <col customWidth="1" min="10" max="11" width="11.43"/>
  </cols>
  <sheetData>
    <row r="1">
      <c r="D1" s="1" t="s">
        <v>0</v>
      </c>
    </row>
    <row r="4">
      <c r="B4" s="2" t="s">
        <v>1</v>
      </c>
      <c r="C4" s="3"/>
      <c r="D4" s="4"/>
    </row>
    <row r="5">
      <c r="B5" s="2" t="s">
        <v>2</v>
      </c>
      <c r="C5" s="3"/>
      <c r="D5" s="4"/>
    </row>
    <row r="6">
      <c r="B6" s="2" t="s">
        <v>3</v>
      </c>
      <c r="C6" s="3"/>
      <c r="D6" s="4"/>
    </row>
    <row r="7">
      <c r="B7" s="2" t="s">
        <v>4</v>
      </c>
      <c r="C7" s="3"/>
      <c r="D7" s="4"/>
    </row>
    <row r="9">
      <c r="B9" s="2" t="s">
        <v>5</v>
      </c>
      <c r="C9" s="3"/>
      <c r="D9" s="4"/>
      <c r="E9" s="5">
        <v>96.29291666666666</v>
      </c>
      <c r="F9" s="6" t="s">
        <v>6</v>
      </c>
    </row>
    <row r="10">
      <c r="E10" s="7">
        <v>1237.5</v>
      </c>
      <c r="F10" s="8" t="s">
        <v>7</v>
      </c>
    </row>
    <row r="13">
      <c r="B13" s="9" t="s">
        <v>8</v>
      </c>
      <c r="C13" s="9" t="s">
        <v>9</v>
      </c>
      <c r="D13" s="9" t="s">
        <v>10</v>
      </c>
      <c r="E13" s="9" t="s">
        <v>11</v>
      </c>
      <c r="F13" s="9" t="s">
        <v>12</v>
      </c>
      <c r="G13" s="9" t="s">
        <v>13</v>
      </c>
      <c r="H13" s="9" t="s">
        <v>14</v>
      </c>
      <c r="I13" s="9" t="s">
        <v>15</v>
      </c>
    </row>
    <row r="14">
      <c r="B14" s="10">
        <v>1.0</v>
      </c>
      <c r="C14" s="11">
        <v>0.0</v>
      </c>
      <c r="D14" s="11">
        <v>0.045</v>
      </c>
      <c r="E14" s="11">
        <v>0.0225</v>
      </c>
      <c r="F14" s="12">
        <v>96.29291666666666</v>
      </c>
      <c r="G14" s="12">
        <v>1237.5</v>
      </c>
      <c r="H14" s="13">
        <v>2.1665906249999995</v>
      </c>
      <c r="I14" s="14">
        <v>27.84375</v>
      </c>
    </row>
    <row r="15">
      <c r="B15" s="15">
        <v>2.0</v>
      </c>
      <c r="C15" s="16">
        <v>0.045</v>
      </c>
      <c r="D15" s="16">
        <v>0.17</v>
      </c>
      <c r="E15" s="16">
        <v>0.10750000000000001</v>
      </c>
      <c r="F15" s="17">
        <v>96.29291666666666</v>
      </c>
      <c r="G15" s="17">
        <v>1237.5</v>
      </c>
      <c r="H15" s="18">
        <v>10.351488541666667</v>
      </c>
      <c r="I15" s="19">
        <v>133.03125000000003</v>
      </c>
    </row>
    <row r="16">
      <c r="B16" s="20">
        <v>3.0</v>
      </c>
      <c r="C16" s="21">
        <v>0.17</v>
      </c>
      <c r="D16" s="21">
        <v>1.0</v>
      </c>
      <c r="E16" s="21">
        <v>0.585</v>
      </c>
      <c r="F16" s="22">
        <v>96.29291666666666</v>
      </c>
      <c r="G16" s="22">
        <v>1237.5</v>
      </c>
      <c r="H16" s="23">
        <v>56.33135624999999</v>
      </c>
      <c r="I16" s="24">
        <v>723.9375</v>
      </c>
    </row>
    <row r="17">
      <c r="G17" s="25" t="s">
        <v>16</v>
      </c>
      <c r="H17" s="26">
        <v>68.84943541666667</v>
      </c>
      <c r="I17" s="27">
        <v>884.8125</v>
      </c>
    </row>
    <row r="19">
      <c r="B19" s="2" t="s">
        <v>17</v>
      </c>
      <c r="C19" s="3"/>
      <c r="D19" s="3"/>
      <c r="E19" s="4"/>
      <c r="F19" s="28">
        <v>866.6362499999999</v>
      </c>
      <c r="G19" s="29" t="s">
        <v>18</v>
      </c>
    </row>
    <row r="20" ht="15.75" customHeight="1">
      <c r="F20" s="30">
        <v>11137.5</v>
      </c>
      <c r="G20" s="29" t="s">
        <v>19</v>
      </c>
      <c r="K20" s="31"/>
    </row>
    <row r="21" ht="15.75" customHeight="1">
      <c r="B21" s="8" t="s">
        <v>20</v>
      </c>
      <c r="C21" s="6">
        <v>9.0</v>
      </c>
    </row>
    <row r="22" ht="15.75" customHeight="1"/>
    <row r="23" ht="15.75" customHeight="1">
      <c r="B23" s="8" t="s">
        <v>21</v>
      </c>
      <c r="C23" s="32">
        <v>935.4856854166666</v>
      </c>
      <c r="D23" s="29" t="s">
        <v>18</v>
      </c>
    </row>
    <row r="24" ht="15.75" customHeight="1">
      <c r="C24" s="30">
        <v>12022.3125</v>
      </c>
      <c r="D24" s="29" t="s">
        <v>19</v>
      </c>
    </row>
    <row r="25" ht="15.75" customHeight="1"/>
    <row r="26" ht="15.75" customHeight="1">
      <c r="B26" s="8" t="s">
        <v>22</v>
      </c>
      <c r="C26" s="6">
        <v>1155.5149999999999</v>
      </c>
      <c r="D26" s="29" t="s">
        <v>18</v>
      </c>
    </row>
    <row r="27" ht="15.75" customHeight="1">
      <c r="C27" s="6">
        <v>14850.0</v>
      </c>
      <c r="D27" s="29" t="s">
        <v>19</v>
      </c>
    </row>
    <row r="28" ht="15.75" customHeight="1"/>
    <row r="29" ht="15.75" customHeight="1">
      <c r="D29" s="31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</sheetData>
  <mergeCells count="6">
    <mergeCell ref="B19:E19"/>
    <mergeCell ref="B4:D4"/>
    <mergeCell ref="B5:D5"/>
    <mergeCell ref="B6:D6"/>
    <mergeCell ref="B7:D7"/>
    <mergeCell ref="B9:D9"/>
  </mergeCells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5.43"/>
    <col customWidth="1" min="2" max="2" width="23.57"/>
    <col customWidth="1" min="3" max="3" width="18.14"/>
    <col customWidth="1" min="4" max="4" width="17.71"/>
    <col customWidth="1" min="5" max="5" width="19.29"/>
    <col customWidth="1" min="6" max="6" width="15.86"/>
    <col customWidth="1" min="7" max="7" width="16.0"/>
    <col customWidth="1" min="8" max="26" width="9.0"/>
  </cols>
  <sheetData>
    <row r="1" ht="14.25" customHeight="1">
      <c r="A1" s="320" t="s">
        <v>488</v>
      </c>
      <c r="E1" s="321" t="str">
        <f>InfoInicial!E1</f>
        <v>10</v>
      </c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ht="13.5" customHeight="1">
      <c r="A2" s="320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</row>
    <row r="3" ht="16.5" customHeight="1">
      <c r="A3" s="505" t="s">
        <v>704</v>
      </c>
      <c r="B3" s="506"/>
      <c r="C3" s="506"/>
      <c r="D3" s="506"/>
      <c r="E3" s="506"/>
      <c r="F3" s="506"/>
      <c r="G3" s="507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</row>
    <row r="4" ht="13.5" customHeight="1">
      <c r="A4" s="437" t="s">
        <v>591</v>
      </c>
      <c r="B4" s="358" t="s">
        <v>542</v>
      </c>
      <c r="C4" s="358" t="s">
        <v>44</v>
      </c>
      <c r="D4" s="358" t="s">
        <v>430</v>
      </c>
      <c r="E4" s="358" t="s">
        <v>431</v>
      </c>
      <c r="F4" s="358" t="s">
        <v>432</v>
      </c>
      <c r="G4" s="455" t="s">
        <v>433</v>
      </c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</row>
    <row r="5" ht="13.5" customHeight="1">
      <c r="A5" s="508" t="s">
        <v>705</v>
      </c>
      <c r="B5" s="425"/>
      <c r="C5" s="425"/>
      <c r="D5" s="425"/>
      <c r="E5" s="425"/>
      <c r="F5" s="425"/>
      <c r="G5" s="457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</row>
    <row r="6" ht="12.75" customHeight="1">
      <c r="A6" s="508" t="s">
        <v>706</v>
      </c>
      <c r="B6" s="393" t="str">
        <f>C6*0.8</f>
        <v> $ 339,120.00 </v>
      </c>
      <c r="C6" s="393" t="str">
        <f>'Conformación de Datos'!$D$17*0.02</f>
        <v> $ 423,900.00 </v>
      </c>
      <c r="D6" s="393" t="str">
        <f>'Conformación de Datos'!$D$17*0.02</f>
        <v> $ 423,900.00 </v>
      </c>
      <c r="E6" s="393" t="str">
        <f>'Conformación de Datos'!$D$17*0.02</f>
        <v> $ 423,900.00 </v>
      </c>
      <c r="F6" s="393" t="str">
        <f>'Conformación de Datos'!$D$17*0.02</f>
        <v> $ 423,900.00 </v>
      </c>
      <c r="G6" s="444" t="str">
        <f>'Conformación de Datos'!$D$17*0.02</f>
        <v> $ 423,900.00 </v>
      </c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</row>
    <row r="7" ht="12.75" customHeight="1">
      <c r="A7" s="508" t="s">
        <v>707</v>
      </c>
      <c r="B7" s="393">
        <v>0.0</v>
      </c>
      <c r="C7" s="393" t="str">
        <f>'Conformación de Datos'!$C$17*30/365</f>
        <v> $ 1,393,643.84 </v>
      </c>
      <c r="D7" s="393" t="str">
        <f>'Conformación de Datos'!$D$17*30/365</f>
        <v> $ 1,742,054.79 </v>
      </c>
      <c r="E7" s="393" t="str">
        <f>'Conformación de Datos'!$D$17*30/365</f>
        <v> $ 1,742,054.79 </v>
      </c>
      <c r="F7" s="393" t="str">
        <f>'Conformación de Datos'!$D$17*30/365</f>
        <v> $ 1,742,054.79 </v>
      </c>
      <c r="G7" s="444" t="str">
        <f>'Conformación de Datos'!$D$17*30/365</f>
        <v> $ 1,742,054.79 </v>
      </c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</row>
    <row r="8" ht="12.75" customHeight="1">
      <c r="A8" s="509"/>
      <c r="B8" s="393"/>
      <c r="C8" s="393"/>
      <c r="D8" s="393"/>
      <c r="E8" s="393"/>
      <c r="F8" s="393"/>
      <c r="G8" s="444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</row>
    <row r="9" ht="12.75" customHeight="1">
      <c r="A9" s="508" t="s">
        <v>418</v>
      </c>
      <c r="B9" s="392" t="str">
        <f t="shared" ref="B9:G9" si="1">SUM(B10:B13)</f>
        <v> $ 340,987.26 </v>
      </c>
      <c r="C9" s="392" t="str">
        <f t="shared" si="1"/>
        <v> $ 1,690,708.58 </v>
      </c>
      <c r="D9" s="392" t="str">
        <f t="shared" si="1"/>
        <v> $ 1,689,487.59 </v>
      </c>
      <c r="E9" s="392" t="str">
        <f t="shared" si="1"/>
        <v> $ 1,689,462.00 </v>
      </c>
      <c r="F9" s="392" t="str">
        <f t="shared" si="1"/>
        <v> $ 1,689,462.00 </v>
      </c>
      <c r="G9" s="490" t="str">
        <f t="shared" si="1"/>
        <v> $ 1,689,462.00 </v>
      </c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</row>
    <row r="10" ht="12.75" customHeight="1">
      <c r="A10" s="509" t="s">
        <v>708</v>
      </c>
      <c r="B10" s="393" t="str">
        <f>'Conformación de Datos'!D295*'Conformación de Datos'!D293</f>
        <v> $ 177,949.99 </v>
      </c>
      <c r="C10" s="393" t="str">
        <f>'Conformación de Datos'!D289*'Conformación de Datos'!D293</f>
        <v> $ 1,327,712.59 </v>
      </c>
      <c r="D10" s="393" t="str">
        <f>'Conformación de Datos'!D289*'Conformación de Datos'!D293</f>
        <v> $ 1,327,712.59 </v>
      </c>
      <c r="E10" s="393" t="str">
        <f>'Conformación de Datos'!D289*'Conformación de Datos'!D293</f>
        <v> $ 1,327,712.59 </v>
      </c>
      <c r="F10" s="393" t="str">
        <f>'Conformación de Datos'!D289*'Conformación de Datos'!D293</f>
        <v> $ 1,327,712.59 </v>
      </c>
      <c r="G10" s="444" t="str">
        <f>'Conformación de Datos'!D289*'Conformación de Datos'!D293</f>
        <v> $ 1,327,712.59 </v>
      </c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</row>
    <row r="11" ht="12.75" customHeight="1">
      <c r="A11" s="509" t="s">
        <v>709</v>
      </c>
      <c r="B11" s="393" t="str">
        <f>C11*0.8</f>
        <v> $ 163,037.28 </v>
      </c>
      <c r="C11" s="393" t="str">
        <f>('E-Costos'!B12)*6/12+'E-Costos'!B54/12+'E-Costos'!B71/12</f>
        <v> $ 203,796.59 </v>
      </c>
      <c r="D11" s="393" t="str">
        <f>('E-Costos'!$C$12)*6/12+'E-Costos'!C54/12+'E-Costos'!C71/12</f>
        <v> $ 208,322.36 </v>
      </c>
      <c r="E11" s="393" t="str">
        <f>('E-Costos'!$C$12)*6/12+'E-Costos'!D54/12+'E-Costos'!D71/12</f>
        <v> $ 208,322.36 </v>
      </c>
      <c r="F11" s="393" t="str">
        <f>('E-Costos'!$C$12)*6/12+'E-Costos'!E54/12+'E-Costos'!E71/12</f>
        <v> $ 208,322.36 </v>
      </c>
      <c r="G11" s="444" t="str">
        <f>('E-Costos'!$C$12)*6/12+'E-Costos'!F54/12+'E-Costos'!F71/12</f>
        <v> $ 208,322.36 </v>
      </c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</row>
    <row r="12" ht="12.75" customHeight="1">
      <c r="A12" s="509" t="s">
        <v>710</v>
      </c>
      <c r="B12" s="393"/>
      <c r="C12" s="393" t="str">
        <f>'E-Costos'!B35</f>
        <v> $ 79,553.40 </v>
      </c>
      <c r="D12" s="393" t="str">
        <f>'E-Costos'!C35</f>
        <v> $ 76,886.76 </v>
      </c>
      <c r="E12" s="393" t="str">
        <f>'E-Costos'!D35</f>
        <v> $ 76,886.76 </v>
      </c>
      <c r="F12" s="393" t="str">
        <f>'E-Costos'!E35</f>
        <v> $ 76,886.76 </v>
      </c>
      <c r="G12" s="444" t="str">
        <f>'E-Costos'!F35</f>
        <v> $ 76,886.76 </v>
      </c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</row>
    <row r="13" ht="12.75" customHeight="1">
      <c r="A13" s="509" t="s">
        <v>711</v>
      </c>
      <c r="B13" s="393"/>
      <c r="C13" s="393" t="str">
        <f>'E-Costos'!B105</f>
        <v> $ 79,646.00 </v>
      </c>
      <c r="D13" s="393" t="str">
        <f>'E-Costos'!C105</f>
        <v> $ 76,565.88 </v>
      </c>
      <c r="E13" s="393" t="str">
        <f>'E-Costos'!D105</f>
        <v> $ 76,540.29 </v>
      </c>
      <c r="F13" s="393" t="str">
        <f>'E-Costos'!E105</f>
        <v> $ 76,540.29 </v>
      </c>
      <c r="G13" s="444" t="str">
        <f>'E-Costos'!F105</f>
        <v> $ 76,540.29 </v>
      </c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</row>
    <row r="14" ht="12.75" customHeight="1">
      <c r="A14" s="509"/>
      <c r="B14" s="393"/>
      <c r="C14" s="393"/>
      <c r="D14" s="393"/>
      <c r="E14" s="393"/>
      <c r="F14" s="393"/>
      <c r="G14" s="444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</row>
    <row r="15" ht="12.75" customHeight="1">
      <c r="A15" s="508" t="s">
        <v>712</v>
      </c>
      <c r="B15" s="392" t="str">
        <f t="shared" ref="B15:G15" si="2">B6+B7+B9</f>
        <v> $ 680,107.26 </v>
      </c>
      <c r="C15" s="392" t="str">
        <f t="shared" si="2"/>
        <v> $ 3,508,252.42 </v>
      </c>
      <c r="D15" s="392" t="str">
        <f t="shared" si="2"/>
        <v> $ 3,855,442.38 </v>
      </c>
      <c r="E15" s="392" t="str">
        <f t="shared" si="2"/>
        <v> $ 3,855,416.79 </v>
      </c>
      <c r="F15" s="392" t="str">
        <f t="shared" si="2"/>
        <v> $ 3,855,416.79 </v>
      </c>
      <c r="G15" s="490" t="str">
        <f t="shared" si="2"/>
        <v> $ 3,855,416.79 </v>
      </c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</row>
    <row r="16" ht="12.75" customHeight="1">
      <c r="A16" s="508" t="s">
        <v>713</v>
      </c>
      <c r="B16" s="393" t="str">
        <f t="shared" ref="B16:G16" si="3">SUM(B17:B20)</f>
        <v> $ -   </v>
      </c>
      <c r="C16" s="393" t="str">
        <f t="shared" si="3"/>
        <v> $ 448,141.19 </v>
      </c>
      <c r="D16" s="393" t="str">
        <f t="shared" si="3"/>
        <v> $ 560,231.34 </v>
      </c>
      <c r="E16" s="393" t="str">
        <f t="shared" si="3"/>
        <v> $ 559,932.35 </v>
      </c>
      <c r="F16" s="393" t="str">
        <f t="shared" si="3"/>
        <v> $ 559,932.17 </v>
      </c>
      <c r="G16" s="444" t="str">
        <f t="shared" si="3"/>
        <v> $ 559,932.17 </v>
      </c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</row>
    <row r="17" ht="12.75" customHeight="1">
      <c r="A17" s="509" t="s">
        <v>714</v>
      </c>
      <c r="B17" s="393"/>
      <c r="C17" s="393" t="str">
        <f>'E-Costos'!B28</f>
        <v> $ 17,829.77 </v>
      </c>
      <c r="D17" s="393" t="str">
        <f>'E-Costos'!C28</f>
        <v> $ 14,564.14 </v>
      </c>
      <c r="E17" s="393" t="str">
        <f>'E-Costos'!D28</f>
        <v> $ 14,564.14 </v>
      </c>
      <c r="F17" s="393" t="str">
        <f>'E-Costos'!E28</f>
        <v> $ 14,564.14 </v>
      </c>
      <c r="G17" s="444" t="str">
        <f>'E-Costos'!F28</f>
        <v> $ 14,564.14 </v>
      </c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</row>
    <row r="18" ht="12.75" customHeight="1">
      <c r="A18" s="509" t="s">
        <v>715</v>
      </c>
      <c r="B18" s="393"/>
      <c r="C18" s="427" t="str">
        <f>('E-Costos'!B10-'E-Costos'!B28)/'E-Costos'!B88*C13</f>
        <v> $ 8,396.77 </v>
      </c>
      <c r="D18" s="427" t="str">
        <f>('E-Costos'!C10-'E-Costos'!C28)/'E-Costos'!C88*D13</f>
        <v> $ 6,469.43 </v>
      </c>
      <c r="E18" s="427" t="str">
        <f>('E-Costos'!D10-'E-Costos'!D28)/'E-Costos'!D88*E13</f>
        <v> $ 6,467.27 </v>
      </c>
      <c r="F18" s="427" t="str">
        <f>('E-Costos'!E10-'E-Costos'!E28)/'E-Costos'!E88*F13</f>
        <v> $ 6,467.27 </v>
      </c>
      <c r="G18" s="427" t="str">
        <f>('E-Costos'!F10-'E-Costos'!F28)/'E-Costos'!F88*G13</f>
        <v> $ 6,467.27 </v>
      </c>
      <c r="H18" s="219" t="s">
        <v>716</v>
      </c>
      <c r="I18" s="223" t="s">
        <v>557</v>
      </c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</row>
    <row r="19" ht="12.75" customHeight="1">
      <c r="A19" s="509" t="s">
        <v>717</v>
      </c>
      <c r="B19" s="393"/>
      <c r="C19" s="393" t="str">
        <f>'E-Costos'!B121*C7</f>
        <v> $ 259,190.29 </v>
      </c>
      <c r="D19" s="393" t="str">
        <f>'E-Costos'!C121*D7</f>
        <v> $ 373,890.99 </v>
      </c>
      <c r="E19" s="393" t="str">
        <f>'E-Costos'!D121*E7</f>
        <v> $ 374,020.80 </v>
      </c>
      <c r="F19" s="393" t="str">
        <f>'E-Costos'!E121*F7</f>
        <v> $ 374,020.80 </v>
      </c>
      <c r="G19" s="444" t="str">
        <f>'E-Costos'!F121*G7</f>
        <v> $ 374,020.80 </v>
      </c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</row>
    <row r="20" ht="12.75" customHeight="1">
      <c r="A20" s="509" t="s">
        <v>718</v>
      </c>
      <c r="B20" s="393"/>
      <c r="C20" s="427" t="str">
        <f>(('E-Inv AF y Am'!$D$57-C17-C18)/365)*30</f>
        <v> $ 162,724.35 </v>
      </c>
      <c r="D20" s="427" t="str">
        <f>(('E-Inv AF y Am'!$D$57-D17-D18+C17+C18)/365)*30</f>
        <v> $ 165,306.78 </v>
      </c>
      <c r="E20" s="427" t="str">
        <f>(('E-Inv AF y Am'!$D$57-E17-E18+D17+D18)/365)*30</f>
        <v> $ 164,880.14 </v>
      </c>
      <c r="F20" s="393" t="str">
        <f>('E-Inv AF y Am'!$E$57-F17-F18+E17+E18)/365*30</f>
        <v> $ 164,879.96 </v>
      </c>
      <c r="G20" s="393" t="str">
        <f>('E-Inv AF y Am'!$E$57-G17-G18+F17+F18)/365*30</f>
        <v> $ 164,879.96 </v>
      </c>
      <c r="H20" s="219" t="s">
        <v>719</v>
      </c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</row>
    <row r="21" ht="12.75" customHeight="1">
      <c r="A21" s="509"/>
      <c r="B21" s="393"/>
      <c r="C21" s="393"/>
      <c r="D21" s="393"/>
      <c r="E21" s="393"/>
      <c r="F21" s="393"/>
      <c r="G21" s="444"/>
      <c r="H21" s="223" t="s">
        <v>557</v>
      </c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</row>
    <row r="22" ht="12.75" customHeight="1">
      <c r="A22" s="508" t="s">
        <v>720</v>
      </c>
      <c r="B22" s="392" t="str">
        <f t="shared" ref="B22:G22" si="4">B15-B16</f>
        <v> $ 680,107.26 </v>
      </c>
      <c r="C22" s="392" t="str">
        <f t="shared" si="4"/>
        <v> $ 3,060,111.23 </v>
      </c>
      <c r="D22" s="392" t="str">
        <f t="shared" si="4"/>
        <v> $ 3,295,211.04 </v>
      </c>
      <c r="E22" s="392" t="str">
        <f t="shared" si="4"/>
        <v> $ 3,295,484.45 </v>
      </c>
      <c r="F22" s="392" t="str">
        <f t="shared" si="4"/>
        <v> $ 3,295,484.63 </v>
      </c>
      <c r="G22" s="490" t="str">
        <f t="shared" si="4"/>
        <v> $ 3,295,484.63 </v>
      </c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</row>
    <row r="23" ht="12.75" customHeight="1">
      <c r="A23" s="509"/>
      <c r="B23" s="393"/>
      <c r="C23" s="393"/>
      <c r="D23" s="393"/>
      <c r="E23" s="393"/>
      <c r="F23" s="393"/>
      <c r="G23" s="444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</row>
    <row r="24" ht="12.75" customHeight="1">
      <c r="A24" s="508" t="s">
        <v>721</v>
      </c>
      <c r="B24" s="392" t="str">
        <f>B15</f>
        <v> $ 680,107.26 </v>
      </c>
      <c r="C24" s="392" t="str">
        <f t="shared" ref="C24:G24" si="5">C15-B15</f>
        <v> $ 2,828,145.16 </v>
      </c>
      <c r="D24" s="392" t="str">
        <f t="shared" si="5"/>
        <v> $ 347,189.96 </v>
      </c>
      <c r="E24" s="392" t="str">
        <f t="shared" si="5"/>
        <v> $ (25.59)</v>
      </c>
      <c r="F24" s="392" t="str">
        <f t="shared" si="5"/>
        <v> $ -   </v>
      </c>
      <c r="G24" s="490" t="str">
        <f t="shared" si="5"/>
        <v> $ -   </v>
      </c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</row>
    <row r="25" ht="12.75" customHeight="1">
      <c r="A25" s="508" t="s">
        <v>722</v>
      </c>
      <c r="B25" s="392" t="str">
        <f>B22</f>
        <v> $ 680,107.26 </v>
      </c>
      <c r="C25" s="392" t="str">
        <f t="shared" ref="C25:G25" si="6">C22-B22</f>
        <v> $ 2,380,003.97 </v>
      </c>
      <c r="D25" s="392" t="str">
        <f t="shared" si="6"/>
        <v> $ 235,099.81 </v>
      </c>
      <c r="E25" s="392" t="str">
        <f t="shared" si="6"/>
        <v> $ 273.41 </v>
      </c>
      <c r="F25" s="392" t="str">
        <f t="shared" si="6"/>
        <v> $ 0.18 </v>
      </c>
      <c r="G25" s="490" t="str">
        <f t="shared" si="6"/>
        <v> $ -   </v>
      </c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</row>
    <row r="26" ht="12.75" customHeight="1">
      <c r="A26" s="509"/>
      <c r="B26" s="393"/>
      <c r="C26" s="393"/>
      <c r="D26" s="393"/>
      <c r="E26" s="393"/>
      <c r="F26" s="393"/>
      <c r="G26" s="444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</row>
    <row r="27" ht="12.75" customHeight="1">
      <c r="A27" s="508" t="s">
        <v>428</v>
      </c>
      <c r="B27" s="393"/>
      <c r="C27" s="393"/>
      <c r="D27" s="393"/>
      <c r="E27" s="393"/>
      <c r="F27" s="393"/>
      <c r="G27" s="444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</row>
    <row r="28" ht="12.75" customHeight="1">
      <c r="A28" s="509" t="s">
        <v>723</v>
      </c>
      <c r="B28" s="393">
        <v>0.0</v>
      </c>
      <c r="C28" s="393">
        <v>0.0</v>
      </c>
      <c r="D28" s="393">
        <v>0.0</v>
      </c>
      <c r="E28" s="393">
        <v>0.0</v>
      </c>
      <c r="F28" s="393">
        <v>0.0</v>
      </c>
      <c r="G28" s="444">
        <v>0.0</v>
      </c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</row>
    <row r="29" ht="12.75" customHeight="1">
      <c r="A29" s="509" t="s">
        <v>724</v>
      </c>
      <c r="B29" s="393"/>
      <c r="C29" s="393"/>
      <c r="D29" s="393"/>
      <c r="E29" s="393"/>
      <c r="F29" s="393"/>
      <c r="G29" s="444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</row>
    <row r="30" ht="12.75" customHeight="1">
      <c r="A30" s="509" t="s">
        <v>725</v>
      </c>
      <c r="B30" s="393" t="str">
        <f t="shared" ref="B30:B31" si="8">0.21*B10</f>
        <v> $ 37,369.50 </v>
      </c>
      <c r="C30" s="393" t="str">
        <f t="shared" ref="C30:G30" si="7">0.21*(C10-B10)</f>
        <v> $ 241,450.15 </v>
      </c>
      <c r="D30" s="393" t="str">
        <f t="shared" si="7"/>
        <v> $ -   </v>
      </c>
      <c r="E30" s="393" t="str">
        <f t="shared" si="7"/>
        <v> $ -   </v>
      </c>
      <c r="F30" s="393" t="str">
        <f t="shared" si="7"/>
        <v> $ -   </v>
      </c>
      <c r="G30" s="444" t="str">
        <f t="shared" si="7"/>
        <v> $ -   </v>
      </c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</row>
    <row r="31" ht="12.75" customHeight="1">
      <c r="A31" s="509" t="s">
        <v>726</v>
      </c>
      <c r="B31" s="393" t="str">
        <f t="shared" si="8"/>
        <v> $ 34,237.83 </v>
      </c>
      <c r="C31" s="393" t="str">
        <f t="shared" ref="C31:G31" si="9">0.21*(C11-B11)</f>
        <v> $ 8,559.46 </v>
      </c>
      <c r="D31" s="393" t="str">
        <f t="shared" si="9"/>
        <v> $ 950.41 </v>
      </c>
      <c r="E31" s="393" t="str">
        <f t="shared" si="9"/>
        <v> $ -   </v>
      </c>
      <c r="F31" s="393" t="str">
        <f t="shared" si="9"/>
        <v> $ -   </v>
      </c>
      <c r="G31" s="444" t="str">
        <f t="shared" si="9"/>
        <v> $ -   </v>
      </c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</row>
    <row r="32" ht="12.75" customHeight="1">
      <c r="A32" s="509" t="s">
        <v>727</v>
      </c>
      <c r="B32" s="393">
        <v>0.0</v>
      </c>
      <c r="C32" s="393" t="str">
        <f>(SUM('E-Costos'!B25,'E-Costos'!B30,'E-Costos'!B31,'E-Costos'!B32))*0.21</f>
        <v> $ 8,524.02 </v>
      </c>
      <c r="D32" s="393" t="str">
        <f>(((SUM('E-Costos'!C25,'E-Costos'!C30,'E-Costos'!C31,'E-Costos'!C32))*0.21)-((SUM('E-Costos'!B25,'E-Costos'!B30,'E-Costos'!B31,'E-Costos'!B32))*0.21))</f>
        <v> $ 141.26 </v>
      </c>
      <c r="E32" s="393" t="str">
        <f>(((SUM('E-Costos'!D25,'E-Costos'!D30,'E-Costos'!D31,'E-Costos'!D32))*0.21)-((SUM('E-Costos'!C25,'E-Costos'!C30,'E-Costos'!C31,'E-Costos'!C32))*0.21))</f>
        <v> $ -   </v>
      </c>
      <c r="F32" s="393" t="str">
        <f>(((SUM('E-Costos'!E25,'E-Costos'!E30,'E-Costos'!E31,'E-Costos'!E32))*0.21)-((SUM('E-Costos'!D25,'E-Costos'!D30,'E-Costos'!D31,'E-Costos'!D32))*0.21))</f>
        <v> $ -   </v>
      </c>
      <c r="G32" s="444" t="str">
        <f>(((SUM('E-Costos'!F25,'E-Costos'!F30,'E-Costos'!F31,'E-Costos'!F32))*0.21)-((SUM('E-Costos'!E25,'E-Costos'!E30,'E-Costos'!E31,'E-Costos'!E32))*0.21))</f>
        <v> $ -   </v>
      </c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</row>
    <row r="33" ht="12.75" customHeight="1">
      <c r="A33" s="509" t="s">
        <v>728</v>
      </c>
      <c r="B33" s="393">
        <v>0.0</v>
      </c>
      <c r="C33" s="393" t="str">
        <f>'Conformación de Datos'!B308</f>
        <v> $ 6,020.73 </v>
      </c>
      <c r="D33" s="393" t="str">
        <f>'Conformación de Datos'!C308</f>
        <v> $ 227.57 </v>
      </c>
      <c r="E33" s="393" t="str">
        <f>'Conformación de Datos'!D308</f>
        <v> $ -   </v>
      </c>
      <c r="F33" s="393" t="str">
        <f>'Conformación de Datos'!E308</f>
        <v> $ -   </v>
      </c>
      <c r="G33" s="444" t="str">
        <f>'Conformación de Datos'!F308</f>
        <v> $ -   </v>
      </c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</row>
    <row r="34" ht="12.75" customHeight="1">
      <c r="A34" s="508" t="s">
        <v>729</v>
      </c>
      <c r="B34" s="392" t="str">
        <f t="shared" ref="B34:G34" si="10">SUM(B28:B33)</f>
        <v> $ 71,607.32 </v>
      </c>
      <c r="C34" s="392" t="str">
        <f t="shared" si="10"/>
        <v> $ 264,554.36 </v>
      </c>
      <c r="D34" s="392" t="str">
        <f t="shared" si="10"/>
        <v> $ 1,319.24 </v>
      </c>
      <c r="E34" s="392" t="str">
        <f t="shared" si="10"/>
        <v> $ -   </v>
      </c>
      <c r="F34" s="392" t="str">
        <f t="shared" si="10"/>
        <v> $ -   </v>
      </c>
      <c r="G34" s="490" t="str">
        <f t="shared" si="10"/>
        <v> $ -   </v>
      </c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</row>
    <row r="35" ht="12.75" customHeight="1">
      <c r="A35" s="509"/>
      <c r="B35" s="429"/>
      <c r="C35" s="429"/>
      <c r="D35" s="429"/>
      <c r="E35" s="429"/>
      <c r="F35" s="429"/>
      <c r="G35" s="510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</row>
    <row r="36" ht="13.5" customHeight="1">
      <c r="A36" s="511" t="s">
        <v>730</v>
      </c>
      <c r="B36" s="512" t="str">
        <f t="shared" ref="B36:G36" si="11">B25+B34</f>
        <v> $ 751,714.59 </v>
      </c>
      <c r="C36" s="512" t="str">
        <f t="shared" si="11"/>
        <v> $ 2,644,558.33 </v>
      </c>
      <c r="D36" s="512" t="str">
        <f t="shared" si="11"/>
        <v> $ 236,419.05 </v>
      </c>
      <c r="E36" s="512" t="str">
        <f t="shared" si="11"/>
        <v> $ 273.41 </v>
      </c>
      <c r="F36" s="512" t="str">
        <f t="shared" si="11"/>
        <v> $ 0.18 </v>
      </c>
      <c r="G36" s="513" t="str">
        <f t="shared" si="11"/>
        <v> $ -   </v>
      </c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</row>
    <row r="37" ht="12.75" customHeight="1">
      <c r="A37" s="30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</row>
    <row r="38" ht="12.75" customHeight="1">
      <c r="A38" s="306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</row>
    <row r="39" ht="12.75" customHeight="1">
      <c r="A39" s="306" t="s">
        <v>731</v>
      </c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</row>
    <row r="40" ht="12.75" customHeight="1">
      <c r="A40" s="306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</row>
    <row r="41" ht="12.75" customHeight="1">
      <c r="A41" s="306" t="s">
        <v>732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</row>
    <row r="42" ht="12.75" customHeight="1">
      <c r="A42" s="306"/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</row>
    <row r="43" ht="12.75" customHeight="1">
      <c r="A43" s="306" t="s">
        <v>733</v>
      </c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</row>
    <row r="44" ht="12.75" customHeight="1">
      <c r="A44" s="306"/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</row>
    <row r="45" ht="12.75" customHeight="1">
      <c r="A45" s="306" t="s">
        <v>734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</row>
    <row r="46" ht="12.75" customHeight="1">
      <c r="A46" s="306"/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</row>
    <row r="47" ht="12.75" customHeight="1">
      <c r="A47" s="306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</row>
    <row r="48" ht="12.75" customHeight="1">
      <c r="A48" s="306"/>
      <c r="B48" s="393" t="str">
        <f>(SUM('E-Costos'!B41,'E-Costos'!B46,'E-Costos'!B47,'E-Costos'!B48))*0.21</f>
        <v> $ 58,517.84 </v>
      </c>
      <c r="C48" s="393" t="str">
        <f>(SUM('E-Costos'!C41,'E-Costos'!C46,'E-Costos'!C47,'E-Costos'!C48))*0.21</f>
        <v> $ 0.21 </v>
      </c>
      <c r="D48" s="393" t="str">
        <f>(SUM('E-Costos'!D41,'E-Costos'!D46,'E-Costos'!D47,'E-Costos'!D48))*0.21</f>
        <v> $ 0.21 </v>
      </c>
      <c r="E48" s="393" t="str">
        <f>(SUM('E-Costos'!E41,'E-Costos'!E46,'E-Costos'!E47,'E-Costos'!E48))*0.21</f>
        <v> $ 0.21 </v>
      </c>
      <c r="F48" s="393" t="str">
        <f>(SUM('E-Costos'!F41,'E-Costos'!F46,'E-Costos'!F47,'E-Costos'!F48))*0.21</f>
        <v> $ 0.21 </v>
      </c>
      <c r="G48" s="42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</row>
    <row r="49" ht="12.75" customHeight="1">
      <c r="A49" s="306"/>
      <c r="B49" s="306" t="s">
        <v>376</v>
      </c>
      <c r="C49" s="306" t="s">
        <v>735</v>
      </c>
      <c r="D49" s="306" t="s">
        <v>736</v>
      </c>
      <c r="E49" s="306" t="s">
        <v>737</v>
      </c>
      <c r="F49" s="306" t="s">
        <v>738</v>
      </c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</row>
    <row r="50" ht="12.75" customHeight="1">
      <c r="A50" s="306" t="s">
        <v>739</v>
      </c>
      <c r="B50" s="514">
        <v>452231.0</v>
      </c>
      <c r="C50" s="306">
        <v>3119.97</v>
      </c>
      <c r="D50" s="306">
        <v>3119.97</v>
      </c>
      <c r="E50" s="306">
        <v>3119.97</v>
      </c>
      <c r="F50" s="306">
        <v>3119.97</v>
      </c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</row>
    <row r="51" ht="12.75" customHeight="1">
      <c r="A51" s="306" t="s">
        <v>740</v>
      </c>
      <c r="B51" s="514">
        <v>452231.0</v>
      </c>
      <c r="C51" s="306">
        <v>-18.05</v>
      </c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</row>
    <row r="52" ht="12.75" customHeight="1">
      <c r="A52" s="306"/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</row>
    <row r="53" ht="12.75" customHeight="1">
      <c r="A53" s="306"/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</row>
    <row r="54" ht="12.75" customHeight="1">
      <c r="A54" s="306"/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</row>
    <row r="55" ht="12.75" customHeight="1">
      <c r="A55" s="306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</row>
    <row r="56" ht="12.75" customHeight="1">
      <c r="A56" s="306"/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</row>
    <row r="57" ht="12.75" customHeight="1">
      <c r="A57" s="306"/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</row>
    <row r="58" ht="12.75" customHeight="1">
      <c r="A58" s="306"/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</row>
    <row r="59" ht="12.75" customHeight="1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</row>
    <row r="60" ht="12.75" customHeight="1">
      <c r="A60" s="306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</row>
    <row r="61" ht="12.75" customHeight="1">
      <c r="A61" s="306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</row>
    <row r="62" ht="12.75" customHeigh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</row>
    <row r="63" ht="12.75" customHeight="1">
      <c r="A63" s="306"/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</row>
    <row r="64" ht="12.75" customHeight="1">
      <c r="A64" s="306"/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</row>
    <row r="65" ht="12.75" customHeight="1">
      <c r="A65" s="306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</row>
    <row r="66" ht="12.75" customHeight="1">
      <c r="A66" s="306"/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</row>
    <row r="67" ht="12.75" customHeight="1">
      <c r="A67" s="306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</row>
    <row r="68" ht="12.75" customHeight="1">
      <c r="A68" s="306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</row>
    <row r="69" ht="12.75" customHeight="1">
      <c r="A69" s="306"/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</row>
    <row r="70" ht="12.75" customHeight="1">
      <c r="A70" s="306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</row>
    <row r="71" ht="12.75" customHeight="1">
      <c r="A71" s="306"/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</row>
    <row r="72" ht="12.75" customHeight="1">
      <c r="A72" s="306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</row>
    <row r="73" ht="12.75" customHeight="1">
      <c r="A73" s="306"/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</row>
    <row r="74" ht="12.75" customHeight="1">
      <c r="A74" s="306"/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</row>
    <row r="75" ht="12.75" customHeight="1">
      <c r="A75" s="306"/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</row>
    <row r="76" ht="12.75" customHeight="1">
      <c r="A76" s="306"/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</row>
    <row r="77" ht="12.75" customHeight="1">
      <c r="A77" s="306"/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</row>
    <row r="78" ht="12.75" customHeight="1">
      <c r="A78" s="306"/>
      <c r="B78" s="306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</row>
    <row r="79" ht="12.75" customHeight="1">
      <c r="A79" s="306"/>
      <c r="B79" s="306"/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6"/>
      <c r="Z79" s="306"/>
    </row>
    <row r="80" ht="12.75" customHeight="1">
      <c r="A80" s="306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</row>
    <row r="81" ht="12.75" customHeight="1">
      <c r="A81" s="306"/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</row>
    <row r="82" ht="12.75" customHeight="1">
      <c r="A82" s="306"/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</row>
    <row r="83" ht="12.75" customHeight="1">
      <c r="A83" s="306"/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</row>
    <row r="84" ht="12.75" customHeight="1">
      <c r="A84" s="306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</row>
    <row r="85" ht="12.75" customHeight="1">
      <c r="A85" s="306"/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</row>
    <row r="86" ht="12.75" customHeight="1">
      <c r="A86" s="306"/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</row>
    <row r="87" ht="12.75" customHeight="1">
      <c r="A87" s="306"/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</row>
    <row r="88" ht="12.75" customHeight="1">
      <c r="A88" s="306"/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</row>
    <row r="89" ht="12.75" customHeight="1">
      <c r="A89" s="306"/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</row>
    <row r="90" ht="12.75" customHeight="1">
      <c r="A90" s="306"/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</row>
    <row r="91" ht="12.75" customHeight="1">
      <c r="A91" s="306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</row>
    <row r="92" ht="12.75" customHeigh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</row>
    <row r="93" ht="12.75" customHeight="1">
      <c r="A93" s="306"/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</row>
    <row r="94" ht="12.75" customHeight="1">
      <c r="A94" s="306"/>
      <c r="B94" s="306"/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</row>
    <row r="95" ht="12.75" customHeight="1">
      <c r="A95" s="306"/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</row>
    <row r="96" ht="12.75" customHeight="1">
      <c r="A96" s="306"/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</row>
    <row r="97" ht="12.75" customHeight="1">
      <c r="A97" s="306"/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</row>
    <row r="98" ht="12.75" customHeight="1">
      <c r="A98" s="306"/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</row>
    <row r="99" ht="12.75" customHeight="1">
      <c r="A99" s="306"/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</row>
    <row r="100" ht="12.75" customHeight="1">
      <c r="A100" s="306"/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</row>
    <row r="101" ht="12.75" customHeight="1">
      <c r="A101" s="306"/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</row>
    <row r="102" ht="12.75" customHeight="1">
      <c r="A102" s="306"/>
      <c r="B102" s="306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</row>
    <row r="103" ht="12.75" customHeight="1">
      <c r="A103" s="306"/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</row>
    <row r="104" ht="12.75" customHeight="1">
      <c r="A104" s="306"/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</row>
    <row r="105" ht="12.75" customHeight="1">
      <c r="A105" s="306"/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</row>
    <row r="106" ht="12.75" customHeight="1">
      <c r="A106" s="306"/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</row>
    <row r="107" ht="12.75" customHeight="1">
      <c r="A107" s="306"/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</row>
    <row r="108" ht="12.75" customHeight="1">
      <c r="A108" s="306"/>
      <c r="B108" s="306"/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306"/>
    </row>
    <row r="109" ht="12.75" customHeight="1">
      <c r="A109" s="306"/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6"/>
    </row>
    <row r="110" ht="12.75" customHeight="1">
      <c r="A110" s="306"/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</row>
    <row r="111" ht="12.75" customHeight="1">
      <c r="A111" s="306"/>
      <c r="B111" s="306"/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6"/>
      <c r="X111" s="306"/>
      <c r="Y111" s="306"/>
      <c r="Z111" s="306"/>
    </row>
    <row r="112" ht="12.75" customHeight="1">
      <c r="A112" s="306"/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</row>
    <row r="113" ht="12.75" customHeight="1">
      <c r="A113" s="306"/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</row>
    <row r="114" ht="12.75" customHeight="1">
      <c r="A114" s="306"/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</row>
    <row r="115" ht="12.75" customHeight="1">
      <c r="A115" s="306"/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  <c r="Z115" s="306"/>
    </row>
    <row r="116" ht="12.75" customHeight="1">
      <c r="A116" s="306"/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</row>
    <row r="117" ht="12.75" customHeight="1">
      <c r="A117" s="306"/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  <c r="S117" s="306"/>
      <c r="T117" s="306"/>
      <c r="U117" s="306"/>
      <c r="V117" s="306"/>
      <c r="W117" s="306"/>
      <c r="X117" s="306"/>
      <c r="Y117" s="306"/>
      <c r="Z117" s="306"/>
    </row>
    <row r="118" ht="12.75" customHeight="1">
      <c r="A118" s="306"/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R118" s="306"/>
      <c r="S118" s="306"/>
      <c r="T118" s="306"/>
      <c r="U118" s="306"/>
      <c r="V118" s="306"/>
      <c r="W118" s="306"/>
      <c r="X118" s="306"/>
      <c r="Y118" s="306"/>
      <c r="Z118" s="306"/>
    </row>
    <row r="119" ht="12.75" customHeight="1">
      <c r="A119" s="306"/>
      <c r="B119" s="306"/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</row>
    <row r="120" ht="12.75" customHeight="1">
      <c r="A120" s="306"/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</row>
    <row r="121" ht="12.75" customHeight="1">
      <c r="A121" s="306"/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</row>
    <row r="122" ht="12.75" customHeigh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  <c r="X122" s="306"/>
      <c r="Y122" s="306"/>
      <c r="Z122" s="306"/>
    </row>
    <row r="123" ht="12.75" customHeight="1">
      <c r="A123" s="306"/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</row>
    <row r="124" ht="12.75" customHeight="1">
      <c r="A124" s="306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</row>
    <row r="125" ht="12.75" customHeight="1">
      <c r="A125" s="306"/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</row>
    <row r="126" ht="12.75" customHeight="1">
      <c r="A126" s="306"/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</row>
    <row r="127" ht="12.75" customHeight="1">
      <c r="A127" s="306"/>
      <c r="B127" s="306"/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</row>
    <row r="128" ht="12.75" customHeight="1">
      <c r="A128" s="306"/>
      <c r="B128" s="306"/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</row>
    <row r="129" ht="12.75" customHeight="1">
      <c r="A129" s="306"/>
      <c r="B129" s="306"/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</row>
    <row r="130" ht="12.75" customHeight="1">
      <c r="A130" s="306"/>
      <c r="B130" s="306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</row>
    <row r="131" ht="12.75" customHeight="1">
      <c r="A131" s="306"/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</row>
    <row r="132" ht="12.75" customHeight="1">
      <c r="A132" s="306"/>
      <c r="B132" s="306"/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306"/>
    </row>
    <row r="133" ht="12.75" customHeight="1">
      <c r="A133" s="306"/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  <c r="Z133" s="306"/>
    </row>
    <row r="134" ht="12.75" customHeight="1">
      <c r="A134" s="306"/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</row>
    <row r="135" ht="12.75" customHeight="1">
      <c r="A135" s="306"/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</row>
    <row r="136" ht="12.75" customHeight="1">
      <c r="A136" s="306"/>
      <c r="B136" s="306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</row>
    <row r="137" ht="12.75" customHeight="1">
      <c r="A137" s="306"/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  <c r="Y137" s="306"/>
      <c r="Z137" s="306"/>
    </row>
    <row r="138" ht="12.75" customHeight="1">
      <c r="A138" s="306"/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</row>
    <row r="139" ht="12.75" customHeight="1">
      <c r="A139" s="306"/>
      <c r="B139" s="306"/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</row>
    <row r="140" ht="12.75" customHeight="1">
      <c r="A140" s="306"/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</row>
    <row r="141" ht="12.75" customHeight="1">
      <c r="A141" s="306"/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</row>
    <row r="142" ht="12.75" customHeight="1">
      <c r="A142" s="306"/>
      <c r="B142" s="306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</row>
    <row r="143" ht="12.75" customHeight="1">
      <c r="A143" s="306"/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6"/>
      <c r="U143" s="306"/>
      <c r="V143" s="306"/>
      <c r="W143" s="306"/>
      <c r="X143" s="306"/>
      <c r="Y143" s="306"/>
      <c r="Z143" s="306"/>
    </row>
    <row r="144" ht="12.75" customHeight="1">
      <c r="A144" s="306"/>
      <c r="B144" s="306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306"/>
    </row>
    <row r="145" ht="12.75" customHeight="1">
      <c r="A145" s="306"/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</row>
    <row r="146" ht="12.75" customHeight="1">
      <c r="A146" s="306"/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</row>
    <row r="147" ht="12.75" customHeight="1">
      <c r="A147" s="306"/>
      <c r="B147" s="306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  <c r="Z147" s="306"/>
    </row>
    <row r="148" ht="12.75" customHeight="1">
      <c r="A148" s="306"/>
      <c r="B148" s="306"/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  <c r="Z148" s="306"/>
    </row>
    <row r="149" ht="12.75" customHeight="1">
      <c r="A149" s="306"/>
      <c r="B149" s="306"/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</row>
    <row r="150" ht="12.75" customHeight="1">
      <c r="A150" s="306"/>
      <c r="B150" s="306"/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</row>
    <row r="151" ht="12.75" customHeight="1">
      <c r="A151" s="306"/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306"/>
      <c r="Y151" s="306"/>
      <c r="Z151" s="306"/>
    </row>
    <row r="152" ht="12.75" customHeight="1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</row>
    <row r="153" ht="12.75" customHeight="1">
      <c r="A153" s="306"/>
      <c r="B153" s="306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  <c r="Z153" s="306"/>
    </row>
    <row r="154" ht="12.75" customHeight="1">
      <c r="A154" s="306"/>
      <c r="B154" s="306"/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306"/>
      <c r="X154" s="306"/>
      <c r="Y154" s="306"/>
      <c r="Z154" s="306"/>
    </row>
    <row r="155" ht="12.75" customHeight="1">
      <c r="A155" s="306"/>
      <c r="B155" s="306"/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306"/>
      <c r="X155" s="306"/>
      <c r="Y155" s="306"/>
      <c r="Z155" s="306"/>
    </row>
    <row r="156" ht="12.75" customHeight="1">
      <c r="A156" s="306"/>
      <c r="B156" s="306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306"/>
      <c r="X156" s="306"/>
      <c r="Y156" s="306"/>
      <c r="Z156" s="306"/>
    </row>
    <row r="157" ht="12.75" customHeight="1">
      <c r="A157" s="306"/>
      <c r="B157" s="306"/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306"/>
    </row>
    <row r="158" ht="12.75" customHeight="1">
      <c r="A158" s="306"/>
      <c r="B158" s="306"/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</row>
    <row r="159" ht="12.75" customHeight="1">
      <c r="A159" s="306"/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</row>
    <row r="160" ht="12.75" customHeight="1">
      <c r="A160" s="306"/>
      <c r="B160" s="306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  <c r="Z160" s="306"/>
    </row>
    <row r="161" ht="12.75" customHeight="1">
      <c r="A161" s="306"/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</row>
    <row r="162" ht="12.75" customHeight="1">
      <c r="A162" s="306"/>
      <c r="B162" s="306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</row>
    <row r="163" ht="12.75" customHeight="1">
      <c r="A163" s="306"/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</row>
    <row r="164" ht="12.75" customHeight="1">
      <c r="A164" s="306"/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</row>
    <row r="165" ht="12.75" customHeight="1">
      <c r="A165" s="306"/>
      <c r="B165" s="306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</row>
    <row r="166" ht="12.75" customHeight="1">
      <c r="A166" s="306"/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</row>
    <row r="167" ht="12.75" customHeight="1">
      <c r="A167" s="306"/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</row>
    <row r="168" ht="12.75" customHeight="1">
      <c r="A168" s="306"/>
      <c r="B168" s="306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  <c r="Z168" s="306"/>
    </row>
    <row r="169" ht="12.75" customHeight="1">
      <c r="A169" s="306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6"/>
      <c r="T169" s="306"/>
      <c r="U169" s="306"/>
      <c r="V169" s="306"/>
      <c r="W169" s="306"/>
      <c r="X169" s="306"/>
      <c r="Y169" s="306"/>
      <c r="Z169" s="306"/>
    </row>
    <row r="170" ht="12.75" customHeight="1">
      <c r="A170" s="306"/>
      <c r="B170" s="306"/>
      <c r="C170" s="306"/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</row>
    <row r="171" ht="12.75" customHeight="1">
      <c r="A171" s="306"/>
      <c r="B171" s="306"/>
      <c r="C171" s="306"/>
      <c r="D171" s="306"/>
      <c r="E171" s="306"/>
      <c r="F171" s="306"/>
      <c r="G171" s="306"/>
      <c r="H171" s="306"/>
      <c r="I171" s="306"/>
      <c r="J171" s="306"/>
      <c r="K171" s="306"/>
      <c r="L171" s="306"/>
      <c r="M171" s="306"/>
      <c r="N171" s="306"/>
      <c r="O171" s="306"/>
      <c r="P171" s="306"/>
      <c r="Q171" s="306"/>
      <c r="R171" s="306"/>
      <c r="S171" s="306"/>
      <c r="T171" s="306"/>
      <c r="U171" s="306"/>
      <c r="V171" s="306"/>
      <c r="W171" s="306"/>
      <c r="X171" s="306"/>
      <c r="Y171" s="306"/>
      <c r="Z171" s="306"/>
    </row>
    <row r="172" ht="12.75" customHeight="1">
      <c r="A172" s="306"/>
      <c r="B172" s="306"/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</row>
    <row r="173" ht="12.75" customHeight="1">
      <c r="A173" s="306"/>
      <c r="B173" s="306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306"/>
      <c r="X173" s="306"/>
      <c r="Y173" s="306"/>
      <c r="Z173" s="306"/>
    </row>
    <row r="174" ht="12.75" customHeight="1">
      <c r="A174" s="306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  <c r="Z174" s="306"/>
    </row>
    <row r="175" ht="12.75" customHeight="1">
      <c r="A175" s="306"/>
      <c r="B175" s="306"/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</row>
    <row r="176" ht="12.75" customHeight="1">
      <c r="A176" s="306"/>
      <c r="B176" s="306"/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/>
      <c r="Z176" s="306"/>
    </row>
    <row r="177" ht="12.75" customHeight="1">
      <c r="A177" s="306"/>
      <c r="B177" s="306"/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306"/>
      <c r="X177" s="306"/>
      <c r="Y177" s="306"/>
      <c r="Z177" s="306"/>
    </row>
    <row r="178" ht="12.75" customHeight="1">
      <c r="A178" s="306"/>
      <c r="B178" s="306"/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306"/>
    </row>
    <row r="179" ht="12.75" customHeight="1">
      <c r="A179" s="306"/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/>
      <c r="V179" s="306"/>
      <c r="W179" s="306"/>
      <c r="X179" s="306"/>
      <c r="Y179" s="306"/>
      <c r="Z179" s="306"/>
    </row>
    <row r="180" ht="12.75" customHeight="1">
      <c r="A180" s="306"/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</row>
    <row r="181" ht="12.75" customHeight="1">
      <c r="A181" s="306"/>
      <c r="B181" s="306"/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  <c r="Y181" s="306"/>
      <c r="Z181" s="306"/>
    </row>
    <row r="182" ht="12.75" customHeigh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  <c r="Z182" s="306"/>
    </row>
    <row r="183" ht="12.75" customHeight="1">
      <c r="A183" s="306"/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</row>
    <row r="184" ht="12.75" customHeight="1">
      <c r="A184" s="306"/>
      <c r="B184" s="306"/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</row>
    <row r="185" ht="12.75" customHeight="1">
      <c r="A185" s="306"/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</row>
    <row r="186" ht="12.75" customHeight="1">
      <c r="A186" s="306"/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</row>
    <row r="187" ht="12.75" customHeight="1">
      <c r="A187" s="306"/>
      <c r="B187" s="306"/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</row>
    <row r="188" ht="12.75" customHeight="1">
      <c r="A188" s="306"/>
      <c r="B188" s="306"/>
      <c r="C188" s="306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  <c r="Z188" s="306"/>
    </row>
    <row r="189" ht="12.75" customHeight="1">
      <c r="A189" s="306"/>
      <c r="B189" s="306"/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</row>
    <row r="190" ht="12.75" customHeight="1">
      <c r="A190" s="306"/>
      <c r="B190" s="306"/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306"/>
    </row>
    <row r="191" ht="12.75" customHeight="1">
      <c r="A191" s="306"/>
      <c r="B191" s="306"/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</row>
    <row r="192" ht="12.75" customHeight="1">
      <c r="A192" s="306"/>
      <c r="B192" s="306"/>
      <c r="C192" s="306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</row>
    <row r="193" ht="12.75" customHeight="1">
      <c r="A193" s="306"/>
      <c r="B193" s="306"/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6"/>
      <c r="V193" s="306"/>
      <c r="W193" s="306"/>
      <c r="X193" s="306"/>
      <c r="Y193" s="306"/>
      <c r="Z193" s="306"/>
    </row>
    <row r="194" ht="12.75" customHeight="1">
      <c r="A194" s="306"/>
      <c r="B194" s="306"/>
      <c r="C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</row>
    <row r="195" ht="12.75" customHeight="1">
      <c r="A195" s="306"/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  <c r="Z195" s="306"/>
    </row>
    <row r="196" ht="12.75" customHeight="1">
      <c r="A196" s="306"/>
      <c r="B196" s="306"/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  <c r="Z196" s="306"/>
    </row>
    <row r="197" ht="12.75" customHeight="1">
      <c r="A197" s="306"/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  <c r="S197" s="306"/>
      <c r="T197" s="306"/>
      <c r="U197" s="306"/>
      <c r="V197" s="306"/>
      <c r="W197" s="306"/>
      <c r="X197" s="306"/>
      <c r="Y197" s="306"/>
      <c r="Z197" s="306"/>
    </row>
    <row r="198" ht="12.75" customHeight="1">
      <c r="A198" s="306"/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306"/>
    </row>
    <row r="199" ht="12.75" customHeight="1">
      <c r="A199" s="306"/>
      <c r="B199" s="306"/>
      <c r="C199" s="306"/>
      <c r="D199" s="306"/>
      <c r="E199" s="306"/>
      <c r="F199" s="306"/>
      <c r="G199" s="306"/>
      <c r="H199" s="306"/>
      <c r="I199" s="306"/>
      <c r="J199" s="306"/>
      <c r="K199" s="306"/>
      <c r="L199" s="306"/>
      <c r="M199" s="306"/>
      <c r="N199" s="306"/>
      <c r="O199" s="306"/>
      <c r="P199" s="306"/>
      <c r="Q199" s="306"/>
      <c r="R199" s="306"/>
      <c r="S199" s="306"/>
      <c r="T199" s="306"/>
      <c r="U199" s="306"/>
      <c r="V199" s="306"/>
      <c r="W199" s="306"/>
      <c r="X199" s="306"/>
      <c r="Y199" s="306"/>
      <c r="Z199" s="306"/>
    </row>
    <row r="200" ht="12.75" customHeight="1">
      <c r="A200" s="306"/>
      <c r="B200" s="306"/>
      <c r="C200" s="306"/>
      <c r="D200" s="306"/>
      <c r="E200" s="306"/>
      <c r="F200" s="306"/>
      <c r="G200" s="306"/>
      <c r="H200" s="306"/>
      <c r="I200" s="306"/>
      <c r="J200" s="306"/>
      <c r="K200" s="306"/>
      <c r="L200" s="306"/>
      <c r="M200" s="306"/>
      <c r="N200" s="306"/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  <c r="Z200" s="306"/>
    </row>
    <row r="201" ht="12.75" customHeight="1">
      <c r="A201" s="306"/>
      <c r="B201" s="306"/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  <c r="Z201" s="306"/>
    </row>
    <row r="202" ht="12.75" customHeight="1">
      <c r="A202" s="306"/>
      <c r="B202" s="306"/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  <c r="T202" s="306"/>
      <c r="U202" s="306"/>
      <c r="V202" s="306"/>
      <c r="W202" s="306"/>
      <c r="X202" s="306"/>
      <c r="Y202" s="306"/>
      <c r="Z202" s="306"/>
    </row>
    <row r="203" ht="12.75" customHeight="1">
      <c r="A203" s="306"/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306"/>
    </row>
    <row r="204" ht="12.75" customHeight="1">
      <c r="A204" s="306"/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</row>
    <row r="205" ht="12.75" customHeight="1">
      <c r="A205" s="306"/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</row>
    <row r="206" ht="12.75" customHeight="1">
      <c r="A206" s="306"/>
      <c r="B206" s="306"/>
      <c r="C206" s="306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  <c r="T206" s="306"/>
      <c r="U206" s="306"/>
      <c r="V206" s="306"/>
      <c r="W206" s="306"/>
      <c r="X206" s="306"/>
      <c r="Y206" s="306"/>
      <c r="Z206" s="306"/>
    </row>
    <row r="207" ht="12.75" customHeight="1">
      <c r="A207" s="306"/>
      <c r="B207" s="306"/>
      <c r="C207" s="306"/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  <c r="S207" s="306"/>
      <c r="T207" s="306"/>
      <c r="U207" s="306"/>
      <c r="V207" s="306"/>
      <c r="W207" s="306"/>
      <c r="X207" s="306"/>
      <c r="Y207" s="306"/>
      <c r="Z207" s="306"/>
    </row>
    <row r="208" ht="12.75" customHeight="1">
      <c r="A208" s="306"/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  <c r="T208" s="306"/>
      <c r="U208" s="306"/>
      <c r="V208" s="306"/>
      <c r="W208" s="306"/>
      <c r="X208" s="306"/>
      <c r="Y208" s="306"/>
      <c r="Z208" s="306"/>
    </row>
    <row r="209" ht="12.75" customHeight="1">
      <c r="A209" s="306"/>
      <c r="B209" s="306"/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  <c r="T209" s="306"/>
      <c r="U209" s="306"/>
      <c r="V209" s="306"/>
      <c r="W209" s="306"/>
      <c r="X209" s="306"/>
      <c r="Y209" s="306"/>
      <c r="Z209" s="306"/>
    </row>
    <row r="210" ht="12.75" customHeight="1">
      <c r="A210" s="306"/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/>
      <c r="Y210" s="306"/>
      <c r="Z210" s="306"/>
    </row>
    <row r="211" ht="12.75" customHeight="1">
      <c r="A211" s="306"/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  <c r="X211" s="306"/>
      <c r="Y211" s="306"/>
      <c r="Z211" s="306"/>
    </row>
    <row r="212" ht="12.75" customHeight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  <c r="X212" s="306"/>
      <c r="Y212" s="306"/>
      <c r="Z212" s="306"/>
    </row>
    <row r="213" ht="12.75" customHeight="1">
      <c r="A213" s="306"/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  <c r="T213" s="306"/>
      <c r="U213" s="306"/>
      <c r="V213" s="306"/>
      <c r="W213" s="306"/>
      <c r="X213" s="306"/>
      <c r="Y213" s="306"/>
      <c r="Z213" s="306"/>
    </row>
    <row r="214" ht="12.75" customHeight="1">
      <c r="A214" s="306"/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  <c r="S214" s="306"/>
      <c r="T214" s="306"/>
      <c r="U214" s="306"/>
      <c r="V214" s="306"/>
      <c r="W214" s="306"/>
      <c r="X214" s="306"/>
      <c r="Y214" s="306"/>
      <c r="Z214" s="306"/>
    </row>
    <row r="215" ht="12.75" customHeight="1">
      <c r="A215" s="306"/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  <c r="T215" s="306"/>
      <c r="U215" s="306"/>
      <c r="V215" s="306"/>
      <c r="W215" s="306"/>
      <c r="X215" s="306"/>
      <c r="Y215" s="306"/>
      <c r="Z215" s="306"/>
    </row>
    <row r="216" ht="12.75" customHeight="1">
      <c r="A216" s="306"/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  <c r="T216" s="306"/>
      <c r="U216" s="306"/>
      <c r="V216" s="306"/>
      <c r="W216" s="306"/>
      <c r="X216" s="306"/>
      <c r="Y216" s="306"/>
      <c r="Z216" s="306"/>
    </row>
    <row r="217" ht="12.75" customHeight="1">
      <c r="A217" s="306"/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  <c r="T217" s="306"/>
      <c r="U217" s="306"/>
      <c r="V217" s="306"/>
      <c r="W217" s="306"/>
      <c r="X217" s="306"/>
      <c r="Y217" s="306"/>
      <c r="Z217" s="306"/>
    </row>
    <row r="218" ht="12.75" customHeight="1">
      <c r="A218" s="306"/>
      <c r="B218" s="306"/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  <c r="T218" s="306"/>
      <c r="U218" s="306"/>
      <c r="V218" s="306"/>
      <c r="W218" s="306"/>
      <c r="X218" s="306"/>
      <c r="Y218" s="306"/>
      <c r="Z218" s="306"/>
    </row>
    <row r="219" ht="12.75" customHeight="1">
      <c r="A219" s="306"/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</row>
    <row r="220" ht="12.75" customHeight="1">
      <c r="A220" s="306"/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</row>
    <row r="221" ht="12.75" customHeight="1">
      <c r="A221" s="306"/>
      <c r="B221" s="306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  <c r="Z221" s="306"/>
    </row>
    <row r="222" ht="12.75" customHeight="1">
      <c r="A222" s="306"/>
      <c r="B222" s="306"/>
      <c r="C222" s="306"/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  <c r="S222" s="306"/>
      <c r="T222" s="306"/>
      <c r="U222" s="306"/>
      <c r="V222" s="306"/>
      <c r="W222" s="306"/>
      <c r="X222" s="306"/>
      <c r="Y222" s="306"/>
      <c r="Z222" s="306"/>
    </row>
    <row r="223" ht="12.75" customHeight="1">
      <c r="A223" s="306"/>
      <c r="B223" s="306"/>
      <c r="C223" s="306"/>
      <c r="D223" s="306"/>
      <c r="E223" s="306"/>
      <c r="F223" s="306"/>
      <c r="G223" s="306"/>
      <c r="H223" s="306"/>
      <c r="I223" s="306"/>
      <c r="J223" s="306"/>
      <c r="K223" s="306"/>
      <c r="L223" s="306"/>
      <c r="M223" s="306"/>
      <c r="N223" s="306"/>
      <c r="O223" s="306"/>
      <c r="P223" s="306"/>
      <c r="Q223" s="306"/>
      <c r="R223" s="306"/>
      <c r="S223" s="306"/>
      <c r="T223" s="306"/>
      <c r="U223" s="306"/>
      <c r="V223" s="306"/>
      <c r="W223" s="306"/>
      <c r="X223" s="306"/>
      <c r="Y223" s="306"/>
      <c r="Z223" s="306"/>
    </row>
    <row r="224" ht="12.75" customHeight="1">
      <c r="A224" s="306"/>
      <c r="B224" s="306"/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  <c r="T224" s="306"/>
      <c r="U224" s="306"/>
      <c r="V224" s="306"/>
      <c r="W224" s="306"/>
      <c r="X224" s="306"/>
      <c r="Y224" s="306"/>
      <c r="Z224" s="306"/>
    </row>
    <row r="225" ht="12.75" customHeight="1">
      <c r="A225" s="306"/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306"/>
      <c r="O225" s="306"/>
      <c r="P225" s="306"/>
      <c r="Q225" s="306"/>
      <c r="R225" s="306"/>
      <c r="S225" s="306"/>
      <c r="T225" s="306"/>
      <c r="U225" s="306"/>
      <c r="V225" s="306"/>
      <c r="W225" s="306"/>
      <c r="X225" s="306"/>
      <c r="Y225" s="306"/>
      <c r="Z225" s="306"/>
    </row>
    <row r="226" ht="12.75" customHeight="1">
      <c r="A226" s="306"/>
      <c r="B226" s="306"/>
      <c r="C226" s="306"/>
      <c r="D226" s="306"/>
      <c r="E226" s="306"/>
      <c r="F226" s="306"/>
      <c r="G226" s="306"/>
      <c r="H226" s="306"/>
      <c r="I226" s="306"/>
      <c r="J226" s="306"/>
      <c r="K226" s="306"/>
      <c r="L226" s="306"/>
      <c r="M226" s="306"/>
      <c r="N226" s="306"/>
      <c r="O226" s="306"/>
      <c r="P226" s="306"/>
      <c r="Q226" s="306"/>
      <c r="R226" s="306"/>
      <c r="S226" s="306"/>
      <c r="T226" s="306"/>
      <c r="U226" s="306"/>
      <c r="V226" s="306"/>
      <c r="W226" s="306"/>
      <c r="X226" s="306"/>
      <c r="Y226" s="306"/>
      <c r="Z226" s="306"/>
    </row>
    <row r="227" ht="12.75" customHeight="1">
      <c r="A227" s="306"/>
      <c r="B227" s="306"/>
      <c r="C227" s="306"/>
      <c r="D227" s="306"/>
      <c r="E227" s="306"/>
      <c r="F227" s="306"/>
      <c r="G227" s="306"/>
      <c r="H227" s="306"/>
      <c r="I227" s="306"/>
      <c r="J227" s="306"/>
      <c r="K227" s="306"/>
      <c r="L227" s="306"/>
      <c r="M227" s="306"/>
      <c r="N227" s="306"/>
      <c r="O227" s="306"/>
      <c r="P227" s="306"/>
      <c r="Q227" s="306"/>
      <c r="R227" s="306"/>
      <c r="S227" s="306"/>
      <c r="T227" s="306"/>
      <c r="U227" s="306"/>
      <c r="V227" s="306"/>
      <c r="W227" s="306"/>
      <c r="X227" s="306"/>
      <c r="Y227" s="306"/>
      <c r="Z227" s="306"/>
    </row>
    <row r="228" ht="12.75" customHeight="1">
      <c r="A228" s="306"/>
      <c r="B228" s="306"/>
      <c r="C228" s="306"/>
      <c r="D228" s="306"/>
      <c r="E228" s="306"/>
      <c r="F228" s="306"/>
      <c r="G228" s="306"/>
      <c r="H228" s="306"/>
      <c r="I228" s="306"/>
      <c r="J228" s="306"/>
      <c r="K228" s="306"/>
      <c r="L228" s="306"/>
      <c r="M228" s="306"/>
      <c r="N228" s="306"/>
      <c r="O228" s="306"/>
      <c r="P228" s="306"/>
      <c r="Q228" s="306"/>
      <c r="R228" s="306"/>
      <c r="S228" s="306"/>
      <c r="T228" s="306"/>
      <c r="U228" s="306"/>
      <c r="V228" s="306"/>
      <c r="W228" s="306"/>
      <c r="X228" s="306"/>
      <c r="Y228" s="306"/>
      <c r="Z228" s="306"/>
    </row>
    <row r="229" ht="12.75" customHeight="1">
      <c r="A229" s="306"/>
      <c r="B229" s="306"/>
      <c r="C229" s="306"/>
      <c r="D229" s="306"/>
      <c r="E229" s="306"/>
      <c r="F229" s="306"/>
      <c r="G229" s="306"/>
      <c r="H229" s="306"/>
      <c r="I229" s="306"/>
      <c r="J229" s="306"/>
      <c r="K229" s="306"/>
      <c r="L229" s="306"/>
      <c r="M229" s="306"/>
      <c r="N229" s="306"/>
      <c r="O229" s="306"/>
      <c r="P229" s="306"/>
      <c r="Q229" s="306"/>
      <c r="R229" s="306"/>
      <c r="S229" s="306"/>
      <c r="T229" s="306"/>
      <c r="U229" s="306"/>
      <c r="V229" s="306"/>
      <c r="W229" s="306"/>
      <c r="X229" s="306"/>
      <c r="Y229" s="306"/>
      <c r="Z229" s="306"/>
    </row>
    <row r="230" ht="12.75" customHeight="1">
      <c r="A230" s="306"/>
      <c r="B230" s="306"/>
      <c r="C230" s="306"/>
      <c r="D230" s="306"/>
      <c r="E230" s="306"/>
      <c r="F230" s="306"/>
      <c r="G230" s="306"/>
      <c r="H230" s="306"/>
      <c r="I230" s="306"/>
      <c r="J230" s="306"/>
      <c r="K230" s="306"/>
      <c r="L230" s="306"/>
      <c r="M230" s="306"/>
      <c r="N230" s="306"/>
      <c r="O230" s="306"/>
      <c r="P230" s="306"/>
      <c r="Q230" s="306"/>
      <c r="R230" s="306"/>
      <c r="S230" s="306"/>
      <c r="T230" s="306"/>
      <c r="U230" s="306"/>
      <c r="V230" s="306"/>
      <c r="W230" s="306"/>
      <c r="X230" s="306"/>
      <c r="Y230" s="306"/>
      <c r="Z230" s="306"/>
    </row>
    <row r="231" ht="12.75" customHeight="1">
      <c r="A231" s="306"/>
      <c r="B231" s="306"/>
      <c r="C231" s="306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  <c r="S231" s="306"/>
      <c r="T231" s="306"/>
      <c r="U231" s="306"/>
      <c r="V231" s="306"/>
      <c r="W231" s="306"/>
      <c r="X231" s="306"/>
      <c r="Y231" s="306"/>
      <c r="Z231" s="306"/>
    </row>
    <row r="232" ht="12.75" customHeight="1">
      <c r="A232" s="306"/>
      <c r="B232" s="306"/>
      <c r="C232" s="306"/>
      <c r="D232" s="306"/>
      <c r="E232" s="306"/>
      <c r="F232" s="306"/>
      <c r="G232" s="306"/>
      <c r="H232" s="306"/>
      <c r="I232" s="306"/>
      <c r="J232" s="306"/>
      <c r="K232" s="306"/>
      <c r="L232" s="306"/>
      <c r="M232" s="306"/>
      <c r="N232" s="306"/>
      <c r="O232" s="306"/>
      <c r="P232" s="306"/>
      <c r="Q232" s="306"/>
      <c r="R232" s="306"/>
      <c r="S232" s="306"/>
      <c r="T232" s="306"/>
      <c r="U232" s="306"/>
      <c r="V232" s="306"/>
      <c r="W232" s="306"/>
      <c r="X232" s="306"/>
      <c r="Y232" s="306"/>
      <c r="Z232" s="306"/>
    </row>
    <row r="233" ht="12.75" customHeight="1">
      <c r="A233" s="306"/>
      <c r="B233" s="306"/>
      <c r="C233" s="306"/>
      <c r="D233" s="306"/>
      <c r="E233" s="306"/>
      <c r="F233" s="306"/>
      <c r="G233" s="306"/>
      <c r="H233" s="306"/>
      <c r="I233" s="306"/>
      <c r="J233" s="306"/>
      <c r="K233" s="306"/>
      <c r="L233" s="306"/>
      <c r="M233" s="306"/>
      <c r="N233" s="306"/>
      <c r="O233" s="306"/>
      <c r="P233" s="306"/>
      <c r="Q233" s="306"/>
      <c r="R233" s="306"/>
      <c r="S233" s="306"/>
      <c r="T233" s="306"/>
      <c r="U233" s="306"/>
      <c r="V233" s="306"/>
      <c r="W233" s="306"/>
      <c r="X233" s="306"/>
      <c r="Y233" s="306"/>
      <c r="Z233" s="306"/>
    </row>
    <row r="234" ht="12.75" customHeight="1">
      <c r="A234" s="306"/>
      <c r="B234" s="306"/>
      <c r="C234" s="306"/>
      <c r="D234" s="306"/>
      <c r="E234" s="306"/>
      <c r="F234" s="306"/>
      <c r="G234" s="306"/>
      <c r="H234" s="306"/>
      <c r="I234" s="306"/>
      <c r="J234" s="306"/>
      <c r="K234" s="306"/>
      <c r="L234" s="306"/>
      <c r="M234" s="306"/>
      <c r="N234" s="306"/>
      <c r="O234" s="306"/>
      <c r="P234" s="306"/>
      <c r="Q234" s="306"/>
      <c r="R234" s="306"/>
      <c r="S234" s="306"/>
      <c r="T234" s="306"/>
      <c r="U234" s="306"/>
      <c r="V234" s="306"/>
      <c r="W234" s="306"/>
      <c r="X234" s="306"/>
      <c r="Y234" s="306"/>
      <c r="Z234" s="306"/>
    </row>
    <row r="235" ht="12.75" customHeight="1">
      <c r="A235" s="306"/>
      <c r="B235" s="306"/>
      <c r="C235" s="306"/>
      <c r="D235" s="306"/>
      <c r="E235" s="306"/>
      <c r="F235" s="306"/>
      <c r="G235" s="306"/>
      <c r="H235" s="306"/>
      <c r="I235" s="306"/>
      <c r="J235" s="306"/>
      <c r="K235" s="306"/>
      <c r="L235" s="306"/>
      <c r="M235" s="306"/>
      <c r="N235" s="306"/>
      <c r="O235" s="306"/>
      <c r="P235" s="306"/>
      <c r="Q235" s="306"/>
      <c r="R235" s="306"/>
      <c r="S235" s="306"/>
      <c r="T235" s="306"/>
      <c r="U235" s="306"/>
      <c r="V235" s="306"/>
      <c r="W235" s="306"/>
      <c r="X235" s="306"/>
      <c r="Y235" s="306"/>
      <c r="Z235" s="306"/>
    </row>
    <row r="236" ht="12.75" customHeight="1">
      <c r="A236" s="306"/>
      <c r="B236" s="306"/>
      <c r="C236" s="306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306"/>
      <c r="O236" s="306"/>
      <c r="P236" s="306"/>
      <c r="Q236" s="306"/>
      <c r="R236" s="306"/>
      <c r="S236" s="306"/>
      <c r="T236" s="306"/>
      <c r="U236" s="306"/>
      <c r="V236" s="306"/>
      <c r="W236" s="306"/>
      <c r="X236" s="306"/>
      <c r="Y236" s="306"/>
      <c r="Z236" s="306"/>
    </row>
    <row r="237" ht="12.75" customHeight="1">
      <c r="A237" s="306"/>
      <c r="B237" s="306"/>
      <c r="C237" s="306"/>
      <c r="D237" s="306"/>
      <c r="E237" s="306"/>
      <c r="F237" s="306"/>
      <c r="G237" s="306"/>
      <c r="H237" s="306"/>
      <c r="I237" s="306"/>
      <c r="J237" s="306"/>
      <c r="K237" s="306"/>
      <c r="L237" s="306"/>
      <c r="M237" s="306"/>
      <c r="N237" s="306"/>
      <c r="O237" s="306"/>
      <c r="P237" s="306"/>
      <c r="Q237" s="306"/>
      <c r="R237" s="306"/>
      <c r="S237" s="306"/>
      <c r="T237" s="306"/>
      <c r="U237" s="306"/>
      <c r="V237" s="306"/>
      <c r="W237" s="306"/>
      <c r="X237" s="306"/>
      <c r="Y237" s="306"/>
      <c r="Z237" s="306"/>
    </row>
    <row r="238" ht="12.75" customHeight="1">
      <c r="A238" s="306"/>
      <c r="B238" s="306"/>
      <c r="C238" s="306"/>
      <c r="D238" s="306"/>
      <c r="E238" s="306"/>
      <c r="F238" s="306"/>
      <c r="G238" s="306"/>
      <c r="H238" s="306"/>
      <c r="I238" s="306"/>
      <c r="J238" s="306"/>
      <c r="K238" s="306"/>
      <c r="L238" s="306"/>
      <c r="M238" s="306"/>
      <c r="N238" s="306"/>
      <c r="O238" s="306"/>
      <c r="P238" s="306"/>
      <c r="Q238" s="306"/>
      <c r="R238" s="306"/>
      <c r="S238" s="306"/>
      <c r="T238" s="306"/>
      <c r="U238" s="306"/>
      <c r="V238" s="306"/>
      <c r="W238" s="306"/>
      <c r="X238" s="306"/>
      <c r="Y238" s="306"/>
      <c r="Z238" s="306"/>
    </row>
    <row r="239" ht="12.75" customHeight="1">
      <c r="A239" s="306"/>
      <c r="B239" s="306"/>
      <c r="C239" s="306"/>
      <c r="D239" s="306"/>
      <c r="E239" s="306"/>
      <c r="F239" s="306"/>
      <c r="G239" s="306"/>
      <c r="H239" s="306"/>
      <c r="I239" s="306"/>
      <c r="J239" s="306"/>
      <c r="K239" s="306"/>
      <c r="L239" s="306"/>
      <c r="M239" s="306"/>
      <c r="N239" s="306"/>
      <c r="O239" s="306"/>
      <c r="P239" s="306"/>
      <c r="Q239" s="306"/>
      <c r="R239" s="306"/>
      <c r="S239" s="306"/>
      <c r="T239" s="306"/>
      <c r="U239" s="306"/>
      <c r="V239" s="306"/>
      <c r="W239" s="306"/>
      <c r="X239" s="306"/>
      <c r="Y239" s="306"/>
      <c r="Z239" s="306"/>
    </row>
    <row r="240" ht="12.75" customHeight="1">
      <c r="A240" s="306"/>
      <c r="B240" s="306"/>
      <c r="C240" s="306"/>
      <c r="D240" s="306"/>
      <c r="E240" s="306"/>
      <c r="F240" s="306"/>
      <c r="G240" s="306"/>
      <c r="H240" s="306"/>
      <c r="I240" s="306"/>
      <c r="J240" s="306"/>
      <c r="K240" s="306"/>
      <c r="L240" s="306"/>
      <c r="M240" s="306"/>
      <c r="N240" s="306"/>
      <c r="O240" s="306"/>
      <c r="P240" s="306"/>
      <c r="Q240" s="306"/>
      <c r="R240" s="306"/>
      <c r="S240" s="306"/>
      <c r="T240" s="306"/>
      <c r="U240" s="306"/>
      <c r="V240" s="306"/>
      <c r="W240" s="306"/>
      <c r="X240" s="306"/>
      <c r="Y240" s="306"/>
      <c r="Z240" s="306"/>
    </row>
    <row r="241" ht="12.75" customHeight="1">
      <c r="A241" s="306"/>
      <c r="B241" s="306"/>
      <c r="C241" s="306"/>
      <c r="D241" s="306"/>
      <c r="E241" s="306"/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  <c r="X241" s="306"/>
      <c r="Y241" s="306"/>
      <c r="Z241" s="306"/>
    </row>
    <row r="242" ht="12.75" customHeight="1">
      <c r="A242" s="306"/>
      <c r="B242" s="306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  <c r="X242" s="306"/>
      <c r="Y242" s="306"/>
      <c r="Z242" s="306"/>
    </row>
    <row r="243" ht="12.75" customHeight="1">
      <c r="A243" s="306"/>
      <c r="B243" s="306"/>
      <c r="C243" s="306"/>
      <c r="D243" s="306"/>
      <c r="E243" s="306"/>
      <c r="F243" s="306"/>
      <c r="G243" s="306"/>
      <c r="H243" s="306"/>
      <c r="I243" s="306"/>
      <c r="J243" s="306"/>
      <c r="K243" s="306"/>
      <c r="L243" s="306"/>
      <c r="M243" s="306"/>
      <c r="N243" s="306"/>
      <c r="O243" s="306"/>
      <c r="P243" s="306"/>
      <c r="Q243" s="306"/>
      <c r="R243" s="306"/>
      <c r="S243" s="306"/>
      <c r="T243" s="306"/>
      <c r="U243" s="306"/>
      <c r="V243" s="306"/>
      <c r="W243" s="306"/>
      <c r="X243" s="306"/>
      <c r="Y243" s="306"/>
      <c r="Z243" s="306"/>
    </row>
    <row r="244" ht="12.75" customHeight="1">
      <c r="A244" s="306"/>
      <c r="B244" s="306"/>
      <c r="C244" s="306"/>
      <c r="D244" s="306"/>
      <c r="E244" s="306"/>
      <c r="F244" s="306"/>
      <c r="G244" s="306"/>
      <c r="H244" s="306"/>
      <c r="I244" s="306"/>
      <c r="J244" s="306"/>
      <c r="K244" s="306"/>
      <c r="L244" s="306"/>
      <c r="M244" s="306"/>
      <c r="N244" s="306"/>
      <c r="O244" s="306"/>
      <c r="P244" s="306"/>
      <c r="Q244" s="306"/>
      <c r="R244" s="306"/>
      <c r="S244" s="306"/>
      <c r="T244" s="306"/>
      <c r="U244" s="306"/>
      <c r="V244" s="306"/>
      <c r="W244" s="306"/>
      <c r="X244" s="306"/>
      <c r="Y244" s="306"/>
      <c r="Z244" s="306"/>
    </row>
    <row r="245" ht="12.75" customHeight="1">
      <c r="A245" s="306"/>
      <c r="B245" s="306"/>
      <c r="C245" s="306"/>
      <c r="D245" s="306"/>
      <c r="E245" s="306"/>
      <c r="F245" s="306"/>
      <c r="G245" s="306"/>
      <c r="H245" s="306"/>
      <c r="I245" s="306"/>
      <c r="J245" s="306"/>
      <c r="K245" s="306"/>
      <c r="L245" s="306"/>
      <c r="M245" s="306"/>
      <c r="N245" s="306"/>
      <c r="O245" s="306"/>
      <c r="P245" s="306"/>
      <c r="Q245" s="306"/>
      <c r="R245" s="306"/>
      <c r="S245" s="306"/>
      <c r="T245" s="306"/>
      <c r="U245" s="306"/>
      <c r="V245" s="306"/>
      <c r="W245" s="306"/>
      <c r="X245" s="306"/>
      <c r="Y245" s="306"/>
      <c r="Z245" s="306"/>
    </row>
    <row r="246" ht="12.75" customHeight="1">
      <c r="A246" s="306"/>
      <c r="B246" s="306"/>
      <c r="C246" s="306"/>
      <c r="D246" s="306"/>
      <c r="E246" s="306"/>
      <c r="F246" s="306"/>
      <c r="G246" s="306"/>
      <c r="H246" s="306"/>
      <c r="I246" s="306"/>
      <c r="J246" s="306"/>
      <c r="K246" s="306"/>
      <c r="L246" s="306"/>
      <c r="M246" s="306"/>
      <c r="N246" s="306"/>
      <c r="O246" s="306"/>
      <c r="P246" s="306"/>
      <c r="Q246" s="306"/>
      <c r="R246" s="306"/>
      <c r="S246" s="306"/>
      <c r="T246" s="306"/>
      <c r="U246" s="306"/>
      <c r="V246" s="306"/>
      <c r="W246" s="306"/>
      <c r="X246" s="306"/>
      <c r="Y246" s="306"/>
      <c r="Z246" s="306"/>
    </row>
    <row r="247" ht="12.75" customHeight="1">
      <c r="A247" s="306"/>
      <c r="B247" s="306"/>
      <c r="C247" s="306"/>
      <c r="D247" s="306"/>
      <c r="E247" s="306"/>
      <c r="F247" s="306"/>
      <c r="G247" s="306"/>
      <c r="H247" s="306"/>
      <c r="I247" s="306"/>
      <c r="J247" s="306"/>
      <c r="K247" s="306"/>
      <c r="L247" s="306"/>
      <c r="M247" s="306"/>
      <c r="N247" s="306"/>
      <c r="O247" s="306"/>
      <c r="P247" s="306"/>
      <c r="Q247" s="306"/>
      <c r="R247" s="306"/>
      <c r="S247" s="306"/>
      <c r="T247" s="306"/>
      <c r="U247" s="306"/>
      <c r="V247" s="306"/>
      <c r="W247" s="306"/>
      <c r="X247" s="306"/>
      <c r="Y247" s="306"/>
      <c r="Z247" s="306"/>
    </row>
    <row r="248" ht="12.75" customHeight="1">
      <c r="A248" s="306"/>
      <c r="B248" s="306"/>
      <c r="C248" s="306"/>
      <c r="D248" s="306"/>
      <c r="E248" s="306"/>
      <c r="F248" s="306"/>
      <c r="G248" s="306"/>
      <c r="H248" s="306"/>
      <c r="I248" s="306"/>
      <c r="J248" s="306"/>
      <c r="K248" s="306"/>
      <c r="L248" s="306"/>
      <c r="M248" s="306"/>
      <c r="N248" s="306"/>
      <c r="O248" s="306"/>
      <c r="P248" s="306"/>
      <c r="Q248" s="306"/>
      <c r="R248" s="306"/>
      <c r="S248" s="306"/>
      <c r="T248" s="306"/>
      <c r="U248" s="306"/>
      <c r="V248" s="306"/>
      <c r="W248" s="306"/>
      <c r="X248" s="306"/>
      <c r="Y248" s="306"/>
      <c r="Z248" s="306"/>
    </row>
    <row r="249" ht="12.75" customHeight="1">
      <c r="A249" s="306"/>
      <c r="B249" s="306"/>
      <c r="C249" s="306"/>
      <c r="D249" s="306"/>
      <c r="E249" s="306"/>
      <c r="F249" s="306"/>
      <c r="G249" s="306"/>
      <c r="H249" s="306"/>
      <c r="I249" s="306"/>
      <c r="J249" s="306"/>
      <c r="K249" s="306"/>
      <c r="L249" s="306"/>
      <c r="M249" s="306"/>
      <c r="N249" s="306"/>
      <c r="O249" s="306"/>
      <c r="P249" s="306"/>
      <c r="Q249" s="306"/>
      <c r="R249" s="306"/>
      <c r="S249" s="306"/>
      <c r="T249" s="306"/>
      <c r="U249" s="306"/>
      <c r="V249" s="306"/>
      <c r="W249" s="306"/>
      <c r="X249" s="306"/>
      <c r="Y249" s="306"/>
      <c r="Z249" s="306"/>
    </row>
    <row r="250" ht="12.75" customHeight="1">
      <c r="A250" s="306"/>
      <c r="B250" s="306"/>
      <c r="C250" s="306"/>
      <c r="D250" s="306"/>
      <c r="E250" s="306"/>
      <c r="F250" s="306"/>
      <c r="G250" s="306"/>
      <c r="H250" s="306"/>
      <c r="I250" s="306"/>
      <c r="J250" s="306"/>
      <c r="K250" s="306"/>
      <c r="L250" s="306"/>
      <c r="M250" s="306"/>
      <c r="N250" s="306"/>
      <c r="O250" s="306"/>
      <c r="P250" s="306"/>
      <c r="Q250" s="306"/>
      <c r="R250" s="306"/>
      <c r="S250" s="306"/>
      <c r="T250" s="306"/>
      <c r="U250" s="306"/>
      <c r="V250" s="306"/>
      <c r="W250" s="306"/>
      <c r="X250" s="306"/>
      <c r="Y250" s="306"/>
      <c r="Z250" s="306"/>
    </row>
    <row r="251" ht="12.75" customHeight="1">
      <c r="A251" s="306"/>
      <c r="B251" s="306"/>
      <c r="C251" s="306"/>
      <c r="D251" s="306"/>
      <c r="E251" s="306"/>
      <c r="F251" s="306"/>
      <c r="G251" s="306"/>
      <c r="H251" s="306"/>
      <c r="I251" s="306"/>
      <c r="J251" s="306"/>
      <c r="K251" s="306"/>
      <c r="L251" s="306"/>
      <c r="M251" s="306"/>
      <c r="N251" s="306"/>
      <c r="O251" s="306"/>
      <c r="P251" s="306"/>
      <c r="Q251" s="306"/>
      <c r="R251" s="306"/>
      <c r="S251" s="306"/>
      <c r="T251" s="306"/>
      <c r="U251" s="306"/>
      <c r="V251" s="306"/>
      <c r="W251" s="306"/>
      <c r="X251" s="306"/>
      <c r="Y251" s="306"/>
      <c r="Z251" s="306"/>
    </row>
  </sheetData>
  <printOptions/>
  <pageMargins bottom="0.75" footer="0.0" header="0.0" left="0.7" right="0.7" top="0.75"/>
  <pageSetup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8.0"/>
    <col customWidth="1" min="2" max="2" width="16.43"/>
    <col customWidth="1" min="3" max="3" width="17.14"/>
    <col customWidth="1" min="4" max="4" width="18.86"/>
    <col customWidth="1" min="5" max="5" width="20.14"/>
    <col customWidth="1" min="6" max="6" width="17.43"/>
    <col customWidth="1" min="7" max="7" width="16.71"/>
    <col customWidth="1" min="8" max="8" width="15.29"/>
    <col customWidth="1" min="9" max="9" width="20.14"/>
    <col customWidth="1" min="10" max="26" width="9.0"/>
  </cols>
  <sheetData>
    <row r="1" ht="14.25" customHeight="1">
      <c r="A1" s="320" t="s">
        <v>488</v>
      </c>
      <c r="E1" s="306"/>
      <c r="F1" s="306"/>
      <c r="G1" s="321" t="str">
        <f>InfoInicial!E1</f>
        <v>10</v>
      </c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ht="13.5" customHeigh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</row>
    <row r="3" ht="16.5" customHeight="1">
      <c r="A3" s="422" t="s">
        <v>741</v>
      </c>
      <c r="B3" s="423"/>
      <c r="C3" s="423"/>
      <c r="D3" s="423"/>
      <c r="E3" s="423"/>
      <c r="F3" s="423"/>
      <c r="G3" s="423"/>
      <c r="H3" s="423"/>
      <c r="I3" s="424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</row>
    <row r="4" ht="26.25" customHeight="1">
      <c r="A4" s="404" t="s">
        <v>591</v>
      </c>
      <c r="B4" s="515" t="s">
        <v>742</v>
      </c>
      <c r="C4" s="515" t="s">
        <v>743</v>
      </c>
      <c r="D4" s="358" t="s">
        <v>44</v>
      </c>
      <c r="E4" s="358" t="s">
        <v>430</v>
      </c>
      <c r="F4" s="358" t="s">
        <v>431</v>
      </c>
      <c r="G4" s="358" t="s">
        <v>432</v>
      </c>
      <c r="H4" s="516" t="s">
        <v>433</v>
      </c>
      <c r="I4" s="359" t="s">
        <v>282</v>
      </c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</row>
    <row r="5" ht="13.5" customHeight="1">
      <c r="A5" s="517" t="s">
        <v>744</v>
      </c>
      <c r="B5" s="425"/>
      <c r="C5" s="425"/>
      <c r="D5" s="425"/>
      <c r="E5" s="425"/>
      <c r="F5" s="425"/>
      <c r="G5" s="425"/>
      <c r="H5" s="518"/>
      <c r="I5" s="519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</row>
    <row r="6" ht="12.75" customHeight="1">
      <c r="A6" s="520" t="s">
        <v>745</v>
      </c>
      <c r="B6" s="393">
        <v>0.0</v>
      </c>
      <c r="C6" s="521" t="str">
        <f>SUM('E-Inv AF y Am'!B21,'E-Inv AF y Am'!D21)</f>
        <v> $ 27,762,072.46 </v>
      </c>
      <c r="D6" s="393">
        <v>0.0</v>
      </c>
      <c r="E6" s="393">
        <v>0.0</v>
      </c>
      <c r="F6" s="393">
        <v>0.0</v>
      </c>
      <c r="G6" s="393">
        <v>0.0</v>
      </c>
      <c r="H6" s="393">
        <v>0.0</v>
      </c>
      <c r="I6" s="426" t="str">
        <f>SUM(C6)</f>
        <v> $ 27,762,072.46 </v>
      </c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</row>
    <row r="7" ht="12.75" customHeight="1">
      <c r="A7" s="520" t="s">
        <v>746</v>
      </c>
      <c r="B7" s="521" t="str">
        <f>'E-Inv AF y Am'!B24</f>
        <v> $ 11,104.83 </v>
      </c>
      <c r="C7" s="521" t="str">
        <f>'E-Inv AF y Am'!B32-'E-Inv AF y Am'!B24</f>
        <v> $ 36,770.23 </v>
      </c>
      <c r="D7" s="521" t="str">
        <f>'E-Inv AF y Am'!C27</f>
        <v> $ 278,655.36 </v>
      </c>
      <c r="E7" s="393" t="s">
        <v>240</v>
      </c>
      <c r="F7" s="393" t="s">
        <v>240</v>
      </c>
      <c r="G7" s="393" t="s">
        <v>240</v>
      </c>
      <c r="H7" s="522" t="s">
        <v>240</v>
      </c>
      <c r="I7" s="523" t="str">
        <f>SUM(B7:D7)</f>
        <v> $ 326,530.42 </v>
      </c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</row>
    <row r="8" ht="12.75" customHeight="1">
      <c r="A8" s="517" t="s">
        <v>747</v>
      </c>
      <c r="B8" s="392" t="str">
        <f t="shared" ref="B8:D8" si="1">SUM(B6:B7)</f>
        <v> $ 11,104.83 </v>
      </c>
      <c r="C8" s="483" t="str">
        <f t="shared" si="1"/>
        <v> $ 27,798,842.69 </v>
      </c>
      <c r="D8" s="483" t="str">
        <f t="shared" si="1"/>
        <v> $ 278,655.36 </v>
      </c>
      <c r="E8" s="483">
        <v>0.0</v>
      </c>
      <c r="F8" s="483">
        <v>0.0</v>
      </c>
      <c r="G8" s="483">
        <v>0.0</v>
      </c>
      <c r="H8" s="483">
        <v>0.0</v>
      </c>
      <c r="I8" s="483" t="str">
        <f>SUM(I6:I7)</f>
        <v> $ 28,088,602.88 </v>
      </c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</row>
    <row r="9" ht="12.75" customHeight="1">
      <c r="A9" s="520"/>
      <c r="B9" s="393"/>
      <c r="C9" s="393"/>
      <c r="D9" s="393"/>
      <c r="E9" s="393"/>
      <c r="F9" s="393"/>
      <c r="G9" s="393"/>
      <c r="H9" s="522"/>
      <c r="I9" s="42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</row>
    <row r="10" ht="12.75" customHeight="1">
      <c r="A10" s="517" t="s">
        <v>748</v>
      </c>
      <c r="B10" s="393"/>
      <c r="C10" s="393"/>
      <c r="D10" s="393"/>
      <c r="E10" s="393"/>
      <c r="F10" s="393"/>
      <c r="G10" s="393"/>
      <c r="H10" s="522"/>
      <c r="I10" s="42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</row>
    <row r="11" ht="12.75" customHeight="1">
      <c r="A11" s="520" t="s">
        <v>749</v>
      </c>
      <c r="B11" s="521" t="s">
        <v>240</v>
      </c>
      <c r="C11" s="521" t="str">
        <f>'E-InvAT'!B6</f>
        <v> $ 339,120.00 </v>
      </c>
      <c r="D11" s="521" t="str">
        <f>'E-InvAT'!C6-'E-InvAT'!B6</f>
        <v> $ 84,780.00 </v>
      </c>
      <c r="E11" s="521" t="str">
        <f>'E-InvAT'!D6-'E-InvAT'!C6</f>
        <v> $ -   </v>
      </c>
      <c r="F11" s="521" t="str">
        <f>'E-InvAT'!E6-'E-InvAT'!D6</f>
        <v> $ -   </v>
      </c>
      <c r="G11" s="521" t="str">
        <f>'E-InvAT'!F6-'E-InvAT'!E6</f>
        <v> $ -   </v>
      </c>
      <c r="H11" s="521" t="str">
        <f>'E-InvAT'!G6-'E-InvAT'!F6</f>
        <v> $ -   </v>
      </c>
      <c r="I11" s="523" t="str">
        <f>SUM(B11:H11)</f>
        <v> $ 423,900.00 </v>
      </c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</row>
    <row r="12" ht="12.75" customHeight="1">
      <c r="A12" s="520" t="s">
        <v>750</v>
      </c>
      <c r="B12" s="393"/>
      <c r="C12" s="393"/>
      <c r="D12" s="393" t="str">
        <f>'E-InvAT'!C7-'E-InvAT'!C19-'E-InvAT'!C20</f>
        <v> $ 971,729.19 </v>
      </c>
      <c r="E12" s="393" t="str">
        <f>'E-InvAT'!D7-'E-InvAT'!D19-'E-InvAT'!D20-D12</f>
        <v> $ 231,127.83 </v>
      </c>
      <c r="F12" s="393" t="str">
        <f>'E-InvAT'!E7-'E-InvAT'!E19-'E-InvAT'!E20-('E-InvAT'!D7-'E-InvAT'!D19-'E-InvAT'!D20)</f>
        <v> $ 296.83 </v>
      </c>
      <c r="G12" s="393" t="str">
        <f>'E-InvAT'!F7-'E-InvAT'!F19-'E-InvAT'!F20-'E-InvAT'!E7+'E-InvAT'!E19+'E-InvAT'!E20</f>
        <v> $ 0.18 </v>
      </c>
      <c r="H12" s="393" t="str">
        <f>'E-InvAT'!G7-'E-InvAT'!G19-'E-InvAT'!G20-'E-InvAT'!F7+'E-InvAT'!F19+'E-InvAT'!F20</f>
        <v> $ 0.00 </v>
      </c>
      <c r="I12" s="426" t="str">
        <f>SUM(C12:H12)</f>
        <v> $ 1,203,154.03 </v>
      </c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</row>
    <row r="13" ht="12.75" customHeight="1">
      <c r="A13" s="520" t="s">
        <v>751</v>
      </c>
      <c r="B13" s="393"/>
      <c r="C13" s="393"/>
      <c r="D13" s="393"/>
      <c r="E13" s="393"/>
      <c r="F13" s="393"/>
      <c r="G13" s="393"/>
      <c r="H13" s="522"/>
      <c r="I13" s="42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</row>
    <row r="14" ht="12.75" customHeight="1">
      <c r="A14" s="520" t="s">
        <v>752</v>
      </c>
      <c r="B14" s="393" t="s">
        <v>240</v>
      </c>
      <c r="C14" s="521" t="str">
        <f>'E-InvAT'!B10</f>
        <v> $ 177,949.99 </v>
      </c>
      <c r="D14" s="524" t="str">
        <f>'E-InvAT'!C10-'E-InvAT'!B10</f>
        <v> $ 1,149,762.60 </v>
      </c>
      <c r="E14" s="521" t="str">
        <f>'E-InvAT'!D10-'E-InvAT'!C10</f>
        <v> $ -   </v>
      </c>
      <c r="F14" s="521" t="str">
        <f>'E-InvAT'!E10-'E-InvAT'!D10</f>
        <v> $ -   </v>
      </c>
      <c r="G14" s="521" t="str">
        <f>'E-InvAT'!F10-'E-InvAT'!E10</f>
        <v> $ -   </v>
      </c>
      <c r="H14" s="521" t="str">
        <f>'E-InvAT'!G10-'E-InvAT'!F10</f>
        <v> $ -   </v>
      </c>
      <c r="I14" s="523" t="str">
        <f t="shared" ref="I14:I15" si="2">SUM(C14:H14)</f>
        <v> $ 1,327,712.59 </v>
      </c>
      <c r="J14" s="219" t="s">
        <v>753</v>
      </c>
      <c r="K14" s="223" t="s">
        <v>645</v>
      </c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</row>
    <row r="15" ht="12.75" customHeight="1">
      <c r="A15" s="520" t="s">
        <v>754</v>
      </c>
      <c r="B15" s="393" t="s">
        <v>240</v>
      </c>
      <c r="C15" s="427" t="str">
        <f>'E-InvAT'!B11</f>
        <v> $ 163,037.28 </v>
      </c>
      <c r="D15" s="393" t="str">
        <f>'E-InvAT'!C11-'E-InvAT'!B11</f>
        <v> $ 40,759.32 </v>
      </c>
      <c r="E15" s="393" t="str">
        <f>'E-InvAT'!D11-'E-InvAT'!C11</f>
        <v> $ 4,525.76 </v>
      </c>
      <c r="F15" s="393" t="str">
        <f>'E-InvAT'!E11-'E-InvAT'!D11</f>
        <v> $ -   </v>
      </c>
      <c r="G15" s="393" t="str">
        <f>'E-InvAT'!F11-'E-InvAT'!E11</f>
        <v> $ -   </v>
      </c>
      <c r="H15" s="522" t="str">
        <f>'E-InvAT'!G11-'E-InvAT'!F11</f>
        <v> $ -   </v>
      </c>
      <c r="I15" s="426" t="str">
        <f t="shared" si="2"/>
        <v> $ 208,322.36 </v>
      </c>
      <c r="J15" s="219" t="s">
        <v>755</v>
      </c>
      <c r="K15" s="306"/>
      <c r="L15" s="525" t="s">
        <v>756</v>
      </c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</row>
    <row r="16" ht="12.75" customHeight="1">
      <c r="A16" s="520" t="s">
        <v>757</v>
      </c>
      <c r="B16" s="393"/>
      <c r="C16" s="393"/>
      <c r="D16" s="393" t="str">
        <f>'E-InvAT'!C12-'E-InvAT'!C17-'E-InvAT'!B12+'E-InvAT'!B17</f>
        <v> $ 61,723.62 </v>
      </c>
      <c r="E16" s="393" t="str">
        <f>'E-InvAT'!D12-'E-InvAT'!D17-'E-InvAT'!C12+'E-InvAT'!C17</f>
        <v> $ 599.01 </v>
      </c>
      <c r="F16" s="393" t="str">
        <f>'E-InvAT'!E12-'E-InvAT'!E17-'E-InvAT'!D12+'E-InvAT'!D17</f>
        <v> $ 0.00 </v>
      </c>
      <c r="G16" s="393" t="str">
        <f>'E-InvAT'!F12-'E-InvAT'!F17-'E-InvAT'!E12+'E-InvAT'!E17</f>
        <v> $ 0.00 </v>
      </c>
      <c r="H16" s="393" t="str">
        <f>'E-InvAT'!G12-'E-InvAT'!G17-'E-InvAT'!F12+'E-InvAT'!F17</f>
        <v> $ 0.00 </v>
      </c>
      <c r="I16" s="426" t="str">
        <f>SUM(B16:H16)</f>
        <v> $ 62,322.63 </v>
      </c>
      <c r="J16" s="223" t="s">
        <v>645</v>
      </c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</row>
    <row r="17" ht="12.75" customHeight="1">
      <c r="A17" s="520" t="s">
        <v>758</v>
      </c>
      <c r="B17" s="393"/>
      <c r="C17" s="393"/>
      <c r="D17" s="393" t="str">
        <f>'E-InvAT'!C13-'E-InvAT'!C18</f>
        <v> $ 71,249.23 </v>
      </c>
      <c r="E17" s="393" t="str">
        <f>'E-InvAT'!D13-'E-InvAT'!D18-'E-InvAT'!C13+'E-InvAT'!C18</f>
        <v> $ (1,152.79)</v>
      </c>
      <c r="F17" s="393" t="str">
        <f>'E-InvAT'!E13-'E-InvAT'!E18-'E-InvAT'!D13+'E-InvAT'!D18</f>
        <v> $ (23.43)</v>
      </c>
      <c r="G17" s="393" t="str">
        <f>'E-InvAT'!F13-'E-InvAT'!F18-'E-InvAT'!E13+'E-InvAT'!E18</f>
        <v> $ 0.00 </v>
      </c>
      <c r="H17" s="393" t="str">
        <f>'E-InvAT'!G13-'E-InvAT'!G18-'E-InvAT'!F13+'E-InvAT'!F18</f>
        <v> $ 0.00 </v>
      </c>
      <c r="I17" s="426" t="str">
        <f>SUM(D17:H17)</f>
        <v> $ 70,073.02 </v>
      </c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</row>
    <row r="18" ht="12.75" customHeight="1">
      <c r="A18" s="517" t="s">
        <v>759</v>
      </c>
      <c r="B18" s="392" t="str">
        <f t="shared" ref="B18:I18" si="3">SUM(B11:B17)</f>
        <v> $ -   </v>
      </c>
      <c r="C18" s="392" t="str">
        <f t="shared" si="3"/>
        <v> $ 680,107.26 </v>
      </c>
      <c r="D18" s="392" t="str">
        <f t="shared" si="3"/>
        <v> $ 2,380,003.97 </v>
      </c>
      <c r="E18" s="392" t="str">
        <f t="shared" si="3"/>
        <v> $ 235,099.81 </v>
      </c>
      <c r="F18" s="392" t="str">
        <f t="shared" si="3"/>
        <v> $ 273.41 </v>
      </c>
      <c r="G18" s="392" t="str">
        <f t="shared" si="3"/>
        <v> $ 0.18 </v>
      </c>
      <c r="H18" s="392" t="str">
        <f t="shared" si="3"/>
        <v> $ 0.00 </v>
      </c>
      <c r="I18" s="526" t="str">
        <f t="shared" si="3"/>
        <v> $ 3,295,484.63 </v>
      </c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</row>
    <row r="19" ht="12.75" customHeight="1">
      <c r="A19" s="520"/>
      <c r="B19" s="393"/>
      <c r="C19" s="393"/>
      <c r="D19" s="393"/>
      <c r="E19" s="393"/>
      <c r="F19" s="393"/>
      <c r="G19" s="393"/>
      <c r="H19" s="522"/>
      <c r="I19" s="42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</row>
    <row r="20" ht="12.75" customHeight="1">
      <c r="A20" s="517" t="s">
        <v>760</v>
      </c>
      <c r="B20" s="393"/>
      <c r="C20" s="393"/>
      <c r="D20" s="393"/>
      <c r="E20" s="393"/>
      <c r="F20" s="393"/>
      <c r="G20" s="393"/>
      <c r="H20" s="522"/>
      <c r="I20" s="42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</row>
    <row r="21" ht="12.75" customHeight="1">
      <c r="A21" s="520" t="s">
        <v>761</v>
      </c>
      <c r="B21" s="393" t="str">
        <f t="shared" ref="B21:H21" si="4">0.21*B8</f>
        <v> $ 2,332.01 </v>
      </c>
      <c r="C21" s="393" t="str">
        <f t="shared" si="4"/>
        <v> $ 5,837,756.97 </v>
      </c>
      <c r="D21" s="393" t="str">
        <f t="shared" si="4"/>
        <v> $ 58,517.63 </v>
      </c>
      <c r="E21" s="393" t="str">
        <f t="shared" si="4"/>
        <v> $ -   </v>
      </c>
      <c r="F21" s="393" t="str">
        <f t="shared" si="4"/>
        <v> $ -   </v>
      </c>
      <c r="G21" s="393" t="str">
        <f t="shared" si="4"/>
        <v> $ -   </v>
      </c>
      <c r="H21" s="393" t="str">
        <f t="shared" si="4"/>
        <v> $ -   </v>
      </c>
      <c r="I21" s="426" t="str">
        <f t="shared" ref="I21:I23" si="5">SUM(B21:H21)</f>
        <v> $ 5,898,606.61 </v>
      </c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</row>
    <row r="22" ht="12.75" customHeight="1">
      <c r="A22" s="520" t="s">
        <v>762</v>
      </c>
      <c r="B22" s="427">
        <v>0.0</v>
      </c>
      <c r="C22" s="427" t="str">
        <f>'E-InvAT'!B34</f>
        <v> $ 71,607.32 </v>
      </c>
      <c r="D22" s="427" t="str">
        <f>'E-InvAT'!C34</f>
        <v> $ 264,554.36 </v>
      </c>
      <c r="E22" s="427" t="str">
        <f>'E-InvAT'!D34</f>
        <v> $ 1,319.24 </v>
      </c>
      <c r="F22" s="427" t="str">
        <f>'E-InvAT'!E34</f>
        <v> $ -   </v>
      </c>
      <c r="G22" s="427" t="str">
        <f>'E-InvAT'!F34</f>
        <v> $ -   </v>
      </c>
      <c r="H22" s="427" t="str">
        <f>'E-InvAT'!G34</f>
        <v> $ -   </v>
      </c>
      <c r="I22" s="527" t="str">
        <f t="shared" si="5"/>
        <v> $ 337,480.93 </v>
      </c>
      <c r="J22" s="219" t="s">
        <v>763</v>
      </c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</row>
    <row r="23" ht="12.75" customHeight="1">
      <c r="A23" s="517" t="s">
        <v>764</v>
      </c>
      <c r="B23" s="392" t="str">
        <f t="shared" ref="B23:H23" si="6">SUM(B21:B22)</f>
        <v> $ 2,332.01 </v>
      </c>
      <c r="C23" s="392" t="str">
        <f t="shared" si="6"/>
        <v> $ 5,909,364.29 </v>
      </c>
      <c r="D23" s="392" t="str">
        <f t="shared" si="6"/>
        <v> $ 323,071.99 </v>
      </c>
      <c r="E23" s="392" t="str">
        <f t="shared" si="6"/>
        <v> $ 1,319.24 </v>
      </c>
      <c r="F23" s="392" t="str">
        <f t="shared" si="6"/>
        <v> $ -   </v>
      </c>
      <c r="G23" s="392" t="str">
        <f t="shared" si="6"/>
        <v> $ -   </v>
      </c>
      <c r="H23" s="392" t="str">
        <f t="shared" si="6"/>
        <v> $ -   </v>
      </c>
      <c r="I23" s="526" t="str">
        <f t="shared" si="5"/>
        <v> $ 6,236,087.53 </v>
      </c>
      <c r="J23" s="223" t="s">
        <v>645</v>
      </c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</row>
    <row r="24" ht="12.75" customHeight="1">
      <c r="A24" s="517"/>
      <c r="B24" s="393"/>
      <c r="C24" s="393"/>
      <c r="D24" s="393"/>
      <c r="E24" s="393"/>
      <c r="F24" s="393"/>
      <c r="G24" s="393"/>
      <c r="H24" s="522"/>
      <c r="I24" s="42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</row>
    <row r="25" ht="13.5" customHeight="1">
      <c r="A25" s="528" t="s">
        <v>765</v>
      </c>
      <c r="B25" s="413" t="str">
        <f t="shared" ref="B25:I25" si="7">SUM(B8,B18,B23)</f>
        <v> $ 13,436.84 </v>
      </c>
      <c r="C25" s="413" t="str">
        <f t="shared" si="7"/>
        <v> $ 34,388,314.24 </v>
      </c>
      <c r="D25" s="413" t="str">
        <f t="shared" si="7"/>
        <v> $ 2,981,731.32 </v>
      </c>
      <c r="E25" s="413" t="str">
        <f t="shared" si="7"/>
        <v> $ 236,419.05 </v>
      </c>
      <c r="F25" s="413" t="str">
        <f t="shared" si="7"/>
        <v> $ 273.41 </v>
      </c>
      <c r="G25" s="413" t="str">
        <f t="shared" si="7"/>
        <v> $ 0.18 </v>
      </c>
      <c r="H25" s="413" t="str">
        <f t="shared" si="7"/>
        <v> $ 0.00 </v>
      </c>
      <c r="I25" s="413" t="str">
        <f t="shared" si="7"/>
        <v> $ 37,620,175.04 </v>
      </c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</row>
    <row r="26" ht="12.75" customHeight="1">
      <c r="A26" s="306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</row>
    <row r="27" ht="12.75" customHeight="1">
      <c r="A27" s="306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</row>
    <row r="28" ht="12.75" customHeight="1">
      <c r="A28" s="306"/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</row>
    <row r="29" ht="12.75" customHeight="1">
      <c r="A29" s="306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</row>
    <row r="30" ht="12.75" customHeight="1">
      <c r="A30" s="306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</row>
    <row r="31" ht="12.75" customHeight="1">
      <c r="A31" s="306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</row>
    <row r="32" ht="12.75" customHeight="1">
      <c r="A32" s="306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</row>
    <row r="33" ht="12.75" customHeight="1">
      <c r="A33" s="306"/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</row>
    <row r="34" ht="12.75" customHeight="1">
      <c r="A34" s="306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</row>
    <row r="35" ht="12.75" customHeight="1">
      <c r="A35" s="306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</row>
    <row r="36" ht="12.75" customHeight="1">
      <c r="A36" s="306"/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</row>
    <row r="37" ht="12.75" customHeight="1">
      <c r="A37" s="30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</row>
    <row r="38" ht="12.75" customHeight="1">
      <c r="A38" s="306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</row>
    <row r="39" ht="12.75" customHeight="1">
      <c r="A39" s="306"/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</row>
    <row r="40" ht="12.75" customHeight="1">
      <c r="A40" s="306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</row>
    <row r="41" ht="12.75" customHeight="1">
      <c r="A41" s="306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</row>
    <row r="42" ht="12.75" customHeight="1">
      <c r="A42" s="306"/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</row>
    <row r="43" ht="12.75" customHeight="1">
      <c r="A43" s="306"/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</row>
    <row r="44" ht="12.75" customHeight="1">
      <c r="A44" s="306"/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</row>
    <row r="45" ht="12.75" customHeight="1">
      <c r="A45" s="306"/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</row>
    <row r="46" ht="12.75" customHeight="1">
      <c r="A46" s="306"/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</row>
    <row r="47" ht="12.75" customHeight="1">
      <c r="A47" s="306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</row>
    <row r="48" ht="12.75" customHeight="1">
      <c r="A48" s="306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</row>
    <row r="49" ht="12.75" customHeight="1">
      <c r="A49" s="306"/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</row>
    <row r="50" ht="12.75" customHeight="1">
      <c r="A50" s="306"/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</row>
    <row r="51" ht="12.75" customHeight="1">
      <c r="A51" s="306"/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</row>
    <row r="52" ht="12.75" customHeight="1">
      <c r="A52" s="306"/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</row>
    <row r="53" ht="12.75" customHeight="1">
      <c r="A53" s="306"/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</row>
    <row r="54" ht="12.75" customHeight="1">
      <c r="A54" s="306"/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</row>
    <row r="55" ht="12.75" customHeight="1">
      <c r="A55" s="306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</row>
    <row r="56" ht="12.75" customHeight="1">
      <c r="A56" s="306"/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</row>
    <row r="57" ht="12.75" customHeight="1">
      <c r="A57" s="306"/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</row>
    <row r="58" ht="12.75" customHeight="1">
      <c r="A58" s="306"/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</row>
    <row r="59" ht="12.75" customHeight="1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</row>
    <row r="60" ht="12.75" customHeight="1">
      <c r="A60" s="306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</row>
    <row r="61" ht="12.75" customHeight="1">
      <c r="A61" s="306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</row>
    <row r="62" ht="12.75" customHeigh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</row>
    <row r="63" ht="12.75" customHeight="1">
      <c r="A63" s="306"/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</row>
    <row r="64" ht="12.75" customHeight="1">
      <c r="A64" s="306"/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</row>
    <row r="65" ht="12.75" customHeight="1">
      <c r="A65" s="306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</row>
    <row r="66" ht="12.75" customHeight="1">
      <c r="A66" s="306"/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</row>
    <row r="67" ht="12.75" customHeight="1">
      <c r="A67" s="306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</row>
    <row r="68" ht="12.75" customHeight="1">
      <c r="A68" s="306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</row>
    <row r="69" ht="12.75" customHeight="1">
      <c r="A69" s="306"/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</row>
    <row r="70" ht="12.75" customHeight="1">
      <c r="A70" s="306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</row>
    <row r="71" ht="12.75" customHeight="1">
      <c r="A71" s="306"/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</row>
    <row r="72" ht="12.75" customHeight="1">
      <c r="A72" s="306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</row>
    <row r="73" ht="12.75" customHeight="1">
      <c r="A73" s="306"/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</row>
    <row r="74" ht="12.75" customHeight="1">
      <c r="A74" s="306"/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</row>
    <row r="75" ht="12.75" customHeight="1">
      <c r="A75" s="306"/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</row>
    <row r="76" ht="12.75" customHeight="1">
      <c r="A76" s="306"/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</row>
    <row r="77" ht="12.75" customHeight="1">
      <c r="A77" s="306"/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</row>
    <row r="78" ht="12.75" customHeight="1">
      <c r="A78" s="306"/>
      <c r="B78" s="306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</row>
    <row r="79" ht="12.75" customHeight="1">
      <c r="A79" s="306"/>
      <c r="B79" s="306"/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6"/>
      <c r="Z79" s="306"/>
    </row>
    <row r="80" ht="12.75" customHeight="1">
      <c r="A80" s="306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</row>
    <row r="81" ht="12.75" customHeight="1">
      <c r="A81" s="306"/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</row>
    <row r="82" ht="12.75" customHeight="1">
      <c r="A82" s="306"/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</row>
    <row r="83" ht="12.75" customHeight="1">
      <c r="A83" s="306"/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</row>
    <row r="84" ht="12.75" customHeight="1">
      <c r="A84" s="306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</row>
    <row r="85" ht="12.75" customHeight="1">
      <c r="A85" s="306"/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</row>
    <row r="86" ht="12.75" customHeight="1">
      <c r="A86" s="306"/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</row>
    <row r="87" ht="12.75" customHeight="1">
      <c r="A87" s="306"/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</row>
    <row r="88" ht="12.75" customHeight="1">
      <c r="A88" s="306"/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</row>
    <row r="89" ht="12.75" customHeight="1">
      <c r="A89" s="306"/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</row>
    <row r="90" ht="12.75" customHeight="1">
      <c r="A90" s="306"/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</row>
    <row r="91" ht="12.75" customHeight="1">
      <c r="A91" s="306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</row>
    <row r="92" ht="12.75" customHeigh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</row>
    <row r="93" ht="12.75" customHeight="1">
      <c r="A93" s="306"/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</row>
    <row r="94" ht="12.75" customHeight="1">
      <c r="A94" s="306"/>
      <c r="B94" s="306"/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</row>
    <row r="95" ht="12.75" customHeight="1">
      <c r="A95" s="306"/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</row>
    <row r="96" ht="12.75" customHeight="1">
      <c r="A96" s="306"/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</row>
    <row r="97" ht="12.75" customHeight="1">
      <c r="A97" s="306"/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</row>
    <row r="98" ht="12.75" customHeight="1">
      <c r="A98" s="306"/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</row>
    <row r="99" ht="12.75" customHeight="1">
      <c r="A99" s="306"/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</row>
    <row r="100" ht="12.75" customHeight="1">
      <c r="A100" s="306"/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</row>
    <row r="101" ht="12.75" customHeight="1">
      <c r="A101" s="306"/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</row>
    <row r="102" ht="12.75" customHeight="1">
      <c r="A102" s="306"/>
      <c r="B102" s="306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</row>
    <row r="103" ht="12.75" customHeight="1">
      <c r="A103" s="306"/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</row>
    <row r="104" ht="12.75" customHeight="1">
      <c r="A104" s="306"/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</row>
    <row r="105" ht="12.75" customHeight="1">
      <c r="A105" s="306"/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</row>
    <row r="106" ht="12.75" customHeight="1">
      <c r="A106" s="306"/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</row>
    <row r="107" ht="12.75" customHeight="1">
      <c r="A107" s="306"/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</row>
    <row r="108" ht="12.75" customHeight="1">
      <c r="A108" s="306"/>
      <c r="B108" s="306"/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306"/>
    </row>
    <row r="109" ht="12.75" customHeight="1">
      <c r="A109" s="306"/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6"/>
    </row>
    <row r="110" ht="12.75" customHeight="1">
      <c r="A110" s="306"/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</row>
    <row r="111" ht="12.75" customHeight="1">
      <c r="A111" s="306"/>
      <c r="B111" s="306"/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6"/>
      <c r="X111" s="306"/>
      <c r="Y111" s="306"/>
      <c r="Z111" s="306"/>
    </row>
    <row r="112" ht="12.75" customHeight="1">
      <c r="A112" s="306"/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</row>
    <row r="113" ht="12.75" customHeight="1">
      <c r="A113" s="306"/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</row>
    <row r="114" ht="12.75" customHeight="1">
      <c r="A114" s="306"/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</row>
    <row r="115" ht="12.75" customHeight="1">
      <c r="A115" s="306"/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  <c r="Z115" s="306"/>
    </row>
    <row r="116" ht="12.75" customHeight="1">
      <c r="A116" s="306"/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</row>
    <row r="117" ht="12.75" customHeight="1">
      <c r="A117" s="306"/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  <c r="S117" s="306"/>
      <c r="T117" s="306"/>
      <c r="U117" s="306"/>
      <c r="V117" s="306"/>
      <c r="W117" s="306"/>
      <c r="X117" s="306"/>
      <c r="Y117" s="306"/>
      <c r="Z117" s="306"/>
    </row>
    <row r="118" ht="12.75" customHeight="1">
      <c r="A118" s="306"/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R118" s="306"/>
      <c r="S118" s="306"/>
      <c r="T118" s="306"/>
      <c r="U118" s="306"/>
      <c r="V118" s="306"/>
      <c r="W118" s="306"/>
      <c r="X118" s="306"/>
      <c r="Y118" s="306"/>
      <c r="Z118" s="306"/>
    </row>
    <row r="119" ht="12.75" customHeight="1">
      <c r="A119" s="306"/>
      <c r="B119" s="306"/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</row>
    <row r="120" ht="12.75" customHeight="1">
      <c r="A120" s="306"/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</row>
    <row r="121" ht="12.75" customHeight="1">
      <c r="A121" s="306"/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</row>
    <row r="122" ht="12.75" customHeigh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  <c r="X122" s="306"/>
      <c r="Y122" s="306"/>
      <c r="Z122" s="306"/>
    </row>
    <row r="123" ht="12.75" customHeight="1">
      <c r="A123" s="306"/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</row>
    <row r="124" ht="12.75" customHeight="1">
      <c r="A124" s="306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</row>
    <row r="125" ht="12.75" customHeight="1">
      <c r="A125" s="306"/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</row>
    <row r="126" ht="12.75" customHeight="1">
      <c r="A126" s="306"/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</row>
    <row r="127" ht="12.75" customHeight="1">
      <c r="A127" s="306"/>
      <c r="B127" s="306"/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</row>
    <row r="128" ht="12.75" customHeight="1">
      <c r="A128" s="306"/>
      <c r="B128" s="306"/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</row>
    <row r="129" ht="12.75" customHeight="1">
      <c r="A129" s="306"/>
      <c r="B129" s="306"/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</row>
    <row r="130" ht="12.75" customHeight="1">
      <c r="A130" s="306"/>
      <c r="B130" s="306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</row>
    <row r="131" ht="12.75" customHeight="1">
      <c r="A131" s="306"/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</row>
    <row r="132" ht="12.75" customHeight="1">
      <c r="A132" s="306"/>
      <c r="B132" s="306"/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306"/>
    </row>
    <row r="133" ht="12.75" customHeight="1">
      <c r="A133" s="306"/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  <c r="Z133" s="306"/>
    </row>
    <row r="134" ht="12.75" customHeight="1">
      <c r="A134" s="306"/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</row>
    <row r="135" ht="12.75" customHeight="1">
      <c r="A135" s="306"/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</row>
    <row r="136" ht="12.75" customHeight="1">
      <c r="A136" s="306"/>
      <c r="B136" s="306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</row>
    <row r="137" ht="12.75" customHeight="1">
      <c r="A137" s="306"/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  <c r="Y137" s="306"/>
      <c r="Z137" s="306"/>
    </row>
    <row r="138" ht="12.75" customHeight="1">
      <c r="A138" s="306"/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</row>
    <row r="139" ht="12.75" customHeight="1">
      <c r="A139" s="306"/>
      <c r="B139" s="306"/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</row>
    <row r="140" ht="12.75" customHeight="1">
      <c r="A140" s="306"/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</row>
    <row r="141" ht="12.75" customHeight="1">
      <c r="A141" s="306"/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</row>
    <row r="142" ht="12.75" customHeight="1">
      <c r="A142" s="306"/>
      <c r="B142" s="306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</row>
    <row r="143" ht="12.75" customHeight="1">
      <c r="A143" s="306"/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6"/>
      <c r="U143" s="306"/>
      <c r="V143" s="306"/>
      <c r="W143" s="306"/>
      <c r="X143" s="306"/>
      <c r="Y143" s="306"/>
      <c r="Z143" s="306"/>
    </row>
    <row r="144" ht="12.75" customHeight="1">
      <c r="A144" s="306"/>
      <c r="B144" s="306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306"/>
    </row>
    <row r="145" ht="12.75" customHeight="1">
      <c r="A145" s="306"/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</row>
    <row r="146" ht="12.75" customHeight="1">
      <c r="A146" s="306"/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</row>
    <row r="147" ht="12.75" customHeight="1">
      <c r="A147" s="306"/>
      <c r="B147" s="306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  <c r="Z147" s="306"/>
    </row>
    <row r="148" ht="12.75" customHeight="1">
      <c r="A148" s="306"/>
      <c r="B148" s="306"/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  <c r="Z148" s="306"/>
    </row>
    <row r="149" ht="12.75" customHeight="1">
      <c r="A149" s="306"/>
      <c r="B149" s="306"/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</row>
    <row r="150" ht="12.75" customHeight="1">
      <c r="A150" s="306"/>
      <c r="B150" s="306"/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</row>
    <row r="151" ht="12.75" customHeight="1">
      <c r="A151" s="306"/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306"/>
      <c r="Y151" s="306"/>
      <c r="Z151" s="306"/>
    </row>
    <row r="152" ht="12.75" customHeight="1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</row>
    <row r="153" ht="12.75" customHeight="1">
      <c r="A153" s="306"/>
      <c r="B153" s="306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  <c r="Z153" s="306"/>
    </row>
    <row r="154" ht="12.75" customHeight="1">
      <c r="A154" s="306"/>
      <c r="B154" s="306"/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306"/>
      <c r="X154" s="306"/>
      <c r="Y154" s="306"/>
      <c r="Z154" s="306"/>
    </row>
    <row r="155" ht="12.75" customHeight="1">
      <c r="A155" s="306"/>
      <c r="B155" s="306"/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306"/>
      <c r="X155" s="306"/>
      <c r="Y155" s="306"/>
      <c r="Z155" s="306"/>
    </row>
    <row r="156" ht="12.75" customHeight="1">
      <c r="A156" s="306"/>
      <c r="B156" s="306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306"/>
      <c r="X156" s="306"/>
      <c r="Y156" s="306"/>
      <c r="Z156" s="306"/>
    </row>
    <row r="157" ht="12.75" customHeight="1">
      <c r="A157" s="306"/>
      <c r="B157" s="306"/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306"/>
    </row>
    <row r="158" ht="12.75" customHeight="1">
      <c r="A158" s="306"/>
      <c r="B158" s="306"/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</row>
    <row r="159" ht="12.75" customHeight="1">
      <c r="A159" s="306"/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</row>
    <row r="160" ht="12.75" customHeight="1">
      <c r="A160" s="306"/>
      <c r="B160" s="306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  <c r="Z160" s="306"/>
    </row>
    <row r="161" ht="12.75" customHeight="1">
      <c r="A161" s="306"/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</row>
    <row r="162" ht="12.75" customHeight="1">
      <c r="A162" s="306"/>
      <c r="B162" s="306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</row>
    <row r="163" ht="12.75" customHeight="1">
      <c r="A163" s="306"/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</row>
    <row r="164" ht="12.75" customHeight="1">
      <c r="A164" s="306"/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</row>
    <row r="165" ht="12.75" customHeight="1">
      <c r="A165" s="306"/>
      <c r="B165" s="306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</row>
    <row r="166" ht="12.75" customHeight="1">
      <c r="A166" s="306"/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</row>
    <row r="167" ht="12.75" customHeight="1">
      <c r="A167" s="306"/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</row>
    <row r="168" ht="12.75" customHeight="1">
      <c r="A168" s="306"/>
      <c r="B168" s="306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  <c r="Z168" s="306"/>
    </row>
    <row r="169" ht="12.75" customHeight="1">
      <c r="A169" s="306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6"/>
      <c r="T169" s="306"/>
      <c r="U169" s="306"/>
      <c r="V169" s="306"/>
      <c r="W169" s="306"/>
      <c r="X169" s="306"/>
      <c r="Y169" s="306"/>
      <c r="Z169" s="306"/>
    </row>
    <row r="170" ht="12.75" customHeight="1">
      <c r="A170" s="306"/>
      <c r="B170" s="306"/>
      <c r="C170" s="306"/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</row>
    <row r="171" ht="12.75" customHeight="1">
      <c r="A171" s="306"/>
      <c r="B171" s="306"/>
      <c r="C171" s="306"/>
      <c r="D171" s="306"/>
      <c r="E171" s="306"/>
      <c r="F171" s="306"/>
      <c r="G171" s="306"/>
      <c r="H171" s="306"/>
      <c r="I171" s="306"/>
      <c r="J171" s="306"/>
      <c r="K171" s="306"/>
      <c r="L171" s="306"/>
      <c r="M171" s="306"/>
      <c r="N171" s="306"/>
      <c r="O171" s="306"/>
      <c r="P171" s="306"/>
      <c r="Q171" s="306"/>
      <c r="R171" s="306"/>
      <c r="S171" s="306"/>
      <c r="T171" s="306"/>
      <c r="U171" s="306"/>
      <c r="V171" s="306"/>
      <c r="W171" s="306"/>
      <c r="X171" s="306"/>
      <c r="Y171" s="306"/>
      <c r="Z171" s="306"/>
    </row>
    <row r="172" ht="12.75" customHeight="1">
      <c r="A172" s="306"/>
      <c r="B172" s="306"/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</row>
    <row r="173" ht="12.75" customHeight="1">
      <c r="A173" s="306"/>
      <c r="B173" s="306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306"/>
      <c r="X173" s="306"/>
      <c r="Y173" s="306"/>
      <c r="Z173" s="306"/>
    </row>
    <row r="174" ht="12.75" customHeight="1">
      <c r="A174" s="306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  <c r="Z174" s="306"/>
    </row>
    <row r="175" ht="12.75" customHeight="1">
      <c r="A175" s="306"/>
      <c r="B175" s="306"/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</row>
    <row r="176" ht="12.75" customHeight="1">
      <c r="A176" s="306"/>
      <c r="B176" s="306"/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/>
      <c r="Z176" s="306"/>
    </row>
    <row r="177" ht="12.75" customHeight="1">
      <c r="A177" s="306"/>
      <c r="B177" s="306"/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306"/>
      <c r="X177" s="306"/>
      <c r="Y177" s="306"/>
      <c r="Z177" s="306"/>
    </row>
    <row r="178" ht="12.75" customHeight="1">
      <c r="A178" s="306"/>
      <c r="B178" s="306"/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306"/>
    </row>
    <row r="179" ht="12.75" customHeight="1">
      <c r="A179" s="306"/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/>
      <c r="V179" s="306"/>
      <c r="W179" s="306"/>
      <c r="X179" s="306"/>
      <c r="Y179" s="306"/>
      <c r="Z179" s="306"/>
    </row>
    <row r="180" ht="12.75" customHeight="1">
      <c r="A180" s="306"/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</row>
    <row r="181" ht="12.75" customHeight="1">
      <c r="A181" s="306"/>
      <c r="B181" s="306"/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  <c r="Y181" s="306"/>
      <c r="Z181" s="306"/>
    </row>
    <row r="182" ht="12.75" customHeigh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  <c r="Z182" s="306"/>
    </row>
    <row r="183" ht="12.75" customHeight="1">
      <c r="A183" s="306"/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</row>
    <row r="184" ht="12.75" customHeight="1">
      <c r="A184" s="306"/>
      <c r="B184" s="306"/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</row>
    <row r="185" ht="12.75" customHeight="1">
      <c r="A185" s="306"/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</row>
    <row r="186" ht="12.75" customHeight="1">
      <c r="A186" s="306"/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</row>
    <row r="187" ht="12.75" customHeight="1">
      <c r="A187" s="306"/>
      <c r="B187" s="306"/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</row>
    <row r="188" ht="12.75" customHeight="1">
      <c r="A188" s="306"/>
      <c r="B188" s="306"/>
      <c r="C188" s="306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  <c r="Z188" s="306"/>
    </row>
    <row r="189" ht="12.75" customHeight="1">
      <c r="A189" s="306"/>
      <c r="B189" s="306"/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</row>
    <row r="190" ht="12.75" customHeight="1">
      <c r="A190" s="306"/>
      <c r="B190" s="306"/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306"/>
    </row>
    <row r="191" ht="12.75" customHeight="1">
      <c r="A191" s="306"/>
      <c r="B191" s="306"/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</row>
    <row r="192" ht="12.75" customHeight="1">
      <c r="A192" s="306"/>
      <c r="B192" s="306"/>
      <c r="C192" s="306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</row>
    <row r="193" ht="12.75" customHeight="1">
      <c r="A193" s="306"/>
      <c r="B193" s="306"/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6"/>
      <c r="V193" s="306"/>
      <c r="W193" s="306"/>
      <c r="X193" s="306"/>
      <c r="Y193" s="306"/>
      <c r="Z193" s="306"/>
    </row>
    <row r="194" ht="12.75" customHeight="1">
      <c r="A194" s="306"/>
      <c r="B194" s="306"/>
      <c r="C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</row>
    <row r="195" ht="12.75" customHeight="1">
      <c r="A195" s="306"/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  <c r="Z195" s="306"/>
    </row>
    <row r="196" ht="12.75" customHeight="1">
      <c r="A196" s="306"/>
      <c r="B196" s="306"/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  <c r="Z196" s="306"/>
    </row>
    <row r="197" ht="12.75" customHeight="1">
      <c r="A197" s="306"/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  <c r="S197" s="306"/>
      <c r="T197" s="306"/>
      <c r="U197" s="306"/>
      <c r="V197" s="306"/>
      <c r="W197" s="306"/>
      <c r="X197" s="306"/>
      <c r="Y197" s="306"/>
      <c r="Z197" s="306"/>
    </row>
    <row r="198" ht="12.75" customHeight="1">
      <c r="A198" s="306"/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306"/>
    </row>
    <row r="199" ht="12.75" customHeight="1">
      <c r="A199" s="306"/>
      <c r="B199" s="306"/>
      <c r="C199" s="306"/>
      <c r="D199" s="306"/>
      <c r="E199" s="306"/>
      <c r="F199" s="306"/>
      <c r="G199" s="306"/>
      <c r="H199" s="306"/>
      <c r="I199" s="306"/>
      <c r="J199" s="306"/>
      <c r="K199" s="306"/>
      <c r="L199" s="306"/>
      <c r="M199" s="306"/>
      <c r="N199" s="306"/>
      <c r="O199" s="306"/>
      <c r="P199" s="306"/>
      <c r="Q199" s="306"/>
      <c r="R199" s="306"/>
      <c r="S199" s="306"/>
      <c r="T199" s="306"/>
      <c r="U199" s="306"/>
      <c r="V199" s="306"/>
      <c r="W199" s="306"/>
      <c r="X199" s="306"/>
      <c r="Y199" s="306"/>
      <c r="Z199" s="306"/>
    </row>
    <row r="200" ht="12.75" customHeight="1">
      <c r="A200" s="306"/>
      <c r="B200" s="306"/>
      <c r="C200" s="306"/>
      <c r="D200" s="306"/>
      <c r="E200" s="306"/>
      <c r="F200" s="306"/>
      <c r="G200" s="306"/>
      <c r="H200" s="306"/>
      <c r="I200" s="306"/>
      <c r="J200" s="306"/>
      <c r="K200" s="306"/>
      <c r="L200" s="306"/>
      <c r="M200" s="306"/>
      <c r="N200" s="306"/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  <c r="Z200" s="306"/>
    </row>
    <row r="201" ht="12.75" customHeight="1">
      <c r="A201" s="306"/>
      <c r="B201" s="306"/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  <c r="Z201" s="306"/>
    </row>
    <row r="202" ht="12.75" customHeight="1">
      <c r="A202" s="306"/>
      <c r="B202" s="306"/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  <c r="T202" s="306"/>
      <c r="U202" s="306"/>
      <c r="V202" s="306"/>
      <c r="W202" s="306"/>
      <c r="X202" s="306"/>
      <c r="Y202" s="306"/>
      <c r="Z202" s="306"/>
    </row>
    <row r="203" ht="12.75" customHeight="1">
      <c r="A203" s="306"/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306"/>
    </row>
    <row r="204" ht="12.75" customHeight="1">
      <c r="A204" s="306"/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</row>
    <row r="205" ht="12.75" customHeight="1">
      <c r="A205" s="306"/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</row>
    <row r="206" ht="12.75" customHeight="1">
      <c r="A206" s="306"/>
      <c r="B206" s="306"/>
      <c r="C206" s="306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  <c r="T206" s="306"/>
      <c r="U206" s="306"/>
      <c r="V206" s="306"/>
      <c r="W206" s="306"/>
      <c r="X206" s="306"/>
      <c r="Y206" s="306"/>
      <c r="Z206" s="306"/>
    </row>
    <row r="207" ht="12.75" customHeight="1">
      <c r="A207" s="306"/>
      <c r="B207" s="306"/>
      <c r="C207" s="306"/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  <c r="S207" s="306"/>
      <c r="T207" s="306"/>
      <c r="U207" s="306"/>
      <c r="V207" s="306"/>
      <c r="W207" s="306"/>
      <c r="X207" s="306"/>
      <c r="Y207" s="306"/>
      <c r="Z207" s="306"/>
    </row>
    <row r="208" ht="12.75" customHeight="1">
      <c r="A208" s="306"/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  <c r="T208" s="306"/>
      <c r="U208" s="306"/>
      <c r="V208" s="306"/>
      <c r="W208" s="306"/>
      <c r="X208" s="306"/>
      <c r="Y208" s="306"/>
      <c r="Z208" s="306"/>
    </row>
    <row r="209" ht="12.75" customHeight="1">
      <c r="A209" s="306"/>
      <c r="B209" s="306"/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  <c r="T209" s="306"/>
      <c r="U209" s="306"/>
      <c r="V209" s="306"/>
      <c r="W209" s="306"/>
      <c r="X209" s="306"/>
      <c r="Y209" s="306"/>
      <c r="Z209" s="306"/>
    </row>
    <row r="210" ht="12.75" customHeight="1">
      <c r="A210" s="306"/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/>
      <c r="Y210" s="306"/>
      <c r="Z210" s="306"/>
    </row>
    <row r="211" ht="12.75" customHeight="1">
      <c r="A211" s="306"/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  <c r="X211" s="306"/>
      <c r="Y211" s="306"/>
      <c r="Z211" s="306"/>
    </row>
    <row r="212" ht="12.75" customHeight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  <c r="X212" s="306"/>
      <c r="Y212" s="306"/>
      <c r="Z212" s="306"/>
    </row>
    <row r="213" ht="12.75" customHeight="1">
      <c r="A213" s="306"/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  <c r="T213" s="306"/>
      <c r="U213" s="306"/>
      <c r="V213" s="306"/>
      <c r="W213" s="306"/>
      <c r="X213" s="306"/>
      <c r="Y213" s="306"/>
      <c r="Z213" s="306"/>
    </row>
    <row r="214" ht="12.75" customHeight="1">
      <c r="A214" s="306"/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  <c r="S214" s="306"/>
      <c r="T214" s="306"/>
      <c r="U214" s="306"/>
      <c r="V214" s="306"/>
      <c r="W214" s="306"/>
      <c r="X214" s="306"/>
      <c r="Y214" s="306"/>
      <c r="Z214" s="306"/>
    </row>
    <row r="215" ht="12.75" customHeight="1">
      <c r="A215" s="306"/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  <c r="T215" s="306"/>
      <c r="U215" s="306"/>
      <c r="V215" s="306"/>
      <c r="W215" s="306"/>
      <c r="X215" s="306"/>
      <c r="Y215" s="306"/>
      <c r="Z215" s="306"/>
    </row>
    <row r="216" ht="12.75" customHeight="1">
      <c r="A216" s="306"/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  <c r="T216" s="306"/>
      <c r="U216" s="306"/>
      <c r="V216" s="306"/>
      <c r="W216" s="306"/>
      <c r="X216" s="306"/>
      <c r="Y216" s="306"/>
      <c r="Z216" s="306"/>
    </row>
    <row r="217" ht="12.75" customHeight="1">
      <c r="A217" s="306"/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  <c r="T217" s="306"/>
      <c r="U217" s="306"/>
      <c r="V217" s="306"/>
      <c r="W217" s="306"/>
      <c r="X217" s="306"/>
      <c r="Y217" s="306"/>
      <c r="Z217" s="306"/>
    </row>
    <row r="218" ht="12.75" customHeight="1">
      <c r="A218" s="306"/>
      <c r="B218" s="306"/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  <c r="T218" s="306"/>
      <c r="U218" s="306"/>
      <c r="V218" s="306"/>
      <c r="W218" s="306"/>
      <c r="X218" s="306"/>
      <c r="Y218" s="306"/>
      <c r="Z218" s="306"/>
    </row>
    <row r="219" ht="12.75" customHeight="1">
      <c r="A219" s="306"/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</row>
    <row r="220" ht="12.75" customHeight="1">
      <c r="A220" s="306"/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</row>
    <row r="221" ht="12.75" customHeight="1">
      <c r="A221" s="306"/>
      <c r="B221" s="306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  <c r="Z221" s="306"/>
    </row>
    <row r="222" ht="12.75" customHeight="1">
      <c r="A222" s="306"/>
      <c r="B222" s="306"/>
      <c r="C222" s="306"/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  <c r="S222" s="306"/>
      <c r="T222" s="306"/>
      <c r="U222" s="306"/>
      <c r="V222" s="306"/>
      <c r="W222" s="306"/>
      <c r="X222" s="306"/>
      <c r="Y222" s="306"/>
      <c r="Z222" s="306"/>
    </row>
    <row r="223" ht="12.75" customHeight="1">
      <c r="A223" s="306"/>
      <c r="B223" s="306"/>
      <c r="C223" s="306"/>
      <c r="D223" s="306"/>
      <c r="E223" s="306"/>
      <c r="F223" s="306"/>
      <c r="G223" s="306"/>
      <c r="H223" s="306"/>
      <c r="I223" s="306"/>
      <c r="J223" s="306"/>
      <c r="K223" s="306"/>
      <c r="L223" s="306"/>
      <c r="M223" s="306"/>
      <c r="N223" s="306"/>
      <c r="O223" s="306"/>
      <c r="P223" s="306"/>
      <c r="Q223" s="306"/>
      <c r="R223" s="306"/>
      <c r="S223" s="306"/>
      <c r="T223" s="306"/>
      <c r="U223" s="306"/>
      <c r="V223" s="306"/>
      <c r="W223" s="306"/>
      <c r="X223" s="306"/>
      <c r="Y223" s="306"/>
      <c r="Z223" s="306"/>
    </row>
    <row r="224" ht="12.75" customHeight="1">
      <c r="A224" s="306"/>
      <c r="B224" s="306"/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  <c r="T224" s="306"/>
      <c r="U224" s="306"/>
      <c r="V224" s="306"/>
      <c r="W224" s="306"/>
      <c r="X224" s="306"/>
      <c r="Y224" s="306"/>
      <c r="Z224" s="306"/>
    </row>
    <row r="225" ht="12.75" customHeight="1">
      <c r="A225" s="306"/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306"/>
      <c r="O225" s="306"/>
      <c r="P225" s="306"/>
      <c r="Q225" s="306"/>
      <c r="R225" s="306"/>
      <c r="S225" s="306"/>
      <c r="T225" s="306"/>
      <c r="U225" s="306"/>
      <c r="V225" s="306"/>
      <c r="W225" s="306"/>
      <c r="X225" s="306"/>
      <c r="Y225" s="306"/>
      <c r="Z225" s="306"/>
    </row>
  </sheetData>
  <printOptions/>
  <pageMargins bottom="0.75" footer="0.0" header="0.0" left="0.7" right="0.7" top="0.75"/>
  <pageSetup paperSize="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8.0"/>
    <col customWidth="1" min="2" max="7" width="13.86"/>
    <col customWidth="1" min="8" max="26" width="9.0"/>
  </cols>
  <sheetData>
    <row r="1" ht="14.25" customHeight="1">
      <c r="A1" s="320" t="s">
        <v>488</v>
      </c>
      <c r="E1" s="306"/>
      <c r="F1" s="306"/>
      <c r="G1" s="529" t="str">
        <f>InfoInicial!E1</f>
        <v>10</v>
      </c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ht="16.5" customHeight="1">
      <c r="A2" s="530" t="s">
        <v>766</v>
      </c>
      <c r="B2" s="506"/>
      <c r="C2" s="506"/>
      <c r="D2" s="506"/>
      <c r="E2" s="506"/>
      <c r="F2" s="506"/>
      <c r="G2" s="507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</row>
    <row r="3" ht="15.75" customHeight="1">
      <c r="A3" s="531"/>
      <c r="B3" s="532" t="s">
        <v>767</v>
      </c>
      <c r="C3" s="532"/>
      <c r="D3" s="532"/>
      <c r="E3" s="532"/>
      <c r="F3" s="532"/>
      <c r="G3" s="533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</row>
    <row r="4" ht="13.5" customHeight="1">
      <c r="A4" s="534" t="s">
        <v>591</v>
      </c>
      <c r="B4" s="515" t="s">
        <v>542</v>
      </c>
      <c r="C4" s="358" t="s">
        <v>44</v>
      </c>
      <c r="D4" s="358" t="s">
        <v>430</v>
      </c>
      <c r="E4" s="358" t="s">
        <v>431</v>
      </c>
      <c r="F4" s="358" t="s">
        <v>432</v>
      </c>
      <c r="G4" s="455" t="s">
        <v>433</v>
      </c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</row>
    <row r="5" ht="13.5" customHeight="1">
      <c r="A5" s="535" t="s">
        <v>768</v>
      </c>
      <c r="B5" s="536"/>
      <c r="C5" s="425"/>
      <c r="D5" s="425"/>
      <c r="E5" s="425"/>
      <c r="F5" s="425"/>
      <c r="G5" s="457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</row>
    <row r="6" ht="12.75" customHeight="1">
      <c r="A6" s="537" t="s">
        <v>769</v>
      </c>
      <c r="B6" s="538"/>
      <c r="C6" s="393" t="str">
        <f>'E-Costos'!B7*InfoInicial!$B$3</f>
        <v> $ 439,571.56 </v>
      </c>
      <c r="D6" s="393" t="str">
        <f>'E-Costos'!C7*InfoInicial!$B$3</f>
        <v> $ 557,641.13 </v>
      </c>
      <c r="E6" s="393" t="str">
        <f>'E-Costos'!D7*InfoInicial!$B$3</f>
        <v> $ 557,641.13 </v>
      </c>
      <c r="F6" s="393" t="str">
        <f>'E-Costos'!E7*InfoInicial!$B$3</f>
        <v> $ 557,641.13 </v>
      </c>
      <c r="G6" s="444" t="str">
        <f>'E-Costos'!F7*InfoInicial!$B$3</f>
        <v> $ 557,641.13 </v>
      </c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</row>
    <row r="7" ht="12.75" customHeight="1">
      <c r="A7" s="537" t="s">
        <v>626</v>
      </c>
      <c r="B7" s="538"/>
      <c r="C7" s="393" t="str">
        <f>'E-Costos'!B12*InfoInicial!$B$3</f>
        <v> $ 74,856.19 </v>
      </c>
      <c r="D7" s="393" t="str">
        <f>'E-Costos'!C12*InfoInicial!$B$3</f>
        <v> $ 74,856.19 </v>
      </c>
      <c r="E7" s="393" t="str">
        <f>'E-Costos'!D12*InfoInicial!$B$3</f>
        <v> $ 74,856.19 </v>
      </c>
      <c r="F7" s="393" t="str">
        <f>'E-Costos'!E12*InfoInicial!$B$3</f>
        <v> $ 74,856.19 </v>
      </c>
      <c r="G7" s="444" t="str">
        <f>'E-Costos'!F12*InfoInicial!$B$3</f>
        <v> $ 74,856.19 </v>
      </c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</row>
    <row r="8" ht="12.75" customHeight="1">
      <c r="A8" s="537" t="s">
        <v>627</v>
      </c>
      <c r="B8" s="538"/>
      <c r="C8" s="393" t="str">
        <f>'E-Costos'!B13*InfoInicial!$B$3</f>
        <v> $ 21,845.32 </v>
      </c>
      <c r="D8" s="393" t="str">
        <f>'E-Costos'!C13*InfoInicial!$B$3</f>
        <v> $ 27,306.65 </v>
      </c>
      <c r="E8" s="393" t="str">
        <f>'E-Costos'!D13*InfoInicial!$B$3</f>
        <v> $ 27,306.65 </v>
      </c>
      <c r="F8" s="393" t="str">
        <f>'E-Costos'!E13*InfoInicial!$B$3</f>
        <v> $ 27,306.65 </v>
      </c>
      <c r="G8" s="444" t="str">
        <f>'E-Costos'!F13*InfoInicial!$B$3</f>
        <v> $ 27,306.65 </v>
      </c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</row>
    <row r="9" ht="12.75" customHeight="1">
      <c r="A9" s="537" t="s">
        <v>628</v>
      </c>
      <c r="B9" s="538"/>
      <c r="C9" s="393" t="s">
        <v>240</v>
      </c>
      <c r="D9" s="393" t="s">
        <v>240</v>
      </c>
      <c r="E9" s="393" t="s">
        <v>240</v>
      </c>
      <c r="F9" s="393" t="s">
        <v>240</v>
      </c>
      <c r="G9" s="444" t="s">
        <v>240</v>
      </c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</row>
    <row r="10" ht="12.75" customHeight="1">
      <c r="A10" s="537" t="s">
        <v>770</v>
      </c>
      <c r="B10" s="538"/>
      <c r="C10" s="393" t="s">
        <v>240</v>
      </c>
      <c r="D10" s="393" t="s">
        <v>240</v>
      </c>
      <c r="E10" s="393" t="s">
        <v>240</v>
      </c>
      <c r="F10" s="393" t="s">
        <v>240</v>
      </c>
      <c r="G10" s="444" t="s">
        <v>240</v>
      </c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</row>
    <row r="11" ht="12.75" customHeight="1">
      <c r="A11" s="537" t="s">
        <v>657</v>
      </c>
      <c r="B11" s="538"/>
      <c r="C11" s="393" t="s">
        <v>240</v>
      </c>
      <c r="D11" s="393" t="s">
        <v>240</v>
      </c>
      <c r="E11" s="393" t="s">
        <v>240</v>
      </c>
      <c r="F11" s="393" t="s">
        <v>240</v>
      </c>
      <c r="G11" s="444" t="s">
        <v>240</v>
      </c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</row>
    <row r="12" ht="12.75" customHeight="1">
      <c r="A12" s="539" t="s">
        <v>585</v>
      </c>
      <c r="B12" s="538"/>
      <c r="C12" s="393" t="str">
        <f t="shared" ref="C12:G12" si="1">SUM(C6:C11)</f>
        <v> $ 536,273.07 </v>
      </c>
      <c r="D12" s="393" t="str">
        <f t="shared" si="1"/>
        <v> $ 659,803.97 </v>
      </c>
      <c r="E12" s="393" t="str">
        <f t="shared" si="1"/>
        <v> $ 659,803.97 </v>
      </c>
      <c r="F12" s="393" t="str">
        <f t="shared" si="1"/>
        <v> $ 659,803.97 </v>
      </c>
      <c r="G12" s="444" t="str">
        <f t="shared" si="1"/>
        <v> $ 659,803.97 </v>
      </c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</row>
    <row r="13" ht="12.75" customHeight="1">
      <c r="A13" s="537" t="s">
        <v>771</v>
      </c>
      <c r="B13" s="538"/>
      <c r="C13" s="393" t="str">
        <f>('E-Costos'!G35-'E-Costos'!G26)*InfoInicial!B3</f>
        <v> $ 19,810.56 </v>
      </c>
      <c r="D13" s="393"/>
      <c r="E13" s="393"/>
      <c r="F13" s="393"/>
      <c r="G13" s="444"/>
      <c r="H13" s="306"/>
      <c r="I13" s="306"/>
      <c r="J13" s="298" t="str">
        <f>'E-IVA '!E25</f>
        <v> $ -   </v>
      </c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</row>
    <row r="14" ht="12.75" customHeight="1">
      <c r="A14" s="537" t="s">
        <v>772</v>
      </c>
      <c r="B14" s="538"/>
      <c r="C14" s="393"/>
      <c r="D14" s="393"/>
      <c r="E14" s="393"/>
      <c r="F14" s="393"/>
      <c r="G14" s="444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</row>
    <row r="15" ht="12.75" customHeight="1">
      <c r="A15" s="537" t="s">
        <v>773</v>
      </c>
      <c r="B15" s="538"/>
      <c r="C15" s="427">
        <v>0.0</v>
      </c>
      <c r="D15" s="393" t="str">
        <f>'E-InvAT'!C32</f>
        <v> $ 8,524.02 </v>
      </c>
      <c r="E15" s="393" t="str">
        <f>'E-InvAT'!D32</f>
        <v> $ 141.26 </v>
      </c>
      <c r="F15" s="393" t="str">
        <f>'E-InvAT'!E32</f>
        <v> $ -   </v>
      </c>
      <c r="G15" s="444" t="str">
        <f>'E-InvAT'!F32</f>
        <v> $ -   </v>
      </c>
      <c r="H15" s="219" t="s">
        <v>774</v>
      </c>
      <c r="I15" s="306"/>
      <c r="J15" s="223" t="s">
        <v>645</v>
      </c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</row>
    <row r="16" ht="12.75" customHeight="1">
      <c r="A16" s="537" t="s">
        <v>775</v>
      </c>
      <c r="B16" s="538"/>
      <c r="C16" s="427">
        <v>0.0</v>
      </c>
      <c r="D16" s="393" t="str">
        <f>'E-InvAT'!C33</f>
        <v> $ 6,020.73 </v>
      </c>
      <c r="E16" s="393" t="str">
        <f>'E-InvAT'!D33</f>
        <v> $ 227.57 </v>
      </c>
      <c r="F16" s="393" t="str">
        <f>'E-InvAT'!E33</f>
        <v> $ -   </v>
      </c>
      <c r="G16" s="444" t="str">
        <f>'E-InvAT'!F33</f>
        <v> $ -   </v>
      </c>
      <c r="H16" s="219" t="s">
        <v>774</v>
      </c>
      <c r="I16" s="306"/>
      <c r="J16" s="223" t="s">
        <v>645</v>
      </c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</row>
    <row r="17" ht="12.75" customHeight="1">
      <c r="A17" s="539" t="s">
        <v>776</v>
      </c>
      <c r="B17" s="538"/>
      <c r="C17" s="393" t="str">
        <f t="shared" ref="C17:G17" si="2">C12-C13-C15-C16</f>
        <v> $ 516,462.52 </v>
      </c>
      <c r="D17" s="393" t="str">
        <f t="shared" si="2"/>
        <v> $ 645,259.21 </v>
      </c>
      <c r="E17" s="393" t="str">
        <f t="shared" si="2"/>
        <v> $ 659,435.14 </v>
      </c>
      <c r="F17" s="393" t="str">
        <f t="shared" si="2"/>
        <v> $ 659,803.97 </v>
      </c>
      <c r="G17" s="444" t="str">
        <f t="shared" si="2"/>
        <v> $ 659,803.97 </v>
      </c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</row>
    <row r="18" ht="12.75" customHeight="1">
      <c r="A18" s="539" t="s">
        <v>777</v>
      </c>
      <c r="B18" s="538"/>
      <c r="C18" s="393" t="str">
        <f>InfoInicial!$B$3*('E-Costos'!B54+'E-Costos'!B55+'E-Costos'!B57)</f>
        <v> $ 19,593.65 </v>
      </c>
      <c r="D18" s="393" t="str">
        <f>InfoInicial!$B$3*('E-Costos'!C54+'E-Costos'!C55+'E-Costos'!C57)</f>
        <v> $ 21,670.38 </v>
      </c>
      <c r="E18" s="393" t="str">
        <f>InfoInicial!$B$3*('E-Costos'!D54+'E-Costos'!D55+'E-Costos'!D57)</f>
        <v> $ 21,670.38 </v>
      </c>
      <c r="F18" s="393" t="str">
        <f>InfoInicial!$B$3*('E-Costos'!E54+'E-Costos'!E55+'E-Costos'!E57)</f>
        <v> $ 21,670.38 </v>
      </c>
      <c r="G18" s="444" t="str">
        <f>InfoInicial!$B$3*('E-Costos'!F54+'E-Costos'!F55+'E-Costos'!F57)</f>
        <v> $ 21,670.38 </v>
      </c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</row>
    <row r="19" ht="12.75" customHeight="1">
      <c r="A19" s="539" t="s">
        <v>778</v>
      </c>
      <c r="B19" s="538"/>
      <c r="C19" s="393" t="str">
        <f>InfoInicial!$B$3*('E-Costos'!B71+'E-Costos'!B72+'E-Costos'!B74)</f>
        <v> $ 181,744.30 </v>
      </c>
      <c r="D19" s="393" t="str">
        <f>InfoInicial!$B$3*('E-Costos'!C71+'E-Costos'!C72+'E-Costos'!C74)</f>
        <v> $ 222,312.11 </v>
      </c>
      <c r="E19" s="393" t="str">
        <f>InfoInicial!$B$3*('E-Costos'!D71+'E-Costos'!D72+'E-Costos'!D74)</f>
        <v> $ 222,312.11 </v>
      </c>
      <c r="F19" s="393" t="str">
        <f>InfoInicial!$B$3*('E-Costos'!E71+'E-Costos'!E72+'E-Costos'!E74)</f>
        <v> $ 222,312.11 </v>
      </c>
      <c r="G19" s="444" t="str">
        <f>InfoInicial!$B$3*('E-Costos'!F71+'E-Costos'!F72+'E-Costos'!F74)</f>
        <v> $ 222,312.11 </v>
      </c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</row>
    <row r="20" ht="12.75" customHeight="1">
      <c r="A20" s="539"/>
      <c r="B20" s="538"/>
      <c r="C20" s="393"/>
      <c r="D20" s="393"/>
      <c r="E20" s="393"/>
      <c r="F20" s="393"/>
      <c r="G20" s="444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</row>
    <row r="21" ht="12.75" customHeight="1">
      <c r="A21" s="537" t="s">
        <v>779</v>
      </c>
      <c r="B21" s="538"/>
      <c r="C21" s="393" t="str">
        <f t="shared" ref="C21:G21" si="3">SUM(C17:C19)</f>
        <v> $ 717,800.47 </v>
      </c>
      <c r="D21" s="393" t="str">
        <f t="shared" si="3"/>
        <v> $ 889,241.70 </v>
      </c>
      <c r="E21" s="393" t="str">
        <f t="shared" si="3"/>
        <v> $ 903,417.62 </v>
      </c>
      <c r="F21" s="393" t="str">
        <f t="shared" si="3"/>
        <v> $ 903,786.46 </v>
      </c>
      <c r="G21" s="444" t="str">
        <f t="shared" si="3"/>
        <v> $ 903,786.46 </v>
      </c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</row>
    <row r="22" ht="12.75" customHeight="1">
      <c r="A22" s="537" t="s">
        <v>780</v>
      </c>
      <c r="B22" s="538"/>
      <c r="C22" s="393" t="str">
        <f>InfoInicial!$B$3*'Conformación de Datos'!C17</f>
        <v> $ 3,560,760.00 </v>
      </c>
      <c r="D22" s="393" t="str">
        <f>InfoInicial!$B$3*'Conformación de Datos'!D17</f>
        <v> $ 4,450,950.00 </v>
      </c>
      <c r="E22" s="393" t="str">
        <f>InfoInicial!$B$3*'Conformación de Datos'!E17</f>
        <v> $ 4,450,950.00 </v>
      </c>
      <c r="F22" s="393" t="str">
        <f>InfoInicial!$B$3*'Conformación de Datos'!F17</f>
        <v> $ 4,450,950.00 </v>
      </c>
      <c r="G22" s="444" t="str">
        <f>InfoInicial!$B$3*'Conformación de Datos'!G17</f>
        <v> $ 4,450,950.00 </v>
      </c>
      <c r="H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</row>
    <row r="23" ht="12.75" customHeight="1">
      <c r="A23" s="539" t="s">
        <v>781</v>
      </c>
      <c r="B23" s="538"/>
      <c r="C23" s="393" t="str">
        <f t="shared" ref="C23:G23" si="4">C22-C21</f>
        <v> $ 2,842,959.53 </v>
      </c>
      <c r="D23" s="393" t="str">
        <f t="shared" si="4"/>
        <v> $ 3,561,708.30 </v>
      </c>
      <c r="E23" s="393" t="str">
        <f t="shared" si="4"/>
        <v> $ 3,547,532.38 </v>
      </c>
      <c r="F23" s="393" t="str">
        <f t="shared" si="4"/>
        <v> $ 3,547,163.54 </v>
      </c>
      <c r="G23" s="444" t="str">
        <f t="shared" si="4"/>
        <v> $ 3,547,163.54 </v>
      </c>
      <c r="H23" s="306"/>
      <c r="I23" s="540" t="str">
        <f>C25+C26-C23</f>
        <v> $ 3,391,808.76 </v>
      </c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</row>
    <row r="24" ht="12.75" customHeight="1">
      <c r="A24" s="537"/>
      <c r="B24" s="538"/>
      <c r="C24" s="393"/>
      <c r="D24" s="393"/>
      <c r="E24" s="393"/>
      <c r="F24" s="393"/>
      <c r="G24" s="444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</row>
    <row r="25" ht="12.75" customHeight="1">
      <c r="A25" s="541" t="s">
        <v>782</v>
      </c>
      <c r="B25" s="538"/>
      <c r="C25" s="393" t="str">
        <f>'E-Cal Inv.'!B23+'E-Cal Inv.'!C23</f>
        <v> $ 5,911,696.30 </v>
      </c>
      <c r="D25" s="393" t="str">
        <f t="shared" ref="D25:G25" si="5">IF(C27&lt;0,0,C27)</f>
        <v> $ 3,391,808.76 </v>
      </c>
      <c r="E25" s="393" t="str">
        <f t="shared" si="5"/>
        <v> $ -   </v>
      </c>
      <c r="F25" s="393" t="str">
        <f t="shared" si="5"/>
        <v> $ -   </v>
      </c>
      <c r="G25" s="444" t="str">
        <f t="shared" si="5"/>
        <v> $ -   </v>
      </c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</row>
    <row r="26" ht="12.75" customHeight="1">
      <c r="A26" s="541" t="s">
        <v>783</v>
      </c>
      <c r="B26" s="393" t="str">
        <f>'E-Cal Inv.'!B23+'E-Cal Inv.'!C23</f>
        <v> $ 5,911,696.30 </v>
      </c>
      <c r="C26" s="393" t="str">
        <f>'E-Cal Inv.'!D23</f>
        <v> $ 323,071.99 </v>
      </c>
      <c r="D26" s="393" t="str">
        <f>'E-Cal Inv.'!E23</f>
        <v> $ 1,319.24 </v>
      </c>
      <c r="E26" s="393" t="str">
        <f>'E-Cal Inv.'!F23</f>
        <v> $ -   </v>
      </c>
      <c r="F26" s="393" t="str">
        <f>'E-Cal Inv.'!G23</f>
        <v> $ -   </v>
      </c>
      <c r="G26" s="444" t="str">
        <f>'E-Cal Inv.'!H23</f>
        <v> $ -   </v>
      </c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</row>
    <row r="27" ht="12.75" customHeight="1">
      <c r="A27" s="539" t="s">
        <v>784</v>
      </c>
      <c r="B27" s="393" t="str">
        <f>'E-Cal Inv.'!B23+'E-Cal Inv.'!C23</f>
        <v> $ 5,911,696.30 </v>
      </c>
      <c r="C27" s="393" t="str">
        <f t="shared" ref="C27:G27" si="6">IF(C25+C26-C23&gt;0,C25+C26-C23,0)</f>
        <v> $ 3,391,808.76 </v>
      </c>
      <c r="D27" s="393" t="str">
        <f t="shared" si="6"/>
        <v> $ -   </v>
      </c>
      <c r="E27" s="393" t="str">
        <f t="shared" si="6"/>
        <v> $ -   </v>
      </c>
      <c r="F27" s="393" t="str">
        <f t="shared" si="6"/>
        <v> $ -   </v>
      </c>
      <c r="G27" s="393" t="str">
        <f t="shared" si="6"/>
        <v> $ -   </v>
      </c>
      <c r="H27" s="219" t="s">
        <v>785</v>
      </c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</row>
    <row r="28" ht="12.75" customHeight="1">
      <c r="A28" s="539" t="s">
        <v>786</v>
      </c>
      <c r="B28" s="538"/>
      <c r="C28" s="393" t="str">
        <f t="shared" ref="C28:G28" si="7">IF(C25+C26&gt;C23,C23,IF(C23-C25-C26&gt;0,C25+C26,0))</f>
        <v> $ 2,842,959.53 </v>
      </c>
      <c r="D28" s="393" t="str">
        <f t="shared" si="7"/>
        <v> $ 3,393,128.00 </v>
      </c>
      <c r="E28" s="393" t="str">
        <f t="shared" si="7"/>
        <v> $ -   </v>
      </c>
      <c r="F28" s="393" t="str">
        <f t="shared" si="7"/>
        <v> $ -   </v>
      </c>
      <c r="G28" s="393" t="str">
        <f t="shared" si="7"/>
        <v> $ -   </v>
      </c>
      <c r="H28" s="223" t="s">
        <v>645</v>
      </c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</row>
    <row r="29" ht="12.75" customHeight="1">
      <c r="A29" s="537"/>
      <c r="B29" s="538"/>
      <c r="C29" s="393"/>
      <c r="D29" s="393"/>
      <c r="E29" s="393"/>
      <c r="F29" s="393"/>
      <c r="G29" s="444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</row>
    <row r="30" ht="13.5" customHeight="1">
      <c r="A30" s="542" t="s">
        <v>787</v>
      </c>
      <c r="B30" s="543" t="str">
        <f t="shared" ref="B30:G30" si="8">IF(B23-B27-B28&gt;0,B23-B27-B28,0)</f>
        <v> $ -   </v>
      </c>
      <c r="C30" s="543" t="str">
        <f t="shared" si="8"/>
        <v> $ -   </v>
      </c>
      <c r="D30" s="543" t="str">
        <f t="shared" si="8"/>
        <v> $ 168,580.30 </v>
      </c>
      <c r="E30" s="543" t="str">
        <f t="shared" si="8"/>
        <v> $ 3,547,532.38 </v>
      </c>
      <c r="F30" s="543" t="str">
        <f t="shared" si="8"/>
        <v> $ 3,547,163.54 </v>
      </c>
      <c r="G30" s="543" t="str">
        <f t="shared" si="8"/>
        <v> $ 3,547,163.54 </v>
      </c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</row>
    <row r="31" ht="12.75" customHeight="1">
      <c r="A31" s="306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</row>
    <row r="32" ht="12.75" customHeight="1">
      <c r="A32" s="306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</row>
    <row r="33" ht="12.75" customHeight="1">
      <c r="A33" s="306"/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</row>
    <row r="34" ht="12.75" customHeight="1">
      <c r="A34" s="306"/>
      <c r="B34" s="306"/>
      <c r="C34" s="298" t="str">
        <f>'E-IVA '!B17</f>
        <v/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</row>
    <row r="35" ht="12.75" customHeight="1">
      <c r="A35" s="306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</row>
    <row r="36" ht="12.75" customHeight="1">
      <c r="A36" s="306"/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</row>
    <row r="37" ht="12.75" customHeight="1">
      <c r="A37" s="30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</row>
    <row r="38" ht="12.75" customHeight="1">
      <c r="A38" s="306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</row>
    <row r="39" ht="12.75" customHeight="1">
      <c r="A39" s="306"/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</row>
    <row r="40" ht="12.75" customHeight="1">
      <c r="A40" s="306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</row>
    <row r="41" ht="12.75" customHeight="1">
      <c r="A41" s="306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</row>
    <row r="42" ht="12.75" customHeight="1">
      <c r="A42" s="306"/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</row>
    <row r="43" ht="12.75" customHeight="1">
      <c r="A43" s="306"/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</row>
    <row r="44" ht="12.75" customHeight="1">
      <c r="A44" s="306"/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</row>
    <row r="45" ht="12.75" customHeight="1">
      <c r="A45" s="306"/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</row>
    <row r="46" ht="12.75" customHeight="1">
      <c r="A46" s="306"/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</row>
    <row r="47" ht="12.75" customHeight="1">
      <c r="A47" s="306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</row>
    <row r="48" ht="12.75" customHeight="1">
      <c r="A48" s="306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</row>
    <row r="49" ht="12.75" customHeight="1">
      <c r="A49" s="306"/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</row>
    <row r="50" ht="12.75" customHeight="1">
      <c r="A50" s="306"/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</row>
    <row r="51" ht="12.75" customHeight="1">
      <c r="A51" s="306"/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</row>
    <row r="52" ht="12.75" customHeight="1">
      <c r="A52" s="306"/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</row>
    <row r="53" ht="12.75" customHeight="1">
      <c r="A53" s="306"/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</row>
    <row r="54" ht="12.75" customHeight="1">
      <c r="A54" s="306"/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</row>
    <row r="55" ht="12.75" customHeight="1">
      <c r="A55" s="306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</row>
    <row r="56" ht="12.75" customHeight="1">
      <c r="A56" s="306"/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</row>
    <row r="57" ht="12.75" customHeight="1">
      <c r="A57" s="306"/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</row>
    <row r="58" ht="12.75" customHeight="1">
      <c r="A58" s="306"/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</row>
    <row r="59" ht="12.75" customHeight="1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</row>
    <row r="60" ht="12.75" customHeight="1">
      <c r="A60" s="306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</row>
    <row r="61" ht="12.75" customHeight="1">
      <c r="A61" s="306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</row>
    <row r="62" ht="12.75" customHeigh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</row>
    <row r="63" ht="12.75" customHeight="1">
      <c r="A63" s="306"/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</row>
    <row r="64" ht="12.75" customHeight="1">
      <c r="A64" s="306"/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</row>
    <row r="65" ht="12.75" customHeight="1">
      <c r="A65" s="306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</row>
    <row r="66" ht="12.75" customHeight="1">
      <c r="A66" s="306"/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</row>
    <row r="67" ht="12.75" customHeight="1">
      <c r="A67" s="306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</row>
    <row r="68" ht="12.75" customHeight="1">
      <c r="A68" s="306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</row>
    <row r="69" ht="12.75" customHeight="1">
      <c r="A69" s="306"/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</row>
    <row r="70" ht="12.75" customHeight="1">
      <c r="A70" s="306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</row>
    <row r="71" ht="12.75" customHeight="1">
      <c r="A71" s="306"/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</row>
    <row r="72" ht="12.75" customHeight="1">
      <c r="A72" s="306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</row>
    <row r="73" ht="12.75" customHeight="1">
      <c r="A73" s="306"/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</row>
    <row r="74" ht="12.75" customHeight="1">
      <c r="A74" s="306"/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</row>
    <row r="75" ht="12.75" customHeight="1">
      <c r="A75" s="306"/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</row>
    <row r="76" ht="12.75" customHeight="1">
      <c r="A76" s="306"/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</row>
    <row r="77" ht="12.75" customHeight="1">
      <c r="A77" s="306"/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</row>
    <row r="78" ht="12.75" customHeight="1">
      <c r="A78" s="306"/>
      <c r="B78" s="306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</row>
    <row r="79" ht="12.75" customHeight="1">
      <c r="A79" s="306"/>
      <c r="B79" s="306"/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6"/>
      <c r="Z79" s="306"/>
    </row>
    <row r="80" ht="12.75" customHeight="1">
      <c r="A80" s="306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</row>
    <row r="81" ht="12.75" customHeight="1">
      <c r="A81" s="306"/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</row>
    <row r="82" ht="12.75" customHeight="1">
      <c r="A82" s="306"/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</row>
    <row r="83" ht="12.75" customHeight="1">
      <c r="A83" s="306"/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</row>
    <row r="84" ht="12.75" customHeight="1">
      <c r="A84" s="306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</row>
    <row r="85" ht="12.75" customHeight="1">
      <c r="A85" s="306"/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</row>
    <row r="86" ht="12.75" customHeight="1">
      <c r="A86" s="306"/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</row>
    <row r="87" ht="12.75" customHeight="1">
      <c r="A87" s="306"/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</row>
    <row r="88" ht="12.75" customHeight="1">
      <c r="A88" s="306"/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</row>
    <row r="89" ht="12.75" customHeight="1">
      <c r="A89" s="306"/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</row>
    <row r="90" ht="12.75" customHeight="1">
      <c r="A90" s="306"/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</row>
    <row r="91" ht="12.75" customHeight="1">
      <c r="A91" s="306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</row>
    <row r="92" ht="12.75" customHeigh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</row>
    <row r="93" ht="12.75" customHeight="1">
      <c r="A93" s="306"/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</row>
    <row r="94" ht="12.75" customHeight="1">
      <c r="A94" s="306"/>
      <c r="B94" s="306"/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</row>
    <row r="95" ht="12.75" customHeight="1">
      <c r="A95" s="306"/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</row>
    <row r="96" ht="12.75" customHeight="1">
      <c r="A96" s="306"/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</row>
    <row r="97" ht="12.75" customHeight="1">
      <c r="A97" s="306"/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</row>
    <row r="98" ht="12.75" customHeight="1">
      <c r="A98" s="306"/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</row>
    <row r="99" ht="12.75" customHeight="1">
      <c r="A99" s="306"/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</row>
    <row r="100" ht="12.75" customHeight="1">
      <c r="A100" s="306"/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</row>
    <row r="101" ht="12.75" customHeight="1">
      <c r="A101" s="306"/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</row>
    <row r="102" ht="12.75" customHeight="1">
      <c r="A102" s="306"/>
      <c r="B102" s="306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</row>
    <row r="103" ht="12.75" customHeight="1">
      <c r="A103" s="306"/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</row>
    <row r="104" ht="12.75" customHeight="1">
      <c r="A104" s="306"/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</row>
    <row r="105" ht="12.75" customHeight="1">
      <c r="A105" s="306"/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</row>
    <row r="106" ht="12.75" customHeight="1">
      <c r="A106" s="306"/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</row>
    <row r="107" ht="12.75" customHeight="1">
      <c r="A107" s="306"/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</row>
    <row r="108" ht="12.75" customHeight="1">
      <c r="A108" s="306"/>
      <c r="B108" s="306"/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306"/>
    </row>
    <row r="109" ht="12.75" customHeight="1">
      <c r="A109" s="306"/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6"/>
    </row>
    <row r="110" ht="12.75" customHeight="1">
      <c r="A110" s="306"/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</row>
    <row r="111" ht="12.75" customHeight="1">
      <c r="A111" s="306"/>
      <c r="B111" s="306"/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6"/>
      <c r="X111" s="306"/>
      <c r="Y111" s="306"/>
      <c r="Z111" s="306"/>
    </row>
    <row r="112" ht="12.75" customHeight="1">
      <c r="A112" s="306"/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</row>
    <row r="113" ht="12.75" customHeight="1">
      <c r="A113" s="306"/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</row>
    <row r="114" ht="12.75" customHeight="1">
      <c r="A114" s="306"/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</row>
    <row r="115" ht="12.75" customHeight="1">
      <c r="A115" s="306"/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  <c r="Z115" s="306"/>
    </row>
    <row r="116" ht="12.75" customHeight="1">
      <c r="A116" s="306"/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</row>
    <row r="117" ht="12.75" customHeight="1">
      <c r="A117" s="306"/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  <c r="S117" s="306"/>
      <c r="T117" s="306"/>
      <c r="U117" s="306"/>
      <c r="V117" s="306"/>
      <c r="W117" s="306"/>
      <c r="X117" s="306"/>
      <c r="Y117" s="306"/>
      <c r="Z117" s="306"/>
    </row>
    <row r="118" ht="12.75" customHeight="1">
      <c r="A118" s="306"/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R118" s="306"/>
      <c r="S118" s="306"/>
      <c r="T118" s="306"/>
      <c r="U118" s="306"/>
      <c r="V118" s="306"/>
      <c r="W118" s="306"/>
      <c r="X118" s="306"/>
      <c r="Y118" s="306"/>
      <c r="Z118" s="306"/>
    </row>
    <row r="119" ht="12.75" customHeight="1">
      <c r="A119" s="306"/>
      <c r="B119" s="306"/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</row>
    <row r="120" ht="12.75" customHeight="1">
      <c r="A120" s="306"/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</row>
    <row r="121" ht="12.75" customHeight="1">
      <c r="A121" s="306"/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</row>
    <row r="122" ht="12.75" customHeigh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  <c r="X122" s="306"/>
      <c r="Y122" s="306"/>
      <c r="Z122" s="306"/>
    </row>
    <row r="123" ht="12.75" customHeight="1">
      <c r="A123" s="306"/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</row>
    <row r="124" ht="12.75" customHeight="1">
      <c r="A124" s="306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</row>
    <row r="125" ht="12.75" customHeight="1">
      <c r="A125" s="306"/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</row>
    <row r="126" ht="12.75" customHeight="1">
      <c r="A126" s="306"/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</row>
    <row r="127" ht="12.75" customHeight="1">
      <c r="A127" s="306"/>
      <c r="B127" s="306"/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</row>
    <row r="128" ht="12.75" customHeight="1">
      <c r="A128" s="306"/>
      <c r="B128" s="306"/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</row>
    <row r="129" ht="12.75" customHeight="1">
      <c r="A129" s="306"/>
      <c r="B129" s="306"/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</row>
    <row r="130" ht="12.75" customHeight="1">
      <c r="A130" s="306"/>
      <c r="B130" s="306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</row>
    <row r="131" ht="12.75" customHeight="1">
      <c r="A131" s="306"/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</row>
    <row r="132" ht="12.75" customHeight="1">
      <c r="A132" s="306"/>
      <c r="B132" s="306"/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306"/>
    </row>
    <row r="133" ht="12.75" customHeight="1">
      <c r="A133" s="306"/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  <c r="Z133" s="306"/>
    </row>
    <row r="134" ht="12.75" customHeight="1">
      <c r="A134" s="306"/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</row>
    <row r="135" ht="12.75" customHeight="1">
      <c r="A135" s="306"/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</row>
    <row r="136" ht="12.75" customHeight="1">
      <c r="A136" s="306"/>
      <c r="B136" s="306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</row>
    <row r="137" ht="12.75" customHeight="1">
      <c r="A137" s="306"/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  <c r="Y137" s="306"/>
      <c r="Z137" s="306"/>
    </row>
    <row r="138" ht="12.75" customHeight="1">
      <c r="A138" s="306"/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</row>
    <row r="139" ht="12.75" customHeight="1">
      <c r="A139" s="306"/>
      <c r="B139" s="306"/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</row>
    <row r="140" ht="12.75" customHeight="1">
      <c r="A140" s="306"/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</row>
    <row r="141" ht="12.75" customHeight="1">
      <c r="A141" s="306"/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</row>
    <row r="142" ht="12.75" customHeight="1">
      <c r="A142" s="306"/>
      <c r="B142" s="306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</row>
    <row r="143" ht="12.75" customHeight="1">
      <c r="A143" s="306"/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6"/>
      <c r="U143" s="306"/>
      <c r="V143" s="306"/>
      <c r="W143" s="306"/>
      <c r="X143" s="306"/>
      <c r="Y143" s="306"/>
      <c r="Z143" s="306"/>
    </row>
    <row r="144" ht="12.75" customHeight="1">
      <c r="A144" s="306"/>
      <c r="B144" s="306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306"/>
    </row>
    <row r="145" ht="12.75" customHeight="1">
      <c r="A145" s="306"/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</row>
    <row r="146" ht="12.75" customHeight="1">
      <c r="A146" s="306"/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</row>
    <row r="147" ht="12.75" customHeight="1">
      <c r="A147" s="306"/>
      <c r="B147" s="306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  <c r="Z147" s="306"/>
    </row>
    <row r="148" ht="12.75" customHeight="1">
      <c r="A148" s="306"/>
      <c r="B148" s="306"/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  <c r="Z148" s="306"/>
    </row>
    <row r="149" ht="12.75" customHeight="1">
      <c r="A149" s="306"/>
      <c r="B149" s="306"/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</row>
    <row r="150" ht="12.75" customHeight="1">
      <c r="A150" s="306"/>
      <c r="B150" s="306"/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</row>
    <row r="151" ht="12.75" customHeight="1">
      <c r="A151" s="306"/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306"/>
      <c r="Y151" s="306"/>
      <c r="Z151" s="306"/>
    </row>
    <row r="152" ht="12.75" customHeight="1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</row>
    <row r="153" ht="12.75" customHeight="1">
      <c r="A153" s="306"/>
      <c r="B153" s="306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  <c r="Z153" s="306"/>
    </row>
    <row r="154" ht="12.75" customHeight="1">
      <c r="A154" s="306"/>
      <c r="B154" s="306"/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306"/>
      <c r="X154" s="306"/>
      <c r="Y154" s="306"/>
      <c r="Z154" s="306"/>
    </row>
    <row r="155" ht="12.75" customHeight="1">
      <c r="A155" s="306"/>
      <c r="B155" s="306"/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306"/>
      <c r="X155" s="306"/>
      <c r="Y155" s="306"/>
      <c r="Z155" s="306"/>
    </row>
    <row r="156" ht="12.75" customHeight="1">
      <c r="A156" s="306"/>
      <c r="B156" s="306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306"/>
      <c r="X156" s="306"/>
      <c r="Y156" s="306"/>
      <c r="Z156" s="306"/>
    </row>
    <row r="157" ht="12.75" customHeight="1">
      <c r="A157" s="306"/>
      <c r="B157" s="306"/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306"/>
    </row>
    <row r="158" ht="12.75" customHeight="1">
      <c r="A158" s="306"/>
      <c r="B158" s="306"/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</row>
    <row r="159" ht="12.75" customHeight="1">
      <c r="A159" s="306"/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</row>
    <row r="160" ht="12.75" customHeight="1">
      <c r="A160" s="306"/>
      <c r="B160" s="306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  <c r="Z160" s="306"/>
    </row>
    <row r="161" ht="12.75" customHeight="1">
      <c r="A161" s="306"/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</row>
    <row r="162" ht="12.75" customHeight="1">
      <c r="A162" s="306"/>
      <c r="B162" s="306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</row>
    <row r="163" ht="12.75" customHeight="1">
      <c r="A163" s="306"/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</row>
    <row r="164" ht="12.75" customHeight="1">
      <c r="A164" s="306"/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</row>
    <row r="165" ht="12.75" customHeight="1">
      <c r="A165" s="306"/>
      <c r="B165" s="306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</row>
    <row r="166" ht="12.75" customHeight="1">
      <c r="A166" s="306"/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</row>
    <row r="167" ht="12.75" customHeight="1">
      <c r="A167" s="306"/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</row>
    <row r="168" ht="12.75" customHeight="1">
      <c r="A168" s="306"/>
      <c r="B168" s="306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  <c r="Z168" s="306"/>
    </row>
    <row r="169" ht="12.75" customHeight="1">
      <c r="A169" s="306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6"/>
      <c r="T169" s="306"/>
      <c r="U169" s="306"/>
      <c r="V169" s="306"/>
      <c r="W169" s="306"/>
      <c r="X169" s="306"/>
      <c r="Y169" s="306"/>
      <c r="Z169" s="306"/>
    </row>
    <row r="170" ht="12.75" customHeight="1">
      <c r="A170" s="306"/>
      <c r="B170" s="306"/>
      <c r="C170" s="306"/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</row>
    <row r="171" ht="12.75" customHeight="1">
      <c r="A171" s="306"/>
      <c r="B171" s="306"/>
      <c r="C171" s="306"/>
      <c r="D171" s="306"/>
      <c r="E171" s="306"/>
      <c r="F171" s="306"/>
      <c r="G171" s="306"/>
      <c r="H171" s="306"/>
      <c r="I171" s="306"/>
      <c r="J171" s="306"/>
      <c r="K171" s="306"/>
      <c r="L171" s="306"/>
      <c r="M171" s="306"/>
      <c r="N171" s="306"/>
      <c r="O171" s="306"/>
      <c r="P171" s="306"/>
      <c r="Q171" s="306"/>
      <c r="R171" s="306"/>
      <c r="S171" s="306"/>
      <c r="T171" s="306"/>
      <c r="U171" s="306"/>
      <c r="V171" s="306"/>
      <c r="W171" s="306"/>
      <c r="X171" s="306"/>
      <c r="Y171" s="306"/>
      <c r="Z171" s="306"/>
    </row>
    <row r="172" ht="12.75" customHeight="1">
      <c r="A172" s="306"/>
      <c r="B172" s="306"/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</row>
    <row r="173" ht="12.75" customHeight="1">
      <c r="A173" s="306"/>
      <c r="B173" s="306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306"/>
      <c r="X173" s="306"/>
      <c r="Y173" s="306"/>
      <c r="Z173" s="306"/>
    </row>
    <row r="174" ht="12.75" customHeight="1">
      <c r="A174" s="306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  <c r="Z174" s="306"/>
    </row>
    <row r="175" ht="12.75" customHeight="1">
      <c r="A175" s="306"/>
      <c r="B175" s="306"/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</row>
    <row r="176" ht="12.75" customHeight="1">
      <c r="A176" s="306"/>
      <c r="B176" s="306"/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/>
      <c r="Z176" s="306"/>
    </row>
    <row r="177" ht="12.75" customHeight="1">
      <c r="A177" s="306"/>
      <c r="B177" s="306"/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306"/>
      <c r="X177" s="306"/>
      <c r="Y177" s="306"/>
      <c r="Z177" s="306"/>
    </row>
    <row r="178" ht="12.75" customHeight="1">
      <c r="A178" s="306"/>
      <c r="B178" s="306"/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306"/>
    </row>
    <row r="179" ht="12.75" customHeight="1">
      <c r="A179" s="306"/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/>
      <c r="V179" s="306"/>
      <c r="W179" s="306"/>
      <c r="X179" s="306"/>
      <c r="Y179" s="306"/>
      <c r="Z179" s="306"/>
    </row>
    <row r="180" ht="12.75" customHeight="1">
      <c r="A180" s="306"/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</row>
    <row r="181" ht="12.75" customHeight="1">
      <c r="A181" s="306"/>
      <c r="B181" s="306"/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  <c r="Y181" s="306"/>
      <c r="Z181" s="306"/>
    </row>
    <row r="182" ht="12.75" customHeigh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  <c r="Z182" s="306"/>
    </row>
    <row r="183" ht="12.75" customHeight="1">
      <c r="A183" s="306"/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</row>
    <row r="184" ht="12.75" customHeight="1">
      <c r="A184" s="306"/>
      <c r="B184" s="306"/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</row>
    <row r="185" ht="12.75" customHeight="1">
      <c r="A185" s="306"/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</row>
    <row r="186" ht="12.75" customHeight="1">
      <c r="A186" s="306"/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</row>
    <row r="187" ht="12.75" customHeight="1">
      <c r="A187" s="306"/>
      <c r="B187" s="306"/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</row>
    <row r="188" ht="12.75" customHeight="1">
      <c r="A188" s="306"/>
      <c r="B188" s="306"/>
      <c r="C188" s="306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  <c r="Z188" s="306"/>
    </row>
    <row r="189" ht="12.75" customHeight="1">
      <c r="A189" s="306"/>
      <c r="B189" s="306"/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</row>
    <row r="190" ht="12.75" customHeight="1">
      <c r="A190" s="306"/>
      <c r="B190" s="306"/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306"/>
    </row>
    <row r="191" ht="12.75" customHeight="1">
      <c r="A191" s="306"/>
      <c r="B191" s="306"/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</row>
    <row r="192" ht="12.75" customHeight="1">
      <c r="A192" s="306"/>
      <c r="B192" s="306"/>
      <c r="C192" s="306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</row>
    <row r="193" ht="12.75" customHeight="1">
      <c r="A193" s="306"/>
      <c r="B193" s="306"/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6"/>
      <c r="V193" s="306"/>
      <c r="W193" s="306"/>
      <c r="X193" s="306"/>
      <c r="Y193" s="306"/>
      <c r="Z193" s="306"/>
    </row>
    <row r="194" ht="12.75" customHeight="1">
      <c r="A194" s="306"/>
      <c r="B194" s="306"/>
      <c r="C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</row>
    <row r="195" ht="12.75" customHeight="1">
      <c r="A195" s="306"/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  <c r="Z195" s="306"/>
    </row>
    <row r="196" ht="12.75" customHeight="1">
      <c r="A196" s="306"/>
      <c r="B196" s="306"/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  <c r="Z196" s="306"/>
    </row>
    <row r="197" ht="12.75" customHeight="1">
      <c r="A197" s="306"/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  <c r="S197" s="306"/>
      <c r="T197" s="306"/>
      <c r="U197" s="306"/>
      <c r="V197" s="306"/>
      <c r="W197" s="306"/>
      <c r="X197" s="306"/>
      <c r="Y197" s="306"/>
      <c r="Z197" s="306"/>
    </row>
    <row r="198" ht="12.75" customHeight="1">
      <c r="A198" s="306"/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306"/>
    </row>
    <row r="199" ht="12.75" customHeight="1">
      <c r="A199" s="306"/>
      <c r="B199" s="306"/>
      <c r="C199" s="306"/>
      <c r="D199" s="306"/>
      <c r="E199" s="306"/>
      <c r="F199" s="306"/>
      <c r="G199" s="306"/>
      <c r="H199" s="306"/>
      <c r="I199" s="306"/>
      <c r="J199" s="306"/>
      <c r="K199" s="306"/>
      <c r="L199" s="306"/>
      <c r="M199" s="306"/>
      <c r="N199" s="306"/>
      <c r="O199" s="306"/>
      <c r="P199" s="306"/>
      <c r="Q199" s="306"/>
      <c r="R199" s="306"/>
      <c r="S199" s="306"/>
      <c r="T199" s="306"/>
      <c r="U199" s="306"/>
      <c r="V199" s="306"/>
      <c r="W199" s="306"/>
      <c r="X199" s="306"/>
      <c r="Y199" s="306"/>
      <c r="Z199" s="306"/>
    </row>
    <row r="200" ht="12.75" customHeight="1">
      <c r="A200" s="306"/>
      <c r="B200" s="306"/>
      <c r="C200" s="306"/>
      <c r="D200" s="306"/>
      <c r="E200" s="306"/>
      <c r="F200" s="306"/>
      <c r="G200" s="306"/>
      <c r="H200" s="306"/>
      <c r="I200" s="306"/>
      <c r="J200" s="306"/>
      <c r="K200" s="306"/>
      <c r="L200" s="306"/>
      <c r="M200" s="306"/>
      <c r="N200" s="306"/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  <c r="Z200" s="306"/>
    </row>
    <row r="201" ht="12.75" customHeight="1">
      <c r="A201" s="306"/>
      <c r="B201" s="306"/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  <c r="Z201" s="306"/>
    </row>
    <row r="202" ht="12.75" customHeight="1">
      <c r="A202" s="306"/>
      <c r="B202" s="306"/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  <c r="T202" s="306"/>
      <c r="U202" s="306"/>
      <c r="V202" s="306"/>
      <c r="W202" s="306"/>
      <c r="X202" s="306"/>
      <c r="Y202" s="306"/>
      <c r="Z202" s="306"/>
    </row>
    <row r="203" ht="12.75" customHeight="1">
      <c r="A203" s="306"/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306"/>
    </row>
    <row r="204" ht="12.75" customHeight="1">
      <c r="A204" s="306"/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</row>
    <row r="205" ht="12.75" customHeight="1">
      <c r="A205" s="306"/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</row>
    <row r="206" ht="12.75" customHeight="1">
      <c r="A206" s="306"/>
      <c r="B206" s="306"/>
      <c r="C206" s="306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  <c r="T206" s="306"/>
      <c r="U206" s="306"/>
      <c r="V206" s="306"/>
      <c r="W206" s="306"/>
      <c r="X206" s="306"/>
      <c r="Y206" s="306"/>
      <c r="Z206" s="306"/>
    </row>
    <row r="207" ht="12.75" customHeight="1">
      <c r="A207" s="306"/>
      <c r="B207" s="306"/>
      <c r="C207" s="306"/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  <c r="S207" s="306"/>
      <c r="T207" s="306"/>
      <c r="U207" s="306"/>
      <c r="V207" s="306"/>
      <c r="W207" s="306"/>
      <c r="X207" s="306"/>
      <c r="Y207" s="306"/>
      <c r="Z207" s="306"/>
    </row>
    <row r="208" ht="12.75" customHeight="1">
      <c r="A208" s="306"/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  <c r="T208" s="306"/>
      <c r="U208" s="306"/>
      <c r="V208" s="306"/>
      <c r="W208" s="306"/>
      <c r="X208" s="306"/>
      <c r="Y208" s="306"/>
      <c r="Z208" s="306"/>
    </row>
    <row r="209" ht="12.75" customHeight="1">
      <c r="A209" s="306"/>
      <c r="B209" s="306"/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  <c r="T209" s="306"/>
      <c r="U209" s="306"/>
      <c r="V209" s="306"/>
      <c r="W209" s="306"/>
      <c r="X209" s="306"/>
      <c r="Y209" s="306"/>
      <c r="Z209" s="306"/>
    </row>
    <row r="210" ht="12.75" customHeight="1">
      <c r="A210" s="306"/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/>
      <c r="Y210" s="306"/>
      <c r="Z210" s="306"/>
    </row>
    <row r="211" ht="12.75" customHeight="1">
      <c r="A211" s="306"/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  <c r="X211" s="306"/>
      <c r="Y211" s="306"/>
      <c r="Z211" s="306"/>
    </row>
    <row r="212" ht="12.75" customHeight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  <c r="X212" s="306"/>
      <c r="Y212" s="306"/>
      <c r="Z212" s="306"/>
    </row>
    <row r="213" ht="12.75" customHeight="1">
      <c r="A213" s="306"/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  <c r="T213" s="306"/>
      <c r="U213" s="306"/>
      <c r="V213" s="306"/>
      <c r="W213" s="306"/>
      <c r="X213" s="306"/>
      <c r="Y213" s="306"/>
      <c r="Z213" s="306"/>
    </row>
    <row r="214" ht="12.75" customHeight="1">
      <c r="A214" s="306"/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  <c r="S214" s="306"/>
      <c r="T214" s="306"/>
      <c r="U214" s="306"/>
      <c r="V214" s="306"/>
      <c r="W214" s="306"/>
      <c r="X214" s="306"/>
      <c r="Y214" s="306"/>
      <c r="Z214" s="306"/>
    </row>
    <row r="215" ht="12.75" customHeight="1">
      <c r="A215" s="306"/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  <c r="T215" s="306"/>
      <c r="U215" s="306"/>
      <c r="V215" s="306"/>
      <c r="W215" s="306"/>
      <c r="X215" s="306"/>
      <c r="Y215" s="306"/>
      <c r="Z215" s="306"/>
    </row>
    <row r="216" ht="12.75" customHeight="1">
      <c r="A216" s="306"/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  <c r="T216" s="306"/>
      <c r="U216" s="306"/>
      <c r="V216" s="306"/>
      <c r="W216" s="306"/>
      <c r="X216" s="306"/>
      <c r="Y216" s="306"/>
      <c r="Z216" s="306"/>
    </row>
    <row r="217" ht="12.75" customHeight="1">
      <c r="A217" s="306"/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  <c r="T217" s="306"/>
      <c r="U217" s="306"/>
      <c r="V217" s="306"/>
      <c r="W217" s="306"/>
      <c r="X217" s="306"/>
      <c r="Y217" s="306"/>
      <c r="Z217" s="306"/>
    </row>
    <row r="218" ht="12.75" customHeight="1">
      <c r="A218" s="306"/>
      <c r="B218" s="306"/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  <c r="T218" s="306"/>
      <c r="U218" s="306"/>
      <c r="V218" s="306"/>
      <c r="W218" s="306"/>
      <c r="X218" s="306"/>
      <c r="Y218" s="306"/>
      <c r="Z218" s="306"/>
    </row>
    <row r="219" ht="12.75" customHeight="1">
      <c r="A219" s="306"/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</row>
    <row r="220" ht="12.75" customHeight="1">
      <c r="A220" s="306"/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</row>
    <row r="221" ht="12.75" customHeight="1">
      <c r="A221" s="306"/>
      <c r="B221" s="306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  <c r="Z221" s="306"/>
    </row>
    <row r="222" ht="12.75" customHeight="1">
      <c r="A222" s="306"/>
      <c r="B222" s="306"/>
      <c r="C222" s="306"/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  <c r="S222" s="306"/>
      <c r="T222" s="306"/>
      <c r="U222" s="306"/>
      <c r="V222" s="306"/>
      <c r="W222" s="306"/>
      <c r="X222" s="306"/>
      <c r="Y222" s="306"/>
      <c r="Z222" s="306"/>
    </row>
    <row r="223" ht="12.75" customHeight="1">
      <c r="A223" s="306"/>
      <c r="B223" s="306"/>
      <c r="C223" s="306"/>
      <c r="D223" s="306"/>
      <c r="E223" s="306"/>
      <c r="F223" s="306"/>
      <c r="G223" s="306"/>
      <c r="H223" s="306"/>
      <c r="I223" s="306"/>
      <c r="J223" s="306"/>
      <c r="K223" s="306"/>
      <c r="L223" s="306"/>
      <c r="M223" s="306"/>
      <c r="N223" s="306"/>
      <c r="O223" s="306"/>
      <c r="P223" s="306"/>
      <c r="Q223" s="306"/>
      <c r="R223" s="306"/>
      <c r="S223" s="306"/>
      <c r="T223" s="306"/>
      <c r="U223" s="306"/>
      <c r="V223" s="306"/>
      <c r="W223" s="306"/>
      <c r="X223" s="306"/>
      <c r="Y223" s="306"/>
      <c r="Z223" s="306"/>
    </row>
    <row r="224" ht="12.75" customHeight="1">
      <c r="A224" s="306"/>
      <c r="B224" s="306"/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  <c r="T224" s="306"/>
      <c r="U224" s="306"/>
      <c r="V224" s="306"/>
      <c r="W224" s="306"/>
      <c r="X224" s="306"/>
      <c r="Y224" s="306"/>
      <c r="Z224" s="306"/>
    </row>
    <row r="225" ht="12.75" customHeight="1">
      <c r="A225" s="306"/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306"/>
      <c r="O225" s="306"/>
      <c r="P225" s="306"/>
      <c r="Q225" s="306"/>
      <c r="R225" s="306"/>
      <c r="S225" s="306"/>
      <c r="T225" s="306"/>
      <c r="U225" s="306"/>
      <c r="V225" s="306"/>
      <c r="W225" s="306"/>
      <c r="X225" s="306"/>
      <c r="Y225" s="306"/>
      <c r="Z225" s="306"/>
    </row>
    <row r="226" ht="12.75" customHeight="1">
      <c r="A226" s="306"/>
      <c r="B226" s="306"/>
      <c r="C226" s="306"/>
      <c r="D226" s="306"/>
      <c r="E226" s="306"/>
      <c r="F226" s="306"/>
      <c r="G226" s="306"/>
      <c r="H226" s="306"/>
      <c r="I226" s="306"/>
      <c r="J226" s="306"/>
      <c r="K226" s="306"/>
      <c r="L226" s="306"/>
      <c r="M226" s="306"/>
      <c r="N226" s="306"/>
      <c r="O226" s="306"/>
      <c r="P226" s="306"/>
      <c r="Q226" s="306"/>
      <c r="R226" s="306"/>
      <c r="S226" s="306"/>
      <c r="T226" s="306"/>
      <c r="U226" s="306"/>
      <c r="V226" s="306"/>
      <c r="W226" s="306"/>
      <c r="X226" s="306"/>
      <c r="Y226" s="306"/>
      <c r="Z226" s="306"/>
    </row>
    <row r="227" ht="12.75" customHeight="1">
      <c r="A227" s="306"/>
      <c r="B227" s="306"/>
      <c r="C227" s="306"/>
      <c r="D227" s="306"/>
      <c r="E227" s="306"/>
      <c r="F227" s="306"/>
      <c r="G227" s="306"/>
      <c r="H227" s="306"/>
      <c r="I227" s="306"/>
      <c r="J227" s="306"/>
      <c r="K227" s="306"/>
      <c r="L227" s="306"/>
      <c r="M227" s="306"/>
      <c r="N227" s="306"/>
      <c r="O227" s="306"/>
      <c r="P227" s="306"/>
      <c r="Q227" s="306"/>
      <c r="R227" s="306"/>
      <c r="S227" s="306"/>
      <c r="T227" s="306"/>
      <c r="U227" s="306"/>
      <c r="V227" s="306"/>
      <c r="W227" s="306"/>
      <c r="X227" s="306"/>
      <c r="Y227" s="306"/>
      <c r="Z227" s="306"/>
    </row>
    <row r="228" ht="12.75" customHeight="1">
      <c r="A228" s="306"/>
      <c r="B228" s="306"/>
      <c r="C228" s="306"/>
      <c r="D228" s="306"/>
      <c r="E228" s="306"/>
      <c r="F228" s="306"/>
      <c r="G228" s="306"/>
      <c r="H228" s="306"/>
      <c r="I228" s="306"/>
      <c r="J228" s="306"/>
      <c r="K228" s="306"/>
      <c r="L228" s="306"/>
      <c r="M228" s="306"/>
      <c r="N228" s="306"/>
      <c r="O228" s="306"/>
      <c r="P228" s="306"/>
      <c r="Q228" s="306"/>
      <c r="R228" s="306"/>
      <c r="S228" s="306"/>
      <c r="T228" s="306"/>
      <c r="U228" s="306"/>
      <c r="V228" s="306"/>
      <c r="W228" s="306"/>
      <c r="X228" s="306"/>
      <c r="Y228" s="306"/>
      <c r="Z228" s="306"/>
    </row>
    <row r="229" ht="12.75" customHeight="1">
      <c r="A229" s="306"/>
      <c r="B229" s="306"/>
      <c r="C229" s="306"/>
      <c r="D229" s="306"/>
      <c r="E229" s="306"/>
      <c r="F229" s="306"/>
      <c r="G229" s="306"/>
      <c r="H229" s="306"/>
      <c r="I229" s="306"/>
      <c r="J229" s="306"/>
      <c r="K229" s="306"/>
      <c r="L229" s="306"/>
      <c r="M229" s="306"/>
      <c r="N229" s="306"/>
      <c r="O229" s="306"/>
      <c r="P229" s="306"/>
      <c r="Q229" s="306"/>
      <c r="R229" s="306"/>
      <c r="S229" s="306"/>
      <c r="T229" s="306"/>
      <c r="U229" s="306"/>
      <c r="V229" s="306"/>
      <c r="W229" s="306"/>
      <c r="X229" s="306"/>
      <c r="Y229" s="306"/>
      <c r="Z229" s="306"/>
    </row>
    <row r="230" ht="12.75" customHeight="1">
      <c r="A230" s="306"/>
      <c r="B230" s="306"/>
      <c r="C230" s="306"/>
      <c r="D230" s="306"/>
      <c r="E230" s="306"/>
      <c r="F230" s="306"/>
      <c r="G230" s="306"/>
      <c r="H230" s="306"/>
      <c r="I230" s="306"/>
      <c r="J230" s="306"/>
      <c r="K230" s="306"/>
      <c r="L230" s="306"/>
      <c r="M230" s="306"/>
      <c r="N230" s="306"/>
      <c r="O230" s="306"/>
      <c r="P230" s="306"/>
      <c r="Q230" s="306"/>
      <c r="R230" s="306"/>
      <c r="S230" s="306"/>
      <c r="T230" s="306"/>
      <c r="U230" s="306"/>
      <c r="V230" s="306"/>
      <c r="W230" s="306"/>
      <c r="X230" s="306"/>
      <c r="Y230" s="306"/>
      <c r="Z230" s="306"/>
    </row>
    <row r="231" ht="15.75" customHeight="1"/>
    <row r="232" ht="15.75" customHeight="1"/>
    <row r="233" ht="15.75" customHeight="1"/>
    <row r="234" ht="15.75" customHeight="1"/>
  </sheetData>
  <printOptions/>
  <pageMargins bottom="0.75" footer="0.0" header="0.0" left="0.7" right="0.7" top="0.75"/>
  <pageSetup paperSize="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7.86"/>
    <col customWidth="1" min="2" max="12" width="14.71"/>
    <col customWidth="1" min="13" max="13" width="16.86"/>
    <col customWidth="1" min="14" max="26" width="9.0"/>
  </cols>
  <sheetData>
    <row r="1" ht="14.25" customHeight="1">
      <c r="A1" s="320" t="s">
        <v>488</v>
      </c>
      <c r="E1" s="306"/>
      <c r="F1" s="306"/>
      <c r="G1" s="306" t="str">
        <f>InfoInicial!E1</f>
        <v>10</v>
      </c>
      <c r="H1" s="321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ht="16.5" customHeight="1">
      <c r="A2" s="544" t="s">
        <v>788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4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</row>
    <row r="3" ht="39.0" customHeight="1">
      <c r="A3" s="545" t="s">
        <v>606</v>
      </c>
      <c r="B3" s="515" t="s">
        <v>789</v>
      </c>
      <c r="C3" s="515" t="s">
        <v>790</v>
      </c>
      <c r="D3" s="515" t="s">
        <v>791</v>
      </c>
      <c r="E3" s="515" t="s">
        <v>493</v>
      </c>
      <c r="F3" s="515" t="s">
        <v>792</v>
      </c>
      <c r="G3" s="515" t="s">
        <v>793</v>
      </c>
      <c r="H3" s="515" t="s">
        <v>794</v>
      </c>
      <c r="I3" s="515" t="s">
        <v>623</v>
      </c>
      <c r="J3" s="515" t="s">
        <v>795</v>
      </c>
      <c r="K3" s="515" t="s">
        <v>796</v>
      </c>
      <c r="L3" s="546" t="s">
        <v>797</v>
      </c>
      <c r="M3" s="547" t="s">
        <v>798</v>
      </c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</row>
    <row r="4" ht="14.25" customHeight="1">
      <c r="A4" s="548">
        <v>0.0</v>
      </c>
      <c r="B4" s="536" t="str">
        <f>'E-Cal Inv.'!B8+'E-Cal Inv.'!C8</f>
        <v> $ 27,809,947.52 </v>
      </c>
      <c r="C4" s="425" t="str">
        <f>'E-InvAT'!B25</f>
        <v> $ 680,107.26 </v>
      </c>
      <c r="D4" s="425" t="str">
        <f>'E-Cal Inv.'!B23+'E-Cal Inv.'!C23</f>
        <v> $ 5,911,696.30 </v>
      </c>
      <c r="E4" s="425" t="s">
        <v>240</v>
      </c>
      <c r="F4" s="425" t="s">
        <v>240</v>
      </c>
      <c r="G4" s="425" t="str">
        <f t="shared" ref="G4:G9" si="1">SUM(B4:F4)</f>
        <v> $ 34,401,751.09 </v>
      </c>
      <c r="H4" s="425" t="s">
        <v>240</v>
      </c>
      <c r="I4" s="425" t="s">
        <v>240</v>
      </c>
      <c r="J4" s="425" t="s">
        <v>240</v>
      </c>
      <c r="K4" s="425" t="str">
        <f t="shared" ref="K4:K9" si="2">SUM(H4:J4)</f>
        <v> $ -   </v>
      </c>
      <c r="L4" s="518" t="str">
        <f t="shared" ref="L4:L9" si="3">K4-G4</f>
        <v> $ (34,401,751.09)</v>
      </c>
      <c r="M4" s="519" t="str">
        <f>L4</f>
        <v> $ (34,401,751.09)</v>
      </c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</row>
    <row r="5" ht="14.25" customHeight="1">
      <c r="A5" s="549">
        <v>1.0</v>
      </c>
      <c r="B5" s="538" t="str">
        <f>'E-Cal Inv.'!D8</f>
        <v> $ 278,655.36 </v>
      </c>
      <c r="C5" s="393" t="str">
        <f>'E-InvAT'!C25</f>
        <v> $ 2,380,003.97 </v>
      </c>
      <c r="D5" s="393" t="str">
        <f>'E-Cal Inv.'!D23</f>
        <v> $ 323,071.99 </v>
      </c>
      <c r="E5" s="393" t="str">
        <f>'E-Costos'!B117</f>
        <v> $ 421,870.49 </v>
      </c>
      <c r="F5" s="393" t="str">
        <f>'E-Costos'!B118</f>
        <v> $ 1,698,028.71 </v>
      </c>
      <c r="G5" s="425" t="str">
        <f t="shared" si="1"/>
        <v> $ 5,101,630.51 </v>
      </c>
      <c r="H5" s="393" t="str">
        <f>'E-Costos'!B116</f>
        <v> $ 5,273,381.09 </v>
      </c>
      <c r="I5" s="393" t="str">
        <f>'E-Costos'!B125</f>
        <v> $ 2,006,039.48 </v>
      </c>
      <c r="J5" s="427" t="str">
        <f>'E-IVA '!C28</f>
        <v> $ 2,842,959.53 </v>
      </c>
      <c r="K5" s="425" t="str">
        <f t="shared" si="2"/>
        <v> $ 10,122,380.11 </v>
      </c>
      <c r="L5" s="518" t="str">
        <f t="shared" si="3"/>
        <v> $ 5,020,749.59 </v>
      </c>
      <c r="M5" s="426" t="str">
        <f t="shared" ref="M5:M9" si="4">M4+L5</f>
        <v> $ (29,381,001.49)</v>
      </c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</row>
    <row r="6" ht="14.25" customHeight="1">
      <c r="A6" s="549">
        <v>2.0</v>
      </c>
      <c r="B6" s="538" t="str">
        <f>'E-Cal Inv.'!E8</f>
        <v> $ -   </v>
      </c>
      <c r="C6" s="393" t="str">
        <f>'E-InvAT'!D25</f>
        <v> $ 235,099.81 </v>
      </c>
      <c r="D6" s="393" t="str">
        <f>'E-Cal Inv.'!E23</f>
        <v> $ 1,319.24 </v>
      </c>
      <c r="E6" s="393" t="str">
        <f>'E-Costos'!C117</f>
        <v> $ 608,562.82 </v>
      </c>
      <c r="F6" s="393" t="str">
        <f>'E-Costos'!C118</f>
        <v> $ 2,449,465.36 </v>
      </c>
      <c r="G6" s="425" t="str">
        <f t="shared" si="1"/>
        <v> $ 3,294,447.23 </v>
      </c>
      <c r="H6" s="393" t="str">
        <f>'E-Costos'!C116</f>
        <v> $ 7,607,035.28 </v>
      </c>
      <c r="I6" s="393" t="str">
        <f>'E-Costos'!C125</f>
        <v> $ 2,006,039.48 </v>
      </c>
      <c r="J6" s="427" t="str">
        <f>'E-IVA '!D28</f>
        <v> $ 3,393,128.00 </v>
      </c>
      <c r="K6" s="425" t="str">
        <f t="shared" si="2"/>
        <v> $ 13,006,202.76 </v>
      </c>
      <c r="L6" s="518" t="str">
        <f t="shared" si="3"/>
        <v> $ 9,711,755.52 </v>
      </c>
      <c r="M6" s="426" t="str">
        <f t="shared" si="4"/>
        <v> $ (19,669,245.97)</v>
      </c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</row>
    <row r="7" ht="14.25" customHeight="1">
      <c r="A7" s="549">
        <v>3.0</v>
      </c>
      <c r="B7" s="538" t="str">
        <f>'E-Cal Inv.'!F8</f>
        <v> $ -   </v>
      </c>
      <c r="C7" s="393" t="str">
        <f>'E-InvAT'!E25</f>
        <v> $ 273.41 </v>
      </c>
      <c r="D7" s="393" t="str">
        <f>'E-Cal Inv.'!F23</f>
        <v> $ -   </v>
      </c>
      <c r="E7" s="393" t="str">
        <f>'E-Costos'!D117</f>
        <v> $ 608,774.11 </v>
      </c>
      <c r="F7" s="393" t="str">
        <f>'E-Costos'!D118</f>
        <v> $ 2,450,315.78 </v>
      </c>
      <c r="G7" s="425" t="str">
        <f t="shared" si="1"/>
        <v> $ 3,059,363.29 </v>
      </c>
      <c r="H7" s="393" t="str">
        <f>'E-Costos'!D116</f>
        <v> $ 7,609,676.32 </v>
      </c>
      <c r="I7" s="393" t="str">
        <f>'E-Costos'!D125</f>
        <v> $ 2,006,039.48 </v>
      </c>
      <c r="J7" s="427" t="str">
        <f>'E-IVA '!E28</f>
        <v> $ -   </v>
      </c>
      <c r="K7" s="425" t="str">
        <f t="shared" si="2"/>
        <v> $ 9,615,715.80 </v>
      </c>
      <c r="L7" s="518" t="str">
        <f t="shared" si="3"/>
        <v> $ 6,556,352.52 </v>
      </c>
      <c r="M7" s="426" t="str">
        <f t="shared" si="4"/>
        <v> $ (13,112,893.45)</v>
      </c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</row>
    <row r="8" ht="14.25" customHeight="1">
      <c r="A8" s="549">
        <v>4.0</v>
      </c>
      <c r="B8" s="538" t="str">
        <f>'E-Cal Inv.'!G8</f>
        <v> $ -   </v>
      </c>
      <c r="C8" s="393" t="str">
        <f>'E-InvAT'!F25</f>
        <v> $ 0.18 </v>
      </c>
      <c r="D8" s="393" t="str">
        <f>'E-Cal Inv.'!G23</f>
        <v> $ -   </v>
      </c>
      <c r="E8" s="393" t="str">
        <f>'E-Costos'!E117</f>
        <v> $ 608,774.11 </v>
      </c>
      <c r="F8" s="393" t="str">
        <f>'E-Costos'!E118</f>
        <v> $ 2,450,315.78 </v>
      </c>
      <c r="G8" s="425" t="str">
        <f t="shared" si="1"/>
        <v> $ 3,059,090.06 </v>
      </c>
      <c r="H8" s="393" t="str">
        <f>'E-Costos'!E116</f>
        <v> $ 7,609,676.32 </v>
      </c>
      <c r="I8" s="393" t="str">
        <f>'E-Costos'!E125</f>
        <v> $ 2,006,039.48 </v>
      </c>
      <c r="J8" s="427" t="str">
        <f>'E-IVA '!F28</f>
        <v> $ -   </v>
      </c>
      <c r="K8" s="425" t="str">
        <f t="shared" si="2"/>
        <v> $ 9,615,715.80 </v>
      </c>
      <c r="L8" s="518" t="str">
        <f t="shared" si="3"/>
        <v> $ 6,556,625.75 </v>
      </c>
      <c r="M8" s="426" t="str">
        <f t="shared" si="4"/>
        <v> $ (6,556,267.71)</v>
      </c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</row>
    <row r="9" ht="14.25" customHeight="1">
      <c r="A9" s="549">
        <v>5.0</v>
      </c>
      <c r="B9" s="538" t="str">
        <f>-'E-Inv AF y Am'!G57</f>
        <v> $ (18,058,405.46)</v>
      </c>
      <c r="C9" s="427" t="str">
        <f>-'E-InvAT'!G22+'E-InvAT'!G25</f>
        <v> $ (3,295,484.63)</v>
      </c>
      <c r="D9" s="393" t="str">
        <f>'E-Cal Inv.'!H23</f>
        <v> $ -   </v>
      </c>
      <c r="E9" s="393" t="str">
        <f>'E-Costos'!F117</f>
        <v> $ 608,774.11 </v>
      </c>
      <c r="F9" s="393" t="str">
        <f>'E-Costos'!F118</f>
        <v> $ 2,450,315.78 </v>
      </c>
      <c r="G9" s="425" t="str">
        <f t="shared" si="1"/>
        <v> $ (18,294,800.21)</v>
      </c>
      <c r="H9" s="393" t="str">
        <f>'E-Costos'!F116</f>
        <v> $ 7,609,676.32 </v>
      </c>
      <c r="I9" s="393" t="str">
        <f>'E-Costos'!F125</f>
        <v> $ 2,006,039.48 </v>
      </c>
      <c r="J9" s="427" t="str">
        <f>'E-IVA '!G2832</f>
        <v/>
      </c>
      <c r="K9" s="425" t="str">
        <f t="shared" si="2"/>
        <v> $ 9,615,715.80 </v>
      </c>
      <c r="L9" s="518" t="str">
        <f t="shared" si="3"/>
        <v> $ 27,910,516.01 </v>
      </c>
      <c r="M9" s="426" t="str">
        <f t="shared" si="4"/>
        <v> $ 21,354,248.31 </v>
      </c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</row>
    <row r="10" ht="14.25" customHeight="1">
      <c r="A10" s="549"/>
      <c r="B10" s="538"/>
      <c r="C10" s="393"/>
      <c r="D10" s="393"/>
      <c r="E10" s="393"/>
      <c r="F10" s="393"/>
      <c r="G10" s="393"/>
      <c r="H10" s="393"/>
      <c r="I10" s="393"/>
      <c r="J10" s="393"/>
      <c r="K10" s="393"/>
      <c r="L10" s="522"/>
      <c r="M10" s="42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</row>
    <row r="11" ht="14.25" customHeight="1">
      <c r="A11" s="550" t="s">
        <v>799</v>
      </c>
      <c r="B11" s="551" t="str">
        <f>ROUND(SUM(B4:B9),2)</f>
        <v> $ 10,030,197.42 </v>
      </c>
      <c r="C11" s="551" t="str">
        <f>SUM(C4:C9)</f>
        <v> $ -   </v>
      </c>
      <c r="D11" s="551" t="str">
        <f>ROUND(SUM(D4:D9),1)</f>
        <v> $ 6,236,087.50 </v>
      </c>
      <c r="E11" s="551" t="str">
        <f t="shared" ref="E11:H11" si="5">SUM(E4:E9)</f>
        <v> $ 2,856,755.63 </v>
      </c>
      <c r="F11" s="551" t="str">
        <f t="shared" si="5"/>
        <v> $ 11,498,441.40 </v>
      </c>
      <c r="G11" s="551" t="str">
        <f t="shared" si="5"/>
        <v> $ 30,621,481.97 </v>
      </c>
      <c r="H11" s="551" t="str">
        <f t="shared" si="5"/>
        <v> $ 35,709,445.33 </v>
      </c>
      <c r="I11" s="551" t="str">
        <f>ROUND(SUM(I4:I9),2)</f>
        <v> $ 10,030,197.42 </v>
      </c>
      <c r="J11" s="551" t="str">
        <f>ROUND(SUM(J4:J9),1)</f>
        <v> $ 6,236,087.50 </v>
      </c>
      <c r="K11" s="551" t="str">
        <f t="shared" ref="K11:L11" si="6">SUM(K4:K9)</f>
        <v> $ 51,975,730.28 </v>
      </c>
      <c r="L11" s="551" t="str">
        <f t="shared" si="6"/>
        <v> $ 21,354,248.31 </v>
      </c>
      <c r="M11" s="552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</row>
    <row r="12" ht="13.5" customHeight="1">
      <c r="A12" s="306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</row>
    <row r="13" ht="12.75" customHeight="1">
      <c r="A13" s="306"/>
      <c r="B13" s="306"/>
      <c r="C13" s="336" t="s">
        <v>800</v>
      </c>
      <c r="D13" s="553" t="str">
        <f>H11-E11-F11</f>
        <v> $ 21,354,248.31 </v>
      </c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</row>
    <row r="14" ht="12.75" customHeight="1">
      <c r="A14" s="201"/>
      <c r="B14" s="306"/>
      <c r="C14" s="336" t="s">
        <v>801</v>
      </c>
      <c r="D14" s="554" t="str">
        <f>A8+(-M8/L9)</f>
        <v>4.23490</v>
      </c>
      <c r="E14" s="306" t="s">
        <v>802</v>
      </c>
      <c r="F14" s="306"/>
      <c r="G14" s="306"/>
      <c r="H14" s="306"/>
      <c r="I14" s="298" t="str">
        <f>D4+D5</f>
        <v> $ 6,234,768.29 </v>
      </c>
      <c r="J14" s="298" t="str">
        <f>J5+J6</f>
        <v> $ 6,236,087.53 </v>
      </c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</row>
    <row r="15" ht="12.75" customHeight="1">
      <c r="A15" s="306"/>
      <c r="B15" s="306"/>
      <c r="C15" s="336" t="s">
        <v>803</v>
      </c>
      <c r="D15" s="555" t="str">
        <f>IRR(L4:L9)</f>
        <v>14.265%</v>
      </c>
      <c r="E15" s="306"/>
      <c r="F15" s="306"/>
      <c r="G15" s="306"/>
      <c r="H15" s="306"/>
      <c r="I15" s="306"/>
      <c r="J15" s="298" t="str">
        <f>J11-D11</f>
        <v> $ -   </v>
      </c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</row>
    <row r="16" ht="14.25" customHeight="1">
      <c r="A16" s="306"/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556" t="s">
        <v>804</v>
      </c>
      <c r="M16" s="324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</row>
    <row r="17" ht="14.25" customHeight="1">
      <c r="A17" s="306"/>
      <c r="B17" s="306"/>
      <c r="C17" s="306"/>
      <c r="D17" s="306"/>
      <c r="E17" s="306"/>
      <c r="F17" s="306"/>
      <c r="G17" s="306"/>
      <c r="H17" s="306"/>
      <c r="I17" s="306"/>
      <c r="J17" s="92"/>
      <c r="K17" s="306"/>
      <c r="L17" s="556" t="s">
        <v>805</v>
      </c>
      <c r="M17" s="324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</row>
    <row r="18" ht="14.25" customHeight="1">
      <c r="A18" s="306"/>
      <c r="B18" s="306"/>
      <c r="C18" s="219" t="s">
        <v>806</v>
      </c>
      <c r="D18" s="306"/>
      <c r="E18" s="306"/>
      <c r="F18" s="306"/>
      <c r="G18" s="306"/>
      <c r="H18" s="306"/>
      <c r="I18" s="306"/>
      <c r="J18" s="219" t="s">
        <v>807</v>
      </c>
      <c r="K18" s="306"/>
      <c r="L18" s="557" t="s">
        <v>623</v>
      </c>
      <c r="M18" s="558" t="str">
        <f>IF(B11=I11,"OK","MAL")</f>
        <v>OK</v>
      </c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</row>
    <row r="19" ht="14.25" customHeight="1">
      <c r="A19" s="306"/>
      <c r="B19" s="306"/>
      <c r="C19" s="223" t="s">
        <v>645</v>
      </c>
      <c r="D19" s="306"/>
      <c r="E19" s="306"/>
      <c r="F19" s="306"/>
      <c r="G19" s="306"/>
      <c r="H19" s="306"/>
      <c r="I19" s="306"/>
      <c r="J19" s="223" t="s">
        <v>645</v>
      </c>
      <c r="K19" s="306"/>
      <c r="L19" s="557" t="s">
        <v>808</v>
      </c>
      <c r="M19" s="558" t="str">
        <f>IF(D11=J11,"OK","MAL")</f>
        <v>OK</v>
      </c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</row>
    <row r="20" ht="14.25" customHeight="1">
      <c r="A20" s="306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557" t="s">
        <v>809</v>
      </c>
      <c r="M20" s="558" t="str">
        <f>IF(C11=0,"OK","MAL")</f>
        <v>OK</v>
      </c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</row>
    <row r="21" ht="14.25" customHeight="1">
      <c r="A21" s="306"/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557" t="s">
        <v>810</v>
      </c>
      <c r="M21" s="558" t="str">
        <f>IF((H11-F11-E11)=L11,IF(L11=M9,"OK","MAL"),"MAL")</f>
        <v>OK</v>
      </c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</row>
    <row r="22" ht="12.75" customHeight="1">
      <c r="A22" s="306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</row>
    <row r="23" ht="12.75" customHeight="1">
      <c r="A23" s="306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</row>
    <row r="24" ht="12.75" customHeight="1">
      <c r="A24" s="306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</row>
    <row r="25" ht="12.75" customHeight="1">
      <c r="A25" s="306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</row>
    <row r="26" ht="12.75" customHeight="1">
      <c r="A26" s="306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</row>
    <row r="27" ht="12.75" customHeight="1">
      <c r="A27" s="306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</row>
    <row r="28" ht="12.75" customHeight="1">
      <c r="A28" s="306"/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</row>
    <row r="29" ht="12.75" customHeight="1">
      <c r="A29" s="306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</row>
    <row r="30" ht="12.75" customHeight="1">
      <c r="A30" s="306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</row>
    <row r="31" ht="12.75" customHeight="1">
      <c r="A31" s="306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</row>
    <row r="32" ht="12.75" customHeight="1">
      <c r="A32" s="306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</row>
    <row r="33" ht="12.75" customHeight="1">
      <c r="A33" s="306"/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</row>
    <row r="34" ht="12.75" customHeight="1">
      <c r="A34" s="306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</row>
    <row r="35" ht="12.75" customHeight="1">
      <c r="A35" s="306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</row>
    <row r="36" ht="12.75" customHeight="1">
      <c r="A36" s="306"/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</row>
    <row r="37" ht="12.75" customHeight="1">
      <c r="A37" s="30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</row>
    <row r="38" ht="12.75" customHeight="1">
      <c r="A38" s="306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</row>
    <row r="39" ht="12.75" customHeight="1">
      <c r="A39" s="306"/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</row>
    <row r="40" ht="12.75" customHeight="1">
      <c r="A40" s="306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</row>
    <row r="41" ht="12.75" customHeight="1">
      <c r="A41" s="306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</row>
    <row r="42" ht="12.75" customHeight="1">
      <c r="A42" s="306"/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</row>
    <row r="43" ht="12.75" customHeight="1">
      <c r="A43" s="306"/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</row>
    <row r="44" ht="12.75" customHeight="1">
      <c r="A44" s="306"/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</row>
    <row r="45" ht="12.75" customHeight="1">
      <c r="A45" s="306"/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</row>
    <row r="46" ht="12.75" customHeight="1">
      <c r="A46" s="306"/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</row>
    <row r="47" ht="12.75" customHeight="1">
      <c r="A47" s="306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</row>
    <row r="48" ht="12.75" customHeight="1">
      <c r="A48" s="306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</row>
    <row r="49" ht="12.75" customHeight="1">
      <c r="A49" s="306"/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</row>
    <row r="50" ht="12.75" customHeight="1">
      <c r="A50" s="306"/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</row>
    <row r="51" ht="12.75" customHeight="1">
      <c r="A51" s="306"/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</row>
    <row r="52" ht="12.75" customHeight="1">
      <c r="A52" s="306"/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</row>
    <row r="53" ht="12.75" customHeight="1">
      <c r="A53" s="306"/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</row>
    <row r="54" ht="12.75" customHeight="1">
      <c r="A54" s="306"/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</row>
    <row r="55" ht="12.75" customHeight="1">
      <c r="A55" s="306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</row>
    <row r="56" ht="12.75" customHeight="1">
      <c r="A56" s="306"/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</row>
    <row r="57" ht="12.75" customHeight="1">
      <c r="A57" s="306"/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</row>
    <row r="58" ht="12.75" customHeight="1">
      <c r="A58" s="306"/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</row>
    <row r="59" ht="12.75" customHeight="1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</row>
    <row r="60" ht="12.75" customHeight="1">
      <c r="A60" s="306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</row>
    <row r="61" ht="12.75" customHeight="1">
      <c r="A61" s="306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</row>
    <row r="62" ht="12.75" customHeigh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</row>
    <row r="63" ht="12.75" customHeight="1">
      <c r="A63" s="306"/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</row>
    <row r="64" ht="12.75" customHeight="1">
      <c r="A64" s="306"/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</row>
    <row r="65" ht="12.75" customHeight="1">
      <c r="A65" s="306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</row>
    <row r="66" ht="12.75" customHeight="1">
      <c r="A66" s="306"/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</row>
    <row r="67" ht="12.75" customHeight="1">
      <c r="A67" s="306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</row>
    <row r="68" ht="12.75" customHeight="1">
      <c r="A68" s="306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</row>
    <row r="69" ht="12.75" customHeight="1">
      <c r="A69" s="306"/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</row>
    <row r="70" ht="12.75" customHeight="1">
      <c r="A70" s="306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</row>
    <row r="71" ht="12.75" customHeight="1">
      <c r="A71" s="306"/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</row>
    <row r="72" ht="12.75" customHeight="1">
      <c r="A72" s="306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</row>
    <row r="73" ht="12.75" customHeight="1">
      <c r="A73" s="306"/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</row>
    <row r="74" ht="12.75" customHeight="1">
      <c r="A74" s="306"/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</row>
    <row r="75" ht="12.75" customHeight="1">
      <c r="A75" s="306"/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</row>
    <row r="76" ht="12.75" customHeight="1">
      <c r="A76" s="306"/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</row>
    <row r="77" ht="12.75" customHeight="1">
      <c r="A77" s="306"/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</row>
    <row r="78" ht="12.75" customHeight="1">
      <c r="A78" s="306"/>
      <c r="B78" s="306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</row>
    <row r="79" ht="12.75" customHeight="1">
      <c r="A79" s="306"/>
      <c r="B79" s="306"/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6"/>
      <c r="Z79" s="306"/>
    </row>
    <row r="80" ht="12.75" customHeight="1">
      <c r="A80" s="306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</row>
    <row r="81" ht="12.75" customHeight="1">
      <c r="A81" s="306"/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</row>
    <row r="82" ht="12.75" customHeight="1">
      <c r="A82" s="306"/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</row>
    <row r="83" ht="12.75" customHeight="1">
      <c r="A83" s="306"/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</row>
    <row r="84" ht="12.75" customHeight="1">
      <c r="A84" s="306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</row>
    <row r="85" ht="12.75" customHeight="1">
      <c r="A85" s="306"/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</row>
    <row r="86" ht="12.75" customHeight="1">
      <c r="A86" s="306"/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</row>
    <row r="87" ht="12.75" customHeight="1">
      <c r="A87" s="306"/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</row>
    <row r="88" ht="12.75" customHeight="1">
      <c r="A88" s="306"/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</row>
    <row r="89" ht="12.75" customHeight="1">
      <c r="A89" s="306"/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</row>
    <row r="90" ht="12.75" customHeight="1">
      <c r="A90" s="306"/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</row>
    <row r="91" ht="12.75" customHeight="1">
      <c r="A91" s="306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</row>
    <row r="92" ht="12.75" customHeigh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</row>
    <row r="93" ht="12.75" customHeight="1">
      <c r="A93" s="306"/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</row>
    <row r="94" ht="12.75" customHeight="1">
      <c r="A94" s="306"/>
      <c r="B94" s="306"/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</row>
    <row r="95" ht="12.75" customHeight="1">
      <c r="A95" s="306"/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</row>
    <row r="96" ht="12.75" customHeight="1">
      <c r="A96" s="306"/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</row>
    <row r="97" ht="12.75" customHeight="1">
      <c r="A97" s="306"/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</row>
    <row r="98" ht="12.75" customHeight="1">
      <c r="A98" s="306"/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</row>
    <row r="99" ht="12.75" customHeight="1">
      <c r="A99" s="306"/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</row>
    <row r="100" ht="12.75" customHeight="1">
      <c r="A100" s="306"/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</row>
    <row r="101" ht="12.75" customHeight="1">
      <c r="A101" s="306"/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</row>
    <row r="102" ht="12.75" customHeight="1">
      <c r="A102" s="306"/>
      <c r="B102" s="306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</row>
    <row r="103" ht="12.75" customHeight="1">
      <c r="A103" s="306"/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</row>
    <row r="104" ht="12.75" customHeight="1">
      <c r="A104" s="306"/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</row>
    <row r="105" ht="12.75" customHeight="1">
      <c r="A105" s="306"/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</row>
    <row r="106" ht="12.75" customHeight="1">
      <c r="A106" s="306"/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</row>
    <row r="107" ht="12.75" customHeight="1">
      <c r="A107" s="306"/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</row>
    <row r="108" ht="12.75" customHeight="1">
      <c r="A108" s="306"/>
      <c r="B108" s="306"/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306"/>
    </row>
    <row r="109" ht="12.75" customHeight="1">
      <c r="A109" s="306"/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6"/>
    </row>
    <row r="110" ht="12.75" customHeight="1">
      <c r="A110" s="306"/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</row>
    <row r="111" ht="12.75" customHeight="1">
      <c r="A111" s="306"/>
      <c r="B111" s="306"/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6"/>
      <c r="X111" s="306"/>
      <c r="Y111" s="306"/>
      <c r="Z111" s="306"/>
    </row>
    <row r="112" ht="12.75" customHeight="1">
      <c r="A112" s="306"/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</row>
    <row r="113" ht="12.75" customHeight="1">
      <c r="A113" s="306"/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</row>
    <row r="114" ht="12.75" customHeight="1">
      <c r="A114" s="306"/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</row>
    <row r="115" ht="12.75" customHeight="1">
      <c r="A115" s="306"/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  <c r="Z115" s="306"/>
    </row>
    <row r="116" ht="12.75" customHeight="1">
      <c r="A116" s="306"/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</row>
    <row r="117" ht="12.75" customHeight="1">
      <c r="A117" s="306"/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  <c r="S117" s="306"/>
      <c r="T117" s="306"/>
      <c r="U117" s="306"/>
      <c r="V117" s="306"/>
      <c r="W117" s="306"/>
      <c r="X117" s="306"/>
      <c r="Y117" s="306"/>
      <c r="Z117" s="306"/>
    </row>
    <row r="118" ht="12.75" customHeight="1">
      <c r="A118" s="306"/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R118" s="306"/>
      <c r="S118" s="306"/>
      <c r="T118" s="306"/>
      <c r="U118" s="306"/>
      <c r="V118" s="306"/>
      <c r="W118" s="306"/>
      <c r="X118" s="306"/>
      <c r="Y118" s="306"/>
      <c r="Z118" s="306"/>
    </row>
    <row r="119" ht="12.75" customHeight="1">
      <c r="A119" s="306"/>
      <c r="B119" s="306"/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</row>
    <row r="120" ht="12.75" customHeight="1">
      <c r="A120" s="306"/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</row>
    <row r="121" ht="12.75" customHeight="1">
      <c r="A121" s="306"/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</row>
    <row r="122" ht="12.75" customHeigh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  <c r="X122" s="306"/>
      <c r="Y122" s="306"/>
      <c r="Z122" s="306"/>
    </row>
    <row r="123" ht="12.75" customHeight="1">
      <c r="A123" s="306"/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</row>
    <row r="124" ht="12.75" customHeight="1">
      <c r="A124" s="306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</row>
    <row r="125" ht="12.75" customHeight="1">
      <c r="A125" s="306"/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</row>
    <row r="126" ht="12.75" customHeight="1">
      <c r="A126" s="306"/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</row>
    <row r="127" ht="12.75" customHeight="1">
      <c r="A127" s="306"/>
      <c r="B127" s="306"/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</row>
    <row r="128" ht="12.75" customHeight="1">
      <c r="A128" s="306"/>
      <c r="B128" s="306"/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</row>
    <row r="129" ht="12.75" customHeight="1">
      <c r="A129" s="306"/>
      <c r="B129" s="306"/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</row>
    <row r="130" ht="12.75" customHeight="1">
      <c r="A130" s="306"/>
      <c r="B130" s="306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</row>
    <row r="131" ht="12.75" customHeight="1">
      <c r="A131" s="306"/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</row>
    <row r="132" ht="12.75" customHeight="1">
      <c r="A132" s="306"/>
      <c r="B132" s="306"/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306"/>
    </row>
    <row r="133" ht="12.75" customHeight="1">
      <c r="A133" s="306"/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  <c r="Z133" s="306"/>
    </row>
    <row r="134" ht="12.75" customHeight="1">
      <c r="A134" s="306"/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</row>
    <row r="135" ht="12.75" customHeight="1">
      <c r="A135" s="306"/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</row>
    <row r="136" ht="12.75" customHeight="1">
      <c r="A136" s="306"/>
      <c r="B136" s="306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</row>
    <row r="137" ht="12.75" customHeight="1">
      <c r="A137" s="306"/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  <c r="Y137" s="306"/>
      <c r="Z137" s="306"/>
    </row>
    <row r="138" ht="12.75" customHeight="1">
      <c r="A138" s="306"/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</row>
    <row r="139" ht="12.75" customHeight="1">
      <c r="A139" s="306"/>
      <c r="B139" s="306"/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</row>
    <row r="140" ht="12.75" customHeight="1">
      <c r="A140" s="306"/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</row>
    <row r="141" ht="12.75" customHeight="1">
      <c r="A141" s="306"/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</row>
    <row r="142" ht="12.75" customHeight="1">
      <c r="A142" s="306"/>
      <c r="B142" s="306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</row>
    <row r="143" ht="12.75" customHeight="1">
      <c r="A143" s="306"/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6"/>
      <c r="U143" s="306"/>
      <c r="V143" s="306"/>
      <c r="W143" s="306"/>
      <c r="X143" s="306"/>
      <c r="Y143" s="306"/>
      <c r="Z143" s="306"/>
    </row>
    <row r="144" ht="12.75" customHeight="1">
      <c r="A144" s="306"/>
      <c r="B144" s="306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306"/>
    </row>
    <row r="145" ht="12.75" customHeight="1">
      <c r="A145" s="306"/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</row>
    <row r="146" ht="12.75" customHeight="1">
      <c r="A146" s="306"/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</row>
    <row r="147" ht="12.75" customHeight="1">
      <c r="A147" s="306"/>
      <c r="B147" s="306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  <c r="Z147" s="306"/>
    </row>
    <row r="148" ht="12.75" customHeight="1">
      <c r="A148" s="306"/>
      <c r="B148" s="306"/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  <c r="Z148" s="306"/>
    </row>
    <row r="149" ht="12.75" customHeight="1">
      <c r="A149" s="306"/>
      <c r="B149" s="306"/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</row>
    <row r="150" ht="12.75" customHeight="1">
      <c r="A150" s="306"/>
      <c r="B150" s="306"/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</row>
    <row r="151" ht="12.75" customHeight="1">
      <c r="A151" s="306"/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306"/>
      <c r="Y151" s="306"/>
      <c r="Z151" s="306"/>
    </row>
    <row r="152" ht="12.75" customHeight="1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</row>
    <row r="153" ht="12.75" customHeight="1">
      <c r="A153" s="306"/>
      <c r="B153" s="306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  <c r="Z153" s="306"/>
    </row>
    <row r="154" ht="12.75" customHeight="1">
      <c r="A154" s="306"/>
      <c r="B154" s="306"/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306"/>
      <c r="X154" s="306"/>
      <c r="Y154" s="306"/>
      <c r="Z154" s="306"/>
    </row>
    <row r="155" ht="12.75" customHeight="1">
      <c r="A155" s="306"/>
      <c r="B155" s="306"/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306"/>
      <c r="X155" s="306"/>
      <c r="Y155" s="306"/>
      <c r="Z155" s="306"/>
    </row>
    <row r="156" ht="12.75" customHeight="1">
      <c r="A156" s="306"/>
      <c r="B156" s="306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306"/>
      <c r="X156" s="306"/>
      <c r="Y156" s="306"/>
      <c r="Z156" s="306"/>
    </row>
    <row r="157" ht="12.75" customHeight="1">
      <c r="A157" s="306"/>
      <c r="B157" s="306"/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306"/>
    </row>
    <row r="158" ht="12.75" customHeight="1">
      <c r="A158" s="306"/>
      <c r="B158" s="306"/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</row>
    <row r="159" ht="12.75" customHeight="1">
      <c r="A159" s="306"/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</row>
    <row r="160" ht="12.75" customHeight="1">
      <c r="A160" s="306"/>
      <c r="B160" s="306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  <c r="Z160" s="306"/>
    </row>
    <row r="161" ht="12.75" customHeight="1">
      <c r="A161" s="306"/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</row>
    <row r="162" ht="12.75" customHeight="1">
      <c r="A162" s="306"/>
      <c r="B162" s="306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</row>
    <row r="163" ht="12.75" customHeight="1">
      <c r="A163" s="306"/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</row>
    <row r="164" ht="12.75" customHeight="1">
      <c r="A164" s="306"/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</row>
    <row r="165" ht="12.75" customHeight="1">
      <c r="A165" s="306"/>
      <c r="B165" s="306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</row>
    <row r="166" ht="12.75" customHeight="1">
      <c r="A166" s="306"/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</row>
    <row r="167" ht="12.75" customHeight="1">
      <c r="A167" s="306"/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</row>
    <row r="168" ht="12.75" customHeight="1">
      <c r="A168" s="306"/>
      <c r="B168" s="306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  <c r="Z168" s="306"/>
    </row>
    <row r="169" ht="12.75" customHeight="1">
      <c r="A169" s="306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6"/>
      <c r="T169" s="306"/>
      <c r="U169" s="306"/>
      <c r="V169" s="306"/>
      <c r="W169" s="306"/>
      <c r="X169" s="306"/>
      <c r="Y169" s="306"/>
      <c r="Z169" s="306"/>
    </row>
    <row r="170" ht="12.75" customHeight="1">
      <c r="A170" s="306"/>
      <c r="B170" s="306"/>
      <c r="C170" s="306"/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</row>
    <row r="171" ht="12.75" customHeight="1">
      <c r="A171" s="306"/>
      <c r="B171" s="306"/>
      <c r="C171" s="306"/>
      <c r="D171" s="306"/>
      <c r="E171" s="306"/>
      <c r="F171" s="306"/>
      <c r="G171" s="306"/>
      <c r="H171" s="306"/>
      <c r="I171" s="306"/>
      <c r="J171" s="306"/>
      <c r="K171" s="306"/>
      <c r="L171" s="306"/>
      <c r="M171" s="306"/>
      <c r="N171" s="306"/>
      <c r="O171" s="306"/>
      <c r="P171" s="306"/>
      <c r="Q171" s="306"/>
      <c r="R171" s="306"/>
      <c r="S171" s="306"/>
      <c r="T171" s="306"/>
      <c r="U171" s="306"/>
      <c r="V171" s="306"/>
      <c r="W171" s="306"/>
      <c r="X171" s="306"/>
      <c r="Y171" s="306"/>
      <c r="Z171" s="306"/>
    </row>
    <row r="172" ht="12.75" customHeight="1">
      <c r="A172" s="306"/>
      <c r="B172" s="306"/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</row>
    <row r="173" ht="12.75" customHeight="1">
      <c r="A173" s="306"/>
      <c r="B173" s="306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306"/>
      <c r="X173" s="306"/>
      <c r="Y173" s="306"/>
      <c r="Z173" s="306"/>
    </row>
    <row r="174" ht="12.75" customHeight="1">
      <c r="A174" s="306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  <c r="Z174" s="306"/>
    </row>
    <row r="175" ht="12.75" customHeight="1">
      <c r="A175" s="306"/>
      <c r="B175" s="306"/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</row>
    <row r="176" ht="12.75" customHeight="1">
      <c r="A176" s="306"/>
      <c r="B176" s="306"/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/>
      <c r="Z176" s="306"/>
    </row>
    <row r="177" ht="12.75" customHeight="1">
      <c r="A177" s="306"/>
      <c r="B177" s="306"/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306"/>
      <c r="X177" s="306"/>
      <c r="Y177" s="306"/>
      <c r="Z177" s="306"/>
    </row>
    <row r="178" ht="12.75" customHeight="1">
      <c r="A178" s="306"/>
      <c r="B178" s="306"/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306"/>
    </row>
    <row r="179" ht="12.75" customHeight="1">
      <c r="A179" s="306"/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/>
      <c r="V179" s="306"/>
      <c r="W179" s="306"/>
      <c r="X179" s="306"/>
      <c r="Y179" s="306"/>
      <c r="Z179" s="306"/>
    </row>
    <row r="180" ht="12.75" customHeight="1">
      <c r="A180" s="306"/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</row>
    <row r="181" ht="12.75" customHeight="1">
      <c r="A181" s="306"/>
      <c r="B181" s="306"/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  <c r="Y181" s="306"/>
      <c r="Z181" s="306"/>
    </row>
    <row r="182" ht="12.75" customHeigh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  <c r="Z182" s="306"/>
    </row>
    <row r="183" ht="12.75" customHeight="1">
      <c r="A183" s="306"/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</row>
    <row r="184" ht="12.75" customHeight="1">
      <c r="A184" s="306"/>
      <c r="B184" s="306"/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</row>
    <row r="185" ht="12.75" customHeight="1">
      <c r="A185" s="306"/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</row>
    <row r="186" ht="12.75" customHeight="1">
      <c r="A186" s="306"/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</row>
    <row r="187" ht="12.75" customHeight="1">
      <c r="A187" s="306"/>
      <c r="B187" s="306"/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</row>
    <row r="188" ht="12.75" customHeight="1">
      <c r="A188" s="306"/>
      <c r="B188" s="306"/>
      <c r="C188" s="306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  <c r="Z188" s="306"/>
    </row>
    <row r="189" ht="12.75" customHeight="1">
      <c r="A189" s="306"/>
      <c r="B189" s="306"/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</row>
    <row r="190" ht="12.75" customHeight="1">
      <c r="A190" s="306"/>
      <c r="B190" s="306"/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306"/>
    </row>
    <row r="191" ht="12.75" customHeight="1">
      <c r="A191" s="306"/>
      <c r="B191" s="306"/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</row>
    <row r="192" ht="12.75" customHeight="1">
      <c r="A192" s="306"/>
      <c r="B192" s="306"/>
      <c r="C192" s="306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</row>
    <row r="193" ht="12.75" customHeight="1">
      <c r="A193" s="306"/>
      <c r="B193" s="306"/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6"/>
      <c r="V193" s="306"/>
      <c r="W193" s="306"/>
      <c r="X193" s="306"/>
      <c r="Y193" s="306"/>
      <c r="Z193" s="306"/>
    </row>
    <row r="194" ht="12.75" customHeight="1">
      <c r="A194" s="306"/>
      <c r="B194" s="306"/>
      <c r="C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</row>
    <row r="195" ht="12.75" customHeight="1">
      <c r="A195" s="306"/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  <c r="Z195" s="306"/>
    </row>
    <row r="196" ht="12.75" customHeight="1">
      <c r="A196" s="306"/>
      <c r="B196" s="306"/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  <c r="Z196" s="306"/>
    </row>
    <row r="197" ht="12.75" customHeight="1">
      <c r="A197" s="306"/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  <c r="S197" s="306"/>
      <c r="T197" s="306"/>
      <c r="U197" s="306"/>
      <c r="V197" s="306"/>
      <c r="W197" s="306"/>
      <c r="X197" s="306"/>
      <c r="Y197" s="306"/>
      <c r="Z197" s="306"/>
    </row>
    <row r="198" ht="12.75" customHeight="1">
      <c r="A198" s="306"/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306"/>
    </row>
    <row r="199" ht="12.75" customHeight="1">
      <c r="A199" s="306"/>
      <c r="B199" s="306"/>
      <c r="C199" s="306"/>
      <c r="D199" s="306"/>
      <c r="E199" s="306"/>
      <c r="F199" s="306"/>
      <c r="G199" s="306"/>
      <c r="H199" s="306"/>
      <c r="I199" s="306"/>
      <c r="J199" s="306"/>
      <c r="K199" s="306"/>
      <c r="L199" s="306"/>
      <c r="M199" s="306"/>
      <c r="N199" s="306"/>
      <c r="O199" s="306"/>
      <c r="P199" s="306"/>
      <c r="Q199" s="306"/>
      <c r="R199" s="306"/>
      <c r="S199" s="306"/>
      <c r="T199" s="306"/>
      <c r="U199" s="306"/>
      <c r="V199" s="306"/>
      <c r="W199" s="306"/>
      <c r="X199" s="306"/>
      <c r="Y199" s="306"/>
      <c r="Z199" s="306"/>
    </row>
    <row r="200" ht="12.75" customHeight="1">
      <c r="A200" s="306"/>
      <c r="B200" s="306"/>
      <c r="C200" s="306"/>
      <c r="D200" s="306"/>
      <c r="E200" s="306"/>
      <c r="F200" s="306"/>
      <c r="G200" s="306"/>
      <c r="H200" s="306"/>
      <c r="I200" s="306"/>
      <c r="J200" s="306"/>
      <c r="K200" s="306"/>
      <c r="L200" s="306"/>
      <c r="M200" s="306"/>
      <c r="N200" s="306"/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  <c r="Z200" s="306"/>
    </row>
    <row r="201" ht="12.75" customHeight="1">
      <c r="A201" s="306"/>
      <c r="B201" s="306"/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  <c r="Z201" s="306"/>
    </row>
    <row r="202" ht="12.75" customHeight="1">
      <c r="A202" s="306"/>
      <c r="B202" s="306"/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  <c r="T202" s="306"/>
      <c r="U202" s="306"/>
      <c r="V202" s="306"/>
      <c r="W202" s="306"/>
      <c r="X202" s="306"/>
      <c r="Y202" s="306"/>
      <c r="Z202" s="306"/>
    </row>
    <row r="203" ht="12.75" customHeight="1">
      <c r="A203" s="306"/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306"/>
    </row>
    <row r="204" ht="12.75" customHeight="1">
      <c r="A204" s="306"/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</row>
    <row r="205" ht="12.75" customHeight="1">
      <c r="A205" s="306"/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</row>
    <row r="206" ht="12.75" customHeight="1">
      <c r="A206" s="306"/>
      <c r="B206" s="306"/>
      <c r="C206" s="306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  <c r="T206" s="306"/>
      <c r="U206" s="306"/>
      <c r="V206" s="306"/>
      <c r="W206" s="306"/>
      <c r="X206" s="306"/>
      <c r="Y206" s="306"/>
      <c r="Z206" s="306"/>
    </row>
    <row r="207" ht="12.75" customHeight="1">
      <c r="A207" s="306"/>
      <c r="B207" s="306"/>
      <c r="C207" s="306"/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  <c r="S207" s="306"/>
      <c r="T207" s="306"/>
      <c r="U207" s="306"/>
      <c r="V207" s="306"/>
      <c r="W207" s="306"/>
      <c r="X207" s="306"/>
      <c r="Y207" s="306"/>
      <c r="Z207" s="306"/>
    </row>
    <row r="208" ht="12.75" customHeight="1">
      <c r="A208" s="306"/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  <c r="T208" s="306"/>
      <c r="U208" s="306"/>
      <c r="V208" s="306"/>
      <c r="W208" s="306"/>
      <c r="X208" s="306"/>
      <c r="Y208" s="306"/>
      <c r="Z208" s="306"/>
    </row>
    <row r="209" ht="12.75" customHeight="1">
      <c r="A209" s="306"/>
      <c r="B209" s="306"/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  <c r="T209" s="306"/>
      <c r="U209" s="306"/>
      <c r="V209" s="306"/>
      <c r="W209" s="306"/>
      <c r="X209" s="306"/>
      <c r="Y209" s="306"/>
      <c r="Z209" s="306"/>
    </row>
    <row r="210" ht="12.75" customHeight="1">
      <c r="A210" s="306"/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/>
      <c r="Y210" s="306"/>
      <c r="Z210" s="306"/>
    </row>
    <row r="211" ht="12.75" customHeight="1">
      <c r="A211" s="306"/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  <c r="X211" s="306"/>
      <c r="Y211" s="306"/>
      <c r="Z211" s="306"/>
    </row>
    <row r="212" ht="12.75" customHeight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  <c r="X212" s="306"/>
      <c r="Y212" s="306"/>
      <c r="Z212" s="306"/>
    </row>
    <row r="213" ht="12.75" customHeight="1">
      <c r="A213" s="306"/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  <c r="T213" s="306"/>
      <c r="U213" s="306"/>
      <c r="V213" s="306"/>
      <c r="W213" s="306"/>
      <c r="X213" s="306"/>
      <c r="Y213" s="306"/>
      <c r="Z213" s="306"/>
    </row>
    <row r="214" ht="12.75" customHeight="1">
      <c r="A214" s="306"/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  <c r="S214" s="306"/>
      <c r="T214" s="306"/>
      <c r="U214" s="306"/>
      <c r="V214" s="306"/>
      <c r="W214" s="306"/>
      <c r="X214" s="306"/>
      <c r="Y214" s="306"/>
      <c r="Z214" s="306"/>
    </row>
    <row r="215" ht="12.75" customHeight="1">
      <c r="A215" s="306"/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  <c r="T215" s="306"/>
      <c r="U215" s="306"/>
      <c r="V215" s="306"/>
      <c r="W215" s="306"/>
      <c r="X215" s="306"/>
      <c r="Y215" s="306"/>
      <c r="Z215" s="306"/>
    </row>
    <row r="216" ht="12.75" customHeight="1">
      <c r="A216" s="306"/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  <c r="T216" s="306"/>
      <c r="U216" s="306"/>
      <c r="V216" s="306"/>
      <c r="W216" s="306"/>
      <c r="X216" s="306"/>
      <c r="Y216" s="306"/>
      <c r="Z216" s="306"/>
    </row>
    <row r="217" ht="12.75" customHeight="1">
      <c r="A217" s="306"/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  <c r="T217" s="306"/>
      <c r="U217" s="306"/>
      <c r="V217" s="306"/>
      <c r="W217" s="306"/>
      <c r="X217" s="306"/>
      <c r="Y217" s="306"/>
      <c r="Z217" s="306"/>
    </row>
    <row r="218" ht="12.75" customHeight="1">
      <c r="A218" s="306"/>
      <c r="B218" s="306"/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  <c r="T218" s="306"/>
      <c r="U218" s="306"/>
      <c r="V218" s="306"/>
      <c r="W218" s="306"/>
      <c r="X218" s="306"/>
      <c r="Y218" s="306"/>
      <c r="Z218" s="306"/>
    </row>
    <row r="219" ht="12.75" customHeight="1">
      <c r="A219" s="306"/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</row>
    <row r="220" ht="12.75" customHeight="1">
      <c r="A220" s="306"/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</row>
    <row r="221" ht="12.75" customHeight="1">
      <c r="A221" s="306"/>
      <c r="B221" s="306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  <c r="Z221" s="306"/>
    </row>
  </sheetData>
  <mergeCells count="2">
    <mergeCell ref="L16:M16"/>
    <mergeCell ref="L17:M17"/>
  </mergeCells>
  <conditionalFormatting sqref="M18">
    <cfRule type="cellIs" dxfId="1" priority="1" operator="equal">
      <formula>"OK"</formula>
    </cfRule>
  </conditionalFormatting>
  <conditionalFormatting sqref="M18">
    <cfRule type="cellIs" dxfId="2" priority="2" operator="equal">
      <formula>"MAL"</formula>
    </cfRule>
  </conditionalFormatting>
  <conditionalFormatting sqref="M19">
    <cfRule type="cellIs" dxfId="1" priority="3" operator="equal">
      <formula>"OK"</formula>
    </cfRule>
  </conditionalFormatting>
  <conditionalFormatting sqref="M19">
    <cfRule type="cellIs" dxfId="2" priority="4" operator="equal">
      <formula>"MAL"</formula>
    </cfRule>
  </conditionalFormatting>
  <conditionalFormatting sqref="M20">
    <cfRule type="cellIs" dxfId="1" priority="5" operator="equal">
      <formula>"OK"</formula>
    </cfRule>
  </conditionalFormatting>
  <conditionalFormatting sqref="M20">
    <cfRule type="cellIs" dxfId="2" priority="6" operator="equal">
      <formula>"MAL"</formula>
    </cfRule>
  </conditionalFormatting>
  <conditionalFormatting sqref="M21">
    <cfRule type="cellIs" dxfId="1" priority="7" operator="equal">
      <formula>"OK"</formula>
    </cfRule>
  </conditionalFormatting>
  <conditionalFormatting sqref="M21">
    <cfRule type="cellIs" dxfId="2" priority="8" operator="equal">
      <formula>"MAL"</formula>
    </cfRule>
  </conditionalFormatting>
  <conditionalFormatting sqref="J17">
    <cfRule type="cellIs" dxfId="1" priority="9" operator="equal">
      <formula>"OK"</formula>
    </cfRule>
  </conditionalFormatting>
  <conditionalFormatting sqref="J17">
    <cfRule type="cellIs" dxfId="2" priority="10" operator="equal">
      <formula>"MAL"</formula>
    </cfRule>
  </conditionalFormatting>
  <printOptions/>
  <pageMargins bottom="0.75" footer="0.0" header="0.0" left="0.7" right="0.7" top="0.75"/>
  <pageSetup paperSize="9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pageSetUpPr fitToPage="1"/>
  </sheetPr>
  <sheetViews>
    <sheetView showGridLines="0" workbookViewId="0"/>
  </sheetViews>
  <sheetFormatPr customHeight="1" defaultColWidth="14.43" defaultRowHeight="15.0"/>
  <cols>
    <col customWidth="1" min="1" max="1" width="27.14"/>
    <col customWidth="1" min="2" max="2" width="16.43"/>
    <col customWidth="1" min="3" max="3" width="15.0"/>
    <col customWidth="1" min="4" max="7" width="15.29"/>
    <col customWidth="1" min="8" max="8" width="4.86"/>
    <col customWidth="1" min="9" max="9" width="15.0"/>
    <col customWidth="1" min="10" max="10" width="9.0"/>
    <col customWidth="1" min="11" max="11" width="16.14"/>
    <col customWidth="1" min="12" max="12" width="9.0"/>
    <col customWidth="1" min="13" max="13" width="14.43"/>
    <col customWidth="1" min="14" max="26" width="9.0"/>
  </cols>
  <sheetData>
    <row r="1" ht="14.25" customHeight="1">
      <c r="A1" s="320" t="s">
        <v>488</v>
      </c>
      <c r="E1" s="306"/>
      <c r="F1" s="398" t="str">
        <f>InfoInicial!E1</f>
        <v>10</v>
      </c>
      <c r="G1" s="321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ht="16.5" customHeight="1">
      <c r="A2" s="400" t="s">
        <v>590</v>
      </c>
      <c r="B2" s="401"/>
      <c r="C2" s="401"/>
      <c r="D2" s="401"/>
      <c r="E2" s="401"/>
      <c r="F2" s="401"/>
      <c r="G2" s="402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</row>
    <row r="3" ht="12.75" customHeight="1">
      <c r="A3" s="404" t="s">
        <v>591</v>
      </c>
      <c r="B3" s="405" t="s">
        <v>592</v>
      </c>
      <c r="C3" s="406"/>
      <c r="D3" s="405" t="s">
        <v>593</v>
      </c>
      <c r="E3" s="406"/>
      <c r="F3" s="405" t="s">
        <v>594</v>
      </c>
      <c r="G3" s="407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</row>
    <row r="4" ht="12.75" customHeight="1">
      <c r="A4" s="404" t="s">
        <v>573</v>
      </c>
      <c r="B4" s="408" t="s">
        <v>595</v>
      </c>
      <c r="C4" s="408" t="s">
        <v>596</v>
      </c>
      <c r="D4" s="408" t="s">
        <v>595</v>
      </c>
      <c r="E4" s="408" t="s">
        <v>596</v>
      </c>
      <c r="F4" s="408" t="s">
        <v>595</v>
      </c>
      <c r="G4" s="409" t="s">
        <v>596</v>
      </c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</row>
    <row r="5" ht="12.75" customHeight="1">
      <c r="A5" s="367" t="s">
        <v>597</v>
      </c>
      <c r="B5" s="393" t="str">
        <f>'E-Cal Inv.'!I8</f>
        <v> $ 28,088,602.88 </v>
      </c>
      <c r="C5" s="411" t="str">
        <f t="shared" ref="C5:C7" si="1">B5/$B$8</f>
        <v>75%</v>
      </c>
      <c r="D5" s="393" t="str">
        <f>('E-Inv AF y Am'!B47+'E-Inv AF y Am'!B51+'E-Inv AF y Am'!B46+'E-Inv AF y Am'!B45)</f>
        <v> $ 16,825,221.60 </v>
      </c>
      <c r="E5" s="411" t="str">
        <f>D5/B8</f>
        <v>45%</v>
      </c>
      <c r="F5" s="393" t="str">
        <f t="shared" ref="F5:F7" si="2">B5-D5</f>
        <v> $ 11,263,381.28 </v>
      </c>
      <c r="G5" s="412" t="str">
        <f>F5/B8</f>
        <v>30%</v>
      </c>
      <c r="H5" s="306"/>
      <c r="I5" s="306"/>
      <c r="J5" s="306"/>
      <c r="K5" s="306"/>
      <c r="L5" s="306"/>
      <c r="M5" s="306"/>
      <c r="N5" s="306" t="s">
        <v>811</v>
      </c>
      <c r="T5" s="306"/>
      <c r="U5" s="306"/>
      <c r="V5" s="306"/>
      <c r="W5" s="306"/>
      <c r="X5" s="306"/>
      <c r="Y5" s="306"/>
      <c r="Z5" s="306"/>
    </row>
    <row r="6" ht="12.75" customHeight="1">
      <c r="A6" s="364" t="s">
        <v>598</v>
      </c>
      <c r="B6" s="393" t="str">
        <f>'E-Cal Inv.'!I18</f>
        <v> $ 3,295,484.63 </v>
      </c>
      <c r="C6" s="411" t="str">
        <f t="shared" si="1"/>
        <v>9%</v>
      </c>
      <c r="D6" s="393" t="str">
        <f>'E-Cal Inv.'!I14</f>
        <v> $ 1,327,712.59 </v>
      </c>
      <c r="E6" s="411" t="str">
        <f>D6/B8</f>
        <v>4%</v>
      </c>
      <c r="F6" s="393" t="str">
        <f t="shared" si="2"/>
        <v> $ 1,967,772.04 </v>
      </c>
      <c r="G6" s="412" t="str">
        <f>F6/B8</f>
        <v>5%</v>
      </c>
      <c r="H6" s="306"/>
      <c r="I6" s="306"/>
      <c r="J6" s="306"/>
      <c r="K6" s="306"/>
      <c r="L6" s="306"/>
      <c r="M6" s="306"/>
      <c r="N6" s="306" t="s">
        <v>812</v>
      </c>
      <c r="T6" s="306"/>
      <c r="U6" s="306"/>
      <c r="V6" s="306"/>
      <c r="W6" s="306"/>
      <c r="X6" s="306"/>
      <c r="Y6" s="306"/>
      <c r="Z6" s="306"/>
    </row>
    <row r="7" ht="12.75" customHeight="1">
      <c r="A7" s="364" t="s">
        <v>599</v>
      </c>
      <c r="B7" s="393" t="str">
        <f>'E-Cal Inv.'!I23</f>
        <v> $ 6,236,087.53 </v>
      </c>
      <c r="C7" s="411" t="str">
        <f t="shared" si="1"/>
        <v>17%</v>
      </c>
      <c r="D7" s="393">
        <v>0.0</v>
      </c>
      <c r="E7" s="411" t="str">
        <f>D7/B8</f>
        <v>0%</v>
      </c>
      <c r="F7" s="393" t="str">
        <f t="shared" si="2"/>
        <v> $ 6,236,087.53 </v>
      </c>
      <c r="G7" s="412" t="str">
        <f>F7/B8</f>
        <v>17%</v>
      </c>
      <c r="H7" s="306"/>
      <c r="I7" s="306"/>
      <c r="J7" s="306"/>
      <c r="K7" s="306"/>
      <c r="L7" s="306"/>
      <c r="M7" s="306" t="s">
        <v>600</v>
      </c>
      <c r="N7" t="s">
        <v>813</v>
      </c>
      <c r="O7">
        <v>0.22</v>
      </c>
      <c r="P7" t="s">
        <v>814</v>
      </c>
      <c r="T7" s="306"/>
      <c r="U7" s="306"/>
      <c r="V7" s="306"/>
      <c r="W7" s="306"/>
      <c r="X7" s="306"/>
      <c r="Y7" s="306"/>
      <c r="Z7" s="306"/>
    </row>
    <row r="8" ht="13.5" customHeight="1">
      <c r="A8" s="375" t="s">
        <v>282</v>
      </c>
      <c r="B8" s="413" t="str">
        <f t="shared" ref="B8:D8" si="3">SUM(B5:B7)</f>
        <v> $ 37,620,175.04 </v>
      </c>
      <c r="C8" s="414" t="str">
        <f t="shared" si="3"/>
        <v>100%</v>
      </c>
      <c r="D8" s="413" t="str">
        <f t="shared" si="3"/>
        <v> $ 18,152,934.19 </v>
      </c>
      <c r="E8" s="414" t="str">
        <f>D8/B8</f>
        <v>48%</v>
      </c>
      <c r="F8" s="413" t="str">
        <f t="shared" ref="F8:G8" si="4">SUM(F5:F7)</f>
        <v> $ 19,467,240.85 </v>
      </c>
      <c r="G8" s="415" t="str">
        <f t="shared" si="4"/>
        <v>52%</v>
      </c>
      <c r="H8" s="306"/>
      <c r="I8" s="306"/>
      <c r="J8" s="306"/>
      <c r="K8" s="306"/>
      <c r="L8" s="306"/>
      <c r="M8" s="306" t="s">
        <v>815</v>
      </c>
      <c r="N8" s="311">
        <v>0.04</v>
      </c>
      <c r="O8">
        <v>0.04</v>
      </c>
      <c r="T8" s="306"/>
      <c r="U8" s="306"/>
      <c r="V8" s="306"/>
      <c r="W8" s="306"/>
      <c r="X8" s="306"/>
      <c r="Y8" s="306"/>
      <c r="Z8" s="306"/>
    </row>
    <row r="9" ht="14.25" customHeight="1">
      <c r="A9" s="201"/>
      <c r="B9" s="397"/>
      <c r="C9" s="416"/>
      <c r="D9" s="397"/>
      <c r="E9" s="397"/>
      <c r="F9" s="397"/>
      <c r="G9" s="397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</row>
    <row r="10" ht="16.5" customHeight="1">
      <c r="A10" s="559" t="s">
        <v>816</v>
      </c>
      <c r="B10" s="560"/>
      <c r="C10" s="560"/>
      <c r="D10" s="560"/>
      <c r="E10" s="560"/>
      <c r="F10" s="560"/>
      <c r="G10" s="560"/>
      <c r="H10" s="560"/>
      <c r="I10" s="561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</row>
    <row r="11" ht="12.75" customHeight="1">
      <c r="A11" s="562" t="s">
        <v>817</v>
      </c>
      <c r="B11" s="563" t="s">
        <v>818</v>
      </c>
      <c r="C11" s="563" t="s">
        <v>819</v>
      </c>
      <c r="D11" s="563" t="s">
        <v>820</v>
      </c>
      <c r="E11" s="563" t="s">
        <v>819</v>
      </c>
      <c r="F11" s="563" t="s">
        <v>821</v>
      </c>
      <c r="G11" s="563" t="s">
        <v>820</v>
      </c>
      <c r="H11" s="563"/>
      <c r="I11" s="564" t="s">
        <v>822</v>
      </c>
      <c r="J11" s="306"/>
      <c r="K11" s="306"/>
      <c r="L11" s="306"/>
      <c r="M11" s="306" t="s">
        <v>600</v>
      </c>
      <c r="N11" t="s">
        <v>601</v>
      </c>
      <c r="O11">
        <v>0.15</v>
      </c>
      <c r="P11" t="s">
        <v>602</v>
      </c>
      <c r="T11" s="306"/>
      <c r="U11" s="306"/>
      <c r="V11" s="306"/>
      <c r="W11" s="306"/>
      <c r="X11" s="306"/>
      <c r="Y11" s="306"/>
      <c r="Z11" s="306"/>
    </row>
    <row r="12" ht="13.5" customHeight="1">
      <c r="A12" s="565"/>
      <c r="B12" s="566"/>
      <c r="C12" s="566" t="s">
        <v>823</v>
      </c>
      <c r="D12" s="566" t="s">
        <v>823</v>
      </c>
      <c r="E12" s="566" t="s">
        <v>530</v>
      </c>
      <c r="F12" s="566" t="s">
        <v>824</v>
      </c>
      <c r="G12" s="566" t="s">
        <v>530</v>
      </c>
      <c r="H12" s="566" t="s">
        <v>825</v>
      </c>
      <c r="I12" s="567" t="s">
        <v>826</v>
      </c>
      <c r="J12" s="306"/>
      <c r="K12" s="306"/>
      <c r="L12" s="306"/>
      <c r="M12" s="306"/>
      <c r="N12" s="311"/>
      <c r="P12" t="s">
        <v>603</v>
      </c>
      <c r="T12" s="306"/>
      <c r="U12" s="306"/>
      <c r="V12" s="306"/>
      <c r="W12" s="306"/>
      <c r="X12" s="306"/>
      <c r="Y12" s="306"/>
      <c r="Z12" s="306"/>
    </row>
    <row r="13" ht="13.5" customHeight="1">
      <c r="A13" s="568" t="str">
        <f>'Marcha Credito Act. Fijo NO REN'!B13</f>
        <v>1/4/-1</v>
      </c>
      <c r="B13" s="471" t="str">
        <f>'Marcha Credito Act. Fijo NO REN'!C13</f>
        <v> $ 8,412,610.80 </v>
      </c>
      <c r="C13" s="471"/>
      <c r="D13" s="471"/>
      <c r="E13" s="471"/>
      <c r="F13" s="378"/>
      <c r="G13" s="471"/>
      <c r="H13" s="569"/>
      <c r="I13" s="570" t="str">
        <f>'Marcha Credito Act. Fijo NO REN'!J13</f>
        <v> $ 336,504.43 </v>
      </c>
      <c r="J13" s="306"/>
      <c r="K13" s="306"/>
      <c r="L13" s="306"/>
      <c r="M13" s="306" t="s">
        <v>827</v>
      </c>
      <c r="T13" s="306"/>
      <c r="U13" s="306"/>
      <c r="V13" s="306"/>
      <c r="W13" s="306"/>
      <c r="X13" s="306"/>
      <c r="Y13" s="306"/>
      <c r="Z13" s="306"/>
    </row>
    <row r="14" ht="12.75" customHeight="1">
      <c r="A14" s="571" t="str">
        <f>'Marcha Credito Act. Fijo NO REN'!B14</f>
        <v>1/8/-1</v>
      </c>
      <c r="B14" s="393" t="str">
        <f>'Marcha Credito Act. Fijo NO REN'!C14</f>
        <v> $ 16,825,221.60 </v>
      </c>
      <c r="C14" s="393"/>
      <c r="D14" s="393" t="str">
        <f>'Marcha Credito Act. Fijo NO REN'!E14</f>
        <v> $ 616,924.79 </v>
      </c>
      <c r="E14" s="393"/>
      <c r="F14" s="366"/>
      <c r="G14" s="393"/>
      <c r="H14" s="492"/>
      <c r="I14" s="426" t="str">
        <f>'Marcha Credito Act. Fijo NO REN'!J14</f>
        <v> $ 336,504.43 </v>
      </c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</row>
    <row r="15" ht="12.75" customHeight="1">
      <c r="A15" s="571" t="str">
        <f>'Marcha Credito Act. Fijo NO REN'!B15</f>
        <v>1/12/-1</v>
      </c>
      <c r="B15" s="393" t="str">
        <f>'Marcha Credito Act. Fijo NO REN'!C15</f>
        <v> $ 16,825,221.60 </v>
      </c>
      <c r="C15" s="393"/>
      <c r="D15" s="393" t="str">
        <f>'Marcha Credito Act. Fijo NO REN'!E15</f>
        <v> $ 1,233,849.58 </v>
      </c>
      <c r="E15" s="393"/>
      <c r="F15" s="366"/>
      <c r="G15" s="393"/>
      <c r="H15" s="492"/>
      <c r="I15" s="42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</row>
    <row r="16" ht="12.75" customHeight="1">
      <c r="A16" s="571"/>
      <c r="B16" s="393"/>
      <c r="C16" s="393"/>
      <c r="D16" s="393"/>
      <c r="E16" s="393"/>
      <c r="F16" s="366"/>
      <c r="G16" s="393"/>
      <c r="H16" s="492"/>
      <c r="I16" s="42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</row>
    <row r="17" ht="12.75" customHeight="1">
      <c r="A17" s="571"/>
      <c r="B17" s="393"/>
      <c r="C17" s="393"/>
      <c r="D17" s="393"/>
      <c r="E17" s="393"/>
      <c r="F17" s="366"/>
      <c r="G17" s="393"/>
      <c r="H17" s="492"/>
      <c r="I17" s="42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</row>
    <row r="18" ht="12.75" customHeight="1">
      <c r="A18" s="571"/>
      <c r="B18" s="393"/>
      <c r="C18" s="393"/>
      <c r="D18" s="393"/>
      <c r="E18" s="393"/>
      <c r="F18" s="366"/>
      <c r="G18" s="393"/>
      <c r="H18" s="492"/>
      <c r="I18" s="42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</row>
    <row r="19" ht="12.75" customHeight="1">
      <c r="A19" s="571"/>
      <c r="B19" s="393"/>
      <c r="C19" s="393"/>
      <c r="D19" s="393"/>
      <c r="E19" s="393"/>
      <c r="F19" s="366"/>
      <c r="G19" s="393"/>
      <c r="H19" s="492"/>
      <c r="I19" s="42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</row>
    <row r="20" ht="13.5" customHeight="1">
      <c r="A20" s="572"/>
      <c r="B20" s="573"/>
      <c r="C20" s="573"/>
      <c r="D20" s="461"/>
      <c r="E20" s="573"/>
      <c r="F20" s="370"/>
      <c r="G20" s="461"/>
      <c r="H20" s="574"/>
      <c r="I20" s="575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</row>
    <row r="21" ht="14.25" customHeight="1">
      <c r="A21" s="325" t="s">
        <v>828</v>
      </c>
      <c r="B21" s="576"/>
      <c r="C21" s="576"/>
      <c r="D21" s="577" t="str">
        <f>SUM(D13:D20)</f>
        <v> $ 1,850,774.38 </v>
      </c>
      <c r="E21" s="576"/>
      <c r="F21" s="578"/>
      <c r="G21" s="577" t="str">
        <f>D21</f>
        <v> $ 1,850,774.38 </v>
      </c>
      <c r="H21" s="311"/>
      <c r="I21" s="577" t="str">
        <f>SUM(I13:I20)</f>
        <v> $ 673,008.86 </v>
      </c>
      <c r="J21" s="306"/>
      <c r="K21" s="579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</row>
    <row r="22" ht="13.5" customHeight="1">
      <c r="A22" s="580" t="s">
        <v>829</v>
      </c>
      <c r="B22" s="471" t="str">
        <f>'Marcha Credito Act. Fijo NO REN'!C22</f>
        <v> $ 16,825,221.60 </v>
      </c>
      <c r="C22" s="471"/>
      <c r="D22" s="425"/>
      <c r="E22" s="471"/>
      <c r="F22" s="378"/>
      <c r="G22" s="425"/>
      <c r="H22" s="569"/>
      <c r="I22" s="519"/>
      <c r="J22" s="306"/>
      <c r="K22" s="306"/>
      <c r="L22" s="306" t="s">
        <v>830</v>
      </c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</row>
    <row r="23" ht="12.75" customHeight="1">
      <c r="A23" s="581" t="s">
        <v>831</v>
      </c>
      <c r="B23" s="393" t="str">
        <f>B22+$D$6-C23</f>
        <v> $ 16,470,412.03 </v>
      </c>
      <c r="C23" s="393" t="str">
        <f>'Marcha Credito Act. Fijo NO REN'!D23</f>
        <v> $ 1,682,522.16 </v>
      </c>
      <c r="D23" s="427" t="str">
        <f>(B22*O7/2)+(D6*O11/2)</f>
        <v> $ 1,950,352.82 </v>
      </c>
      <c r="E23" s="393"/>
      <c r="F23" s="366"/>
      <c r="G23" s="393"/>
      <c r="H23" s="492"/>
      <c r="I23" s="426"/>
      <c r="J23" s="219" t="s">
        <v>832</v>
      </c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</row>
    <row r="24" ht="12.75" customHeight="1">
      <c r="A24" s="581" t="s">
        <v>833</v>
      </c>
      <c r="B24" s="393" t="str">
        <f t="shared" ref="B24:B32" si="5">B23-C24</f>
        <v> $ 14,787,889.87 </v>
      </c>
      <c r="C24" s="393" t="str">
        <f>'Marcha Credito Act. Fijo NO REN'!D24</f>
        <v> $ 1,682,522.16 </v>
      </c>
      <c r="D24" s="393" t="str">
        <f t="shared" ref="D24:D32" si="6">((B23-$D$6)*$O$7/2)+($D$6*$O$11/2)</f>
        <v> $ 1,765,275.38 </v>
      </c>
      <c r="E24" s="393" t="str">
        <f>C23+C24</f>
        <v> $ 3,365,044.32 </v>
      </c>
      <c r="F24" s="393" t="str">
        <f>(B24+B22)/2</f>
        <v> $ 15,806,555.73 </v>
      </c>
      <c r="G24" s="393" t="str">
        <f>D23+D24</f>
        <v> $ 3,715,628.20 </v>
      </c>
      <c r="H24" s="411" t="str">
        <f>G24/F24</f>
        <v>24%</v>
      </c>
      <c r="I24" s="426"/>
      <c r="J24" s="223" t="s">
        <v>557</v>
      </c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</row>
    <row r="25" ht="12.75" customHeight="1">
      <c r="A25" s="581" t="s">
        <v>834</v>
      </c>
      <c r="B25" s="393" t="str">
        <f t="shared" si="5"/>
        <v> $ 13,105,367.71 </v>
      </c>
      <c r="C25" s="393" t="str">
        <f>'Marcha Credito Act. Fijo NO REN'!D25</f>
        <v> $ 1,682,522.16 </v>
      </c>
      <c r="D25" s="393" t="str">
        <f t="shared" si="6"/>
        <v> $ 1,580,197.94 </v>
      </c>
      <c r="E25" s="393"/>
      <c r="F25" s="393"/>
      <c r="G25" s="393"/>
      <c r="H25" s="411"/>
      <c r="I25" s="42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</row>
    <row r="26" ht="12.75" customHeight="1">
      <c r="A26" s="581" t="s">
        <v>835</v>
      </c>
      <c r="B26" s="393" t="str">
        <f t="shared" si="5"/>
        <v> $ 11,422,845.55 </v>
      </c>
      <c r="C26" s="393" t="str">
        <f>'Marcha Credito Act. Fijo NO REN'!D26</f>
        <v> $ 1,682,522.16 </v>
      </c>
      <c r="D26" s="393" t="str">
        <f t="shared" si="6"/>
        <v> $ 1,395,120.51 </v>
      </c>
      <c r="E26" s="393" t="str">
        <f>C25+C26</f>
        <v> $ 3,365,044.32 </v>
      </c>
      <c r="F26" s="393" t="str">
        <f>(B26+B24)/2</f>
        <v> $ 13,105,367.71 </v>
      </c>
      <c r="G26" s="393" t="str">
        <f>D25+D26</f>
        <v> $ 2,975,318.45 </v>
      </c>
      <c r="H26" s="411" t="str">
        <f>G26/F26</f>
        <v>23%</v>
      </c>
      <c r="I26" s="42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</row>
    <row r="27" ht="12.75" customHeight="1">
      <c r="A27" s="581" t="s">
        <v>836</v>
      </c>
      <c r="B27" s="393" t="str">
        <f t="shared" si="5"/>
        <v> $ 9,740,323.39 </v>
      </c>
      <c r="C27" s="393" t="str">
        <f>'Marcha Credito Act. Fijo NO REN'!D27</f>
        <v> $ 1,682,522.16 </v>
      </c>
      <c r="D27" s="393" t="str">
        <f t="shared" si="6"/>
        <v> $ 1,210,043.07 </v>
      </c>
      <c r="E27" s="393"/>
      <c r="F27" s="393"/>
      <c r="G27" s="393"/>
      <c r="H27" s="411"/>
      <c r="I27" s="42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</row>
    <row r="28" ht="12.75" customHeight="1">
      <c r="A28" s="581" t="s">
        <v>837</v>
      </c>
      <c r="B28" s="393" t="str">
        <f t="shared" si="5"/>
        <v> $ 8,057,801.23 </v>
      </c>
      <c r="C28" s="393" t="str">
        <f>'Marcha Credito Act. Fijo NO REN'!D28</f>
        <v> $ 1,682,522.16 </v>
      </c>
      <c r="D28" s="393" t="str">
        <f t="shared" si="6"/>
        <v> $ 1,024,965.63 </v>
      </c>
      <c r="E28" s="393" t="str">
        <f>C27+C28</f>
        <v> $ 3,365,044.32 </v>
      </c>
      <c r="F28" s="393" t="str">
        <f>(B28+B26)/2</f>
        <v> $ 9,740,323.39 </v>
      </c>
      <c r="G28" s="393" t="str">
        <f>D27+D28</f>
        <v> $ 2,235,008.70 </v>
      </c>
      <c r="H28" s="411" t="str">
        <f>G28/F28</f>
        <v>23%</v>
      </c>
      <c r="I28" s="42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</row>
    <row r="29" ht="12.75" customHeight="1">
      <c r="A29" s="581" t="s">
        <v>838</v>
      </c>
      <c r="B29" s="393" t="str">
        <f t="shared" si="5"/>
        <v> $ 6,375,279.07 </v>
      </c>
      <c r="C29" s="393" t="str">
        <f>'Marcha Credito Act. Fijo NO REN'!D29</f>
        <v> $ 1,682,522.16 </v>
      </c>
      <c r="D29" s="393" t="str">
        <f t="shared" si="6"/>
        <v> $ 839,888.19 </v>
      </c>
      <c r="E29" s="393"/>
      <c r="F29" s="393"/>
      <c r="G29" s="393"/>
      <c r="H29" s="411"/>
      <c r="I29" s="42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</row>
    <row r="30" ht="12.75" customHeight="1">
      <c r="A30" s="581" t="s">
        <v>839</v>
      </c>
      <c r="B30" s="393" t="str">
        <f t="shared" si="5"/>
        <v> $ 4,692,756.91 </v>
      </c>
      <c r="C30" s="393" t="str">
        <f>'Marcha Credito Act. Fijo NO REN'!D30</f>
        <v> $ 1,682,522.16 </v>
      </c>
      <c r="D30" s="393" t="str">
        <f t="shared" si="6"/>
        <v> $ 654,810.76 </v>
      </c>
      <c r="E30" s="393" t="str">
        <f>C29+C30</f>
        <v> $ 3,365,044.32 </v>
      </c>
      <c r="F30" s="393" t="str">
        <f>(B30+B28)/2</f>
        <v> $ 6,375,279.07 </v>
      </c>
      <c r="G30" s="393" t="str">
        <f>D29+D30</f>
        <v> $ 1,494,698.95 </v>
      </c>
      <c r="H30" s="411" t="str">
        <f>G30/F30</f>
        <v>23%</v>
      </c>
      <c r="I30" s="42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</row>
    <row r="31" ht="12.75" customHeight="1">
      <c r="A31" s="581" t="s">
        <v>840</v>
      </c>
      <c r="B31" s="393" t="str">
        <f t="shared" si="5"/>
        <v> $ 3,010,234.75 </v>
      </c>
      <c r="C31" s="393" t="str">
        <f>'Marcha Credito Act. Fijo NO REN'!D31</f>
        <v> $ 1,682,522.16 </v>
      </c>
      <c r="D31" s="393" t="str">
        <f t="shared" si="6"/>
        <v> $ 469,733.32 </v>
      </c>
      <c r="E31" s="393"/>
      <c r="F31" s="393"/>
      <c r="G31" s="393"/>
      <c r="H31" s="411"/>
      <c r="I31" s="42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</row>
    <row r="32" ht="12.75" customHeight="1">
      <c r="A32" s="581" t="s">
        <v>841</v>
      </c>
      <c r="B32" s="393" t="str">
        <f t="shared" si="5"/>
        <v> $ 1,327,712.59 </v>
      </c>
      <c r="C32" s="393" t="str">
        <f>'Marcha Credito Act. Fijo NO REN'!D32</f>
        <v> $ 1,682,522.16 </v>
      </c>
      <c r="D32" s="393" t="str">
        <f t="shared" si="6"/>
        <v> $ 284,655.88 </v>
      </c>
      <c r="E32" s="393" t="str">
        <f>C31+C32</f>
        <v> $ 3,365,044.32 </v>
      </c>
      <c r="F32" s="393" t="str">
        <f>(B32+B30)/2</f>
        <v> $ 3,010,234.75 </v>
      </c>
      <c r="G32" s="393" t="str">
        <f>D31+D32</f>
        <v> $ 754,389.20 </v>
      </c>
      <c r="H32" s="411" t="str">
        <f>G32/F32</f>
        <v>25%</v>
      </c>
      <c r="I32" s="42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</row>
    <row r="33" ht="12.75" customHeight="1">
      <c r="A33" s="582"/>
      <c r="B33" s="393"/>
      <c r="C33" s="393"/>
      <c r="D33" s="393"/>
      <c r="E33" s="393"/>
      <c r="F33" s="393"/>
      <c r="G33" s="393"/>
      <c r="H33" s="411"/>
      <c r="I33" s="42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</row>
    <row r="34" ht="12.75" customHeight="1">
      <c r="A34" s="582"/>
      <c r="B34" s="393"/>
      <c r="C34" s="393"/>
      <c r="D34" s="393"/>
      <c r="E34" s="393"/>
      <c r="F34" s="393"/>
      <c r="G34" s="393"/>
      <c r="H34" s="411"/>
      <c r="I34" s="42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</row>
    <row r="35" ht="12.75" customHeight="1">
      <c r="A35" s="582"/>
      <c r="B35" s="393"/>
      <c r="C35" s="393"/>
      <c r="D35" s="393"/>
      <c r="E35" s="393"/>
      <c r="F35" s="366"/>
      <c r="G35" s="393"/>
      <c r="H35" s="492"/>
      <c r="I35" s="42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</row>
    <row r="36" ht="12.75" customHeight="1">
      <c r="A36" s="582"/>
      <c r="B36" s="393"/>
      <c r="C36" s="393"/>
      <c r="D36" s="393"/>
      <c r="E36" s="393"/>
      <c r="F36" s="393"/>
      <c r="G36" s="393"/>
      <c r="H36" s="411"/>
      <c r="I36" s="42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</row>
    <row r="37" ht="12.75" customHeight="1">
      <c r="A37" s="582"/>
      <c r="B37" s="393"/>
      <c r="C37" s="393"/>
      <c r="D37" s="393"/>
      <c r="E37" s="393"/>
      <c r="F37" s="366"/>
      <c r="G37" s="393"/>
      <c r="H37" s="492"/>
      <c r="I37" s="42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</row>
    <row r="38" ht="12.75" customHeight="1">
      <c r="A38" s="582"/>
      <c r="B38" s="393"/>
      <c r="C38" s="393"/>
      <c r="D38" s="393"/>
      <c r="E38" s="393"/>
      <c r="F38" s="393"/>
      <c r="G38" s="393"/>
      <c r="H38" s="411"/>
      <c r="I38" s="42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</row>
    <row r="39" ht="12.75" customHeight="1">
      <c r="A39" s="582"/>
      <c r="B39" s="393"/>
      <c r="C39" s="393"/>
      <c r="D39" s="393"/>
      <c r="E39" s="393"/>
      <c r="F39" s="366"/>
      <c r="G39" s="393"/>
      <c r="H39" s="492"/>
      <c r="I39" s="42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</row>
    <row r="40" ht="12.75" customHeight="1">
      <c r="A40" s="582"/>
      <c r="B40" s="393"/>
      <c r="C40" s="393"/>
      <c r="D40" s="393"/>
      <c r="E40" s="393"/>
      <c r="F40" s="393"/>
      <c r="G40" s="393"/>
      <c r="H40" s="411"/>
      <c r="I40" s="42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</row>
    <row r="41" ht="12.75" customHeight="1">
      <c r="A41" s="582"/>
      <c r="B41" s="393"/>
      <c r="C41" s="393"/>
      <c r="D41" s="393"/>
      <c r="E41" s="393"/>
      <c r="F41" s="366"/>
      <c r="G41" s="393"/>
      <c r="H41" s="492"/>
      <c r="I41" s="42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</row>
    <row r="42" ht="12.75" customHeight="1">
      <c r="A42" s="582"/>
      <c r="B42" s="393"/>
      <c r="C42" s="393"/>
      <c r="D42" s="393"/>
      <c r="E42" s="393"/>
      <c r="F42" s="393"/>
      <c r="G42" s="393"/>
      <c r="H42" s="411"/>
      <c r="I42" s="42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</row>
    <row r="43" ht="12.75" customHeight="1">
      <c r="A43" s="582"/>
      <c r="B43" s="393"/>
      <c r="C43" s="393"/>
      <c r="D43" s="393"/>
      <c r="E43" s="393"/>
      <c r="F43" s="366"/>
      <c r="G43" s="393"/>
      <c r="H43" s="492"/>
      <c r="I43" s="42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</row>
    <row r="44" ht="12.75" customHeight="1">
      <c r="A44" s="582"/>
      <c r="B44" s="393"/>
      <c r="C44" s="393"/>
      <c r="D44" s="393"/>
      <c r="E44" s="393"/>
      <c r="F44" s="393"/>
      <c r="G44" s="393"/>
      <c r="H44" s="411"/>
      <c r="I44" s="42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</row>
    <row r="45" ht="12.75" customHeight="1">
      <c r="A45" s="582"/>
      <c r="B45" s="393"/>
      <c r="C45" s="393"/>
      <c r="D45" s="393"/>
      <c r="E45" s="393"/>
      <c r="F45" s="366"/>
      <c r="G45" s="393"/>
      <c r="H45" s="492"/>
      <c r="I45" s="42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</row>
    <row r="46" ht="12.75" customHeight="1">
      <c r="A46" s="582"/>
      <c r="B46" s="393"/>
      <c r="C46" s="393"/>
      <c r="D46" s="393"/>
      <c r="E46" s="393"/>
      <c r="F46" s="393"/>
      <c r="G46" s="393"/>
      <c r="H46" s="411"/>
      <c r="I46" s="42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</row>
    <row r="47" ht="12.75" customHeight="1">
      <c r="A47" s="582"/>
      <c r="B47" s="393"/>
      <c r="C47" s="393"/>
      <c r="D47" s="393"/>
      <c r="E47" s="393"/>
      <c r="F47" s="366"/>
      <c r="G47" s="393"/>
      <c r="H47" s="492"/>
      <c r="I47" s="42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</row>
    <row r="48" ht="12.75" customHeight="1">
      <c r="A48" s="582"/>
      <c r="B48" s="393"/>
      <c r="C48" s="393"/>
      <c r="D48" s="393"/>
      <c r="E48" s="393"/>
      <c r="F48" s="393"/>
      <c r="G48" s="393"/>
      <c r="H48" s="411"/>
      <c r="I48" s="42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</row>
    <row r="49" ht="12.75" customHeight="1">
      <c r="A49" s="582"/>
      <c r="B49" s="393"/>
      <c r="C49" s="393"/>
      <c r="D49" s="393"/>
      <c r="E49" s="393"/>
      <c r="F49" s="366"/>
      <c r="G49" s="393"/>
      <c r="H49" s="492"/>
      <c r="I49" s="42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</row>
    <row r="50" ht="12.75" customHeight="1">
      <c r="A50" s="582"/>
      <c r="B50" s="393"/>
      <c r="C50" s="393"/>
      <c r="D50" s="393"/>
      <c r="E50" s="393"/>
      <c r="F50" s="393"/>
      <c r="G50" s="393"/>
      <c r="H50" s="411"/>
      <c r="I50" s="42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</row>
    <row r="51" ht="12.75" customHeight="1">
      <c r="A51" s="582"/>
      <c r="B51" s="393"/>
      <c r="C51" s="393"/>
      <c r="D51" s="393"/>
      <c r="E51" s="393"/>
      <c r="F51" s="366"/>
      <c r="G51" s="393"/>
      <c r="H51" s="492"/>
      <c r="I51" s="42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</row>
    <row r="52" ht="12.75" customHeight="1">
      <c r="A52" s="582"/>
      <c r="B52" s="393"/>
      <c r="C52" s="393"/>
      <c r="D52" s="393"/>
      <c r="E52" s="393"/>
      <c r="F52" s="393"/>
      <c r="G52" s="393"/>
      <c r="H52" s="411"/>
      <c r="I52" s="42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</row>
    <row r="53" ht="12.75" customHeight="1">
      <c r="A53" s="571"/>
      <c r="B53" s="393"/>
      <c r="C53" s="393"/>
      <c r="D53" s="393"/>
      <c r="E53" s="393"/>
      <c r="F53" s="366"/>
      <c r="G53" s="393"/>
      <c r="H53" s="492"/>
      <c r="I53" s="42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</row>
    <row r="54" ht="13.5" customHeight="1">
      <c r="A54" s="583" t="s">
        <v>842</v>
      </c>
      <c r="B54" s="413" t="str">
        <f t="shared" ref="B54:E54" si="7">SUM(B22:B32)</f>
        <v> $ 105,815,844.69 </v>
      </c>
      <c r="C54" s="413" t="str">
        <f t="shared" si="7"/>
        <v> $ 16,825,221.60 </v>
      </c>
      <c r="D54" s="413" t="str">
        <f t="shared" si="7"/>
        <v> $ 11,175,043.51 </v>
      </c>
      <c r="E54" s="413" t="str">
        <f t="shared" si="7"/>
        <v> $ 16,825,221.60 </v>
      </c>
      <c r="F54" s="413"/>
      <c r="G54" s="413" t="str">
        <f>SUM(G22:G32)</f>
        <v> $ 11,175,043.51 </v>
      </c>
      <c r="H54" s="413"/>
      <c r="I54" s="413" t="str">
        <f>I21</f>
        <v> $ 673,008.86 </v>
      </c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</row>
    <row r="55" ht="12.75" customHeight="1">
      <c r="A55" s="306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</row>
    <row r="56" ht="12.75" customHeight="1">
      <c r="A56" s="306"/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</row>
    <row r="57" ht="12.75" customHeight="1">
      <c r="A57" s="306"/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</row>
    <row r="58" ht="12.75" customHeight="1">
      <c r="A58" s="306"/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</row>
    <row r="59" ht="12.75" customHeight="1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</row>
    <row r="60" ht="12.75" customHeight="1">
      <c r="A60" s="306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</row>
    <row r="61" ht="12.75" customHeight="1">
      <c r="A61" s="306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</row>
    <row r="62" ht="12.75" customHeigh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</row>
    <row r="63" ht="12.75" customHeight="1">
      <c r="A63" s="306"/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</row>
    <row r="64" ht="12.75" customHeight="1">
      <c r="A64" s="306"/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</row>
    <row r="65" ht="12.75" customHeight="1">
      <c r="A65" s="306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</row>
    <row r="66" ht="12.75" customHeight="1">
      <c r="A66" s="306"/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</row>
    <row r="67" ht="12.75" customHeight="1">
      <c r="A67" s="306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</row>
    <row r="68" ht="12.75" customHeight="1">
      <c r="A68" s="306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</row>
    <row r="69" ht="12.75" customHeight="1">
      <c r="A69" s="306"/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</row>
    <row r="70" ht="12.75" customHeight="1">
      <c r="A70" s="306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</row>
    <row r="71" ht="12.75" customHeight="1">
      <c r="A71" s="306"/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</row>
    <row r="72" ht="12.75" customHeight="1">
      <c r="A72" s="306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</row>
    <row r="73" ht="12.75" customHeight="1">
      <c r="A73" s="306"/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</row>
    <row r="74" ht="12.75" customHeight="1">
      <c r="A74" s="306"/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</row>
    <row r="75" ht="12.75" customHeight="1">
      <c r="A75" s="306"/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</row>
    <row r="76" ht="12.75" customHeight="1">
      <c r="A76" s="306"/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</row>
    <row r="77" ht="12.75" customHeight="1">
      <c r="A77" s="306"/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</row>
    <row r="78" ht="12.75" customHeight="1">
      <c r="A78" s="306"/>
      <c r="B78" s="306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</row>
    <row r="79" ht="12.75" customHeight="1">
      <c r="A79" s="306"/>
      <c r="B79" s="306"/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6"/>
      <c r="Z79" s="306"/>
    </row>
    <row r="80" ht="12.75" customHeight="1">
      <c r="A80" s="306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</row>
    <row r="81" ht="12.75" customHeight="1">
      <c r="A81" s="306"/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</row>
    <row r="82" ht="12.75" customHeight="1">
      <c r="A82" s="306"/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</row>
    <row r="83" ht="12.75" customHeight="1">
      <c r="A83" s="306"/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</row>
    <row r="84" ht="12.75" customHeight="1">
      <c r="A84" s="306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</row>
    <row r="85" ht="12.75" customHeight="1">
      <c r="A85" s="306"/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</row>
    <row r="86" ht="12.75" customHeight="1">
      <c r="A86" s="306"/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</row>
    <row r="87" ht="12.75" customHeight="1">
      <c r="A87" s="306"/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</row>
    <row r="88" ht="12.75" customHeight="1">
      <c r="A88" s="306"/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</row>
    <row r="89" ht="12.75" customHeight="1">
      <c r="A89" s="306"/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</row>
    <row r="90" ht="12.75" customHeight="1">
      <c r="A90" s="306"/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</row>
    <row r="91" ht="12.75" customHeight="1">
      <c r="A91" s="306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</row>
    <row r="92" ht="12.75" customHeigh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</row>
    <row r="93" ht="12.75" customHeight="1">
      <c r="A93" s="306"/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</row>
    <row r="94" ht="12.75" customHeight="1">
      <c r="A94" s="306"/>
      <c r="B94" s="306"/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</row>
    <row r="95" ht="12.75" customHeight="1">
      <c r="A95" s="306"/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</row>
    <row r="96" ht="12.75" customHeight="1">
      <c r="A96" s="306"/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</row>
    <row r="97" ht="12.75" customHeight="1">
      <c r="A97" s="306"/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</row>
    <row r="98" ht="12.75" customHeight="1">
      <c r="A98" s="306"/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</row>
    <row r="99" ht="12.75" customHeight="1">
      <c r="A99" s="306"/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</row>
    <row r="100" ht="12.75" customHeight="1">
      <c r="A100" s="306"/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</row>
    <row r="101" ht="12.75" customHeight="1">
      <c r="A101" s="306"/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</row>
    <row r="102" ht="12.75" customHeight="1">
      <c r="A102" s="306"/>
      <c r="B102" s="306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</row>
    <row r="103" ht="12.75" customHeight="1">
      <c r="A103" s="306"/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</row>
    <row r="104" ht="12.75" customHeight="1">
      <c r="A104" s="306"/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</row>
    <row r="105" ht="12.75" customHeight="1">
      <c r="A105" s="306"/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</row>
    <row r="106" ht="12.75" customHeight="1">
      <c r="A106" s="306"/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</row>
    <row r="107" ht="12.75" customHeight="1">
      <c r="A107" s="306"/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</row>
    <row r="108" ht="12.75" customHeight="1">
      <c r="A108" s="306"/>
      <c r="B108" s="306"/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306"/>
    </row>
    <row r="109" ht="12.75" customHeight="1">
      <c r="A109" s="306"/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6"/>
    </row>
    <row r="110" ht="12.75" customHeight="1">
      <c r="A110" s="306"/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</row>
    <row r="111" ht="12.75" customHeight="1">
      <c r="A111" s="306"/>
      <c r="B111" s="306"/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6"/>
      <c r="X111" s="306"/>
      <c r="Y111" s="306"/>
      <c r="Z111" s="306"/>
    </row>
    <row r="112" ht="12.75" customHeight="1">
      <c r="A112" s="306"/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</row>
    <row r="113" ht="12.75" customHeight="1">
      <c r="A113" s="306"/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</row>
    <row r="114" ht="12.75" customHeight="1">
      <c r="A114" s="306"/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</row>
    <row r="115" ht="12.75" customHeight="1">
      <c r="A115" s="306"/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  <c r="Z115" s="306"/>
    </row>
    <row r="116" ht="12.75" customHeight="1">
      <c r="A116" s="306"/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</row>
    <row r="117" ht="12.75" customHeight="1">
      <c r="A117" s="306"/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  <c r="S117" s="306"/>
      <c r="T117" s="306"/>
      <c r="U117" s="306"/>
      <c r="V117" s="306"/>
      <c r="W117" s="306"/>
      <c r="X117" s="306"/>
      <c r="Y117" s="306"/>
      <c r="Z117" s="306"/>
    </row>
    <row r="118" ht="12.75" customHeight="1">
      <c r="A118" s="306"/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R118" s="306"/>
      <c r="S118" s="306"/>
      <c r="T118" s="306"/>
      <c r="U118" s="306"/>
      <c r="V118" s="306"/>
      <c r="W118" s="306"/>
      <c r="X118" s="306"/>
      <c r="Y118" s="306"/>
      <c r="Z118" s="306"/>
    </row>
    <row r="119" ht="12.75" customHeight="1">
      <c r="A119" s="306"/>
      <c r="B119" s="306"/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</row>
    <row r="120" ht="12.75" customHeight="1">
      <c r="A120" s="306"/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</row>
    <row r="121" ht="12.75" customHeight="1">
      <c r="A121" s="306"/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</row>
    <row r="122" ht="12.75" customHeigh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  <c r="X122" s="306"/>
      <c r="Y122" s="306"/>
      <c r="Z122" s="306"/>
    </row>
    <row r="123" ht="12.75" customHeight="1">
      <c r="A123" s="306"/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</row>
    <row r="124" ht="12.75" customHeight="1">
      <c r="A124" s="306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</row>
    <row r="125" ht="12.75" customHeight="1">
      <c r="A125" s="306"/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</row>
    <row r="126" ht="12.75" customHeight="1">
      <c r="A126" s="306"/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</row>
    <row r="127" ht="12.75" customHeight="1">
      <c r="A127" s="306"/>
      <c r="B127" s="306"/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</row>
    <row r="128" ht="12.75" customHeight="1">
      <c r="A128" s="306"/>
      <c r="B128" s="306"/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</row>
    <row r="129" ht="12.75" customHeight="1">
      <c r="A129" s="306"/>
      <c r="B129" s="306"/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</row>
    <row r="130" ht="12.75" customHeight="1">
      <c r="A130" s="306"/>
      <c r="B130" s="306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</row>
    <row r="131" ht="12.75" customHeight="1">
      <c r="A131" s="306"/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</row>
    <row r="132" ht="12.75" customHeight="1">
      <c r="A132" s="306"/>
      <c r="B132" s="306"/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306"/>
    </row>
    <row r="133" ht="12.75" customHeight="1">
      <c r="A133" s="306"/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  <c r="Z133" s="306"/>
    </row>
    <row r="134" ht="12.75" customHeight="1">
      <c r="A134" s="306"/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</row>
    <row r="135" ht="12.75" customHeight="1">
      <c r="A135" s="306"/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</row>
    <row r="136" ht="12.75" customHeight="1">
      <c r="A136" s="306"/>
      <c r="B136" s="306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</row>
    <row r="137" ht="12.75" customHeight="1">
      <c r="A137" s="306"/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  <c r="Y137" s="306"/>
      <c r="Z137" s="306"/>
    </row>
    <row r="138" ht="12.75" customHeight="1">
      <c r="A138" s="306"/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</row>
    <row r="139" ht="12.75" customHeight="1">
      <c r="A139" s="306"/>
      <c r="B139" s="306"/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</row>
    <row r="140" ht="12.75" customHeight="1">
      <c r="A140" s="306"/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</row>
    <row r="141" ht="12.75" customHeight="1">
      <c r="A141" s="306"/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</row>
    <row r="142" ht="12.75" customHeight="1">
      <c r="A142" s="306"/>
      <c r="B142" s="306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</row>
    <row r="143" ht="12.75" customHeight="1">
      <c r="A143" s="306"/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6"/>
      <c r="U143" s="306"/>
      <c r="V143" s="306"/>
      <c r="W143" s="306"/>
      <c r="X143" s="306"/>
      <c r="Y143" s="306"/>
      <c r="Z143" s="306"/>
    </row>
    <row r="144" ht="12.75" customHeight="1">
      <c r="A144" s="306"/>
      <c r="B144" s="306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306"/>
    </row>
    <row r="145" ht="12.75" customHeight="1">
      <c r="A145" s="306"/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</row>
    <row r="146" ht="12.75" customHeight="1">
      <c r="A146" s="306"/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</row>
    <row r="147" ht="12.75" customHeight="1">
      <c r="A147" s="306"/>
      <c r="B147" s="306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  <c r="Z147" s="306"/>
    </row>
    <row r="148" ht="12.75" customHeight="1">
      <c r="A148" s="306"/>
      <c r="B148" s="306"/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  <c r="Z148" s="306"/>
    </row>
    <row r="149" ht="12.75" customHeight="1">
      <c r="A149" s="306"/>
      <c r="B149" s="306"/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</row>
    <row r="150" ht="12.75" customHeight="1">
      <c r="A150" s="306"/>
      <c r="B150" s="306"/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</row>
    <row r="151" ht="12.75" customHeight="1">
      <c r="A151" s="306"/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306"/>
      <c r="Y151" s="306"/>
      <c r="Z151" s="306"/>
    </row>
    <row r="152" ht="12.75" customHeight="1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</row>
    <row r="153" ht="12.75" customHeight="1">
      <c r="A153" s="306"/>
      <c r="B153" s="306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  <c r="Z153" s="306"/>
    </row>
    <row r="154" ht="12.75" customHeight="1">
      <c r="A154" s="306"/>
      <c r="B154" s="306"/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306"/>
      <c r="X154" s="306"/>
      <c r="Y154" s="306"/>
      <c r="Z154" s="306"/>
    </row>
    <row r="155" ht="12.75" customHeight="1">
      <c r="A155" s="306"/>
      <c r="B155" s="306"/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306"/>
      <c r="X155" s="306"/>
      <c r="Y155" s="306"/>
      <c r="Z155" s="306"/>
    </row>
    <row r="156" ht="12.75" customHeight="1">
      <c r="A156" s="306"/>
      <c r="B156" s="306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306"/>
      <c r="X156" s="306"/>
      <c r="Y156" s="306"/>
      <c r="Z156" s="306"/>
    </row>
    <row r="157" ht="12.75" customHeight="1">
      <c r="A157" s="306"/>
      <c r="B157" s="306"/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306"/>
    </row>
    <row r="158" ht="12.75" customHeight="1">
      <c r="A158" s="306"/>
      <c r="B158" s="306"/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</row>
    <row r="159" ht="12.75" customHeight="1">
      <c r="A159" s="306"/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</row>
    <row r="160" ht="12.75" customHeight="1">
      <c r="A160" s="306"/>
      <c r="B160" s="306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  <c r="Z160" s="306"/>
    </row>
    <row r="161" ht="12.75" customHeight="1">
      <c r="A161" s="306"/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</row>
    <row r="162" ht="12.75" customHeight="1">
      <c r="A162" s="306"/>
      <c r="B162" s="306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</row>
    <row r="163" ht="12.75" customHeight="1">
      <c r="A163" s="306"/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</row>
    <row r="164" ht="12.75" customHeight="1">
      <c r="A164" s="306"/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</row>
    <row r="165" ht="12.75" customHeight="1">
      <c r="A165" s="306"/>
      <c r="B165" s="306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</row>
    <row r="166" ht="12.75" customHeight="1">
      <c r="A166" s="306"/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</row>
    <row r="167" ht="12.75" customHeight="1">
      <c r="A167" s="306"/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</row>
    <row r="168" ht="12.75" customHeight="1">
      <c r="A168" s="306"/>
      <c r="B168" s="306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  <c r="Z168" s="306"/>
    </row>
    <row r="169" ht="12.75" customHeight="1">
      <c r="A169" s="306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6"/>
      <c r="T169" s="306"/>
      <c r="U169" s="306"/>
      <c r="V169" s="306"/>
      <c r="W169" s="306"/>
      <c r="X169" s="306"/>
      <c r="Y169" s="306"/>
      <c r="Z169" s="306"/>
    </row>
    <row r="170" ht="12.75" customHeight="1">
      <c r="A170" s="306"/>
      <c r="B170" s="306"/>
      <c r="C170" s="306"/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</row>
    <row r="171" ht="12.75" customHeight="1">
      <c r="A171" s="306"/>
      <c r="B171" s="306"/>
      <c r="C171" s="306"/>
      <c r="D171" s="306"/>
      <c r="E171" s="306"/>
      <c r="F171" s="306"/>
      <c r="G171" s="306"/>
      <c r="H171" s="306"/>
      <c r="I171" s="306"/>
      <c r="J171" s="306"/>
      <c r="K171" s="306"/>
      <c r="L171" s="306"/>
      <c r="M171" s="306"/>
      <c r="N171" s="306"/>
      <c r="O171" s="306"/>
      <c r="P171" s="306"/>
      <c r="Q171" s="306"/>
      <c r="R171" s="306"/>
      <c r="S171" s="306"/>
      <c r="T171" s="306"/>
      <c r="U171" s="306"/>
      <c r="V171" s="306"/>
      <c r="W171" s="306"/>
      <c r="X171" s="306"/>
      <c r="Y171" s="306"/>
      <c r="Z171" s="306"/>
    </row>
    <row r="172" ht="12.75" customHeight="1">
      <c r="A172" s="306"/>
      <c r="B172" s="306"/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</row>
    <row r="173" ht="12.75" customHeight="1">
      <c r="A173" s="306"/>
      <c r="B173" s="306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306"/>
      <c r="X173" s="306"/>
      <c r="Y173" s="306"/>
      <c r="Z173" s="306"/>
    </row>
    <row r="174" ht="12.75" customHeight="1">
      <c r="A174" s="306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  <c r="Z174" s="306"/>
    </row>
    <row r="175" ht="12.75" customHeight="1">
      <c r="A175" s="306"/>
      <c r="B175" s="306"/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</row>
    <row r="176" ht="12.75" customHeight="1">
      <c r="A176" s="306"/>
      <c r="B176" s="306"/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/>
      <c r="Z176" s="306"/>
    </row>
    <row r="177" ht="12.75" customHeight="1">
      <c r="A177" s="306"/>
      <c r="B177" s="306"/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306"/>
      <c r="X177" s="306"/>
      <c r="Y177" s="306"/>
      <c r="Z177" s="306"/>
    </row>
    <row r="178" ht="12.75" customHeight="1">
      <c r="A178" s="306"/>
      <c r="B178" s="306"/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306"/>
    </row>
    <row r="179" ht="12.75" customHeight="1">
      <c r="A179" s="306"/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/>
      <c r="V179" s="306"/>
      <c r="W179" s="306"/>
      <c r="X179" s="306"/>
      <c r="Y179" s="306"/>
      <c r="Z179" s="306"/>
    </row>
    <row r="180" ht="12.75" customHeight="1">
      <c r="A180" s="306"/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</row>
    <row r="181" ht="12.75" customHeight="1">
      <c r="A181" s="306"/>
      <c r="B181" s="306"/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  <c r="Y181" s="306"/>
      <c r="Z181" s="306"/>
    </row>
    <row r="182" ht="12.75" customHeigh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  <c r="Z182" s="306"/>
    </row>
    <row r="183" ht="12.75" customHeight="1">
      <c r="A183" s="306"/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</row>
    <row r="184" ht="12.75" customHeight="1">
      <c r="A184" s="306"/>
      <c r="B184" s="306"/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</row>
    <row r="185" ht="12.75" customHeight="1">
      <c r="A185" s="306"/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</row>
    <row r="186" ht="12.75" customHeight="1">
      <c r="A186" s="306"/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</row>
    <row r="187" ht="12.75" customHeight="1">
      <c r="A187" s="306"/>
      <c r="B187" s="306"/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</row>
    <row r="188" ht="12.75" customHeight="1">
      <c r="A188" s="306"/>
      <c r="B188" s="306"/>
      <c r="C188" s="306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  <c r="Z188" s="306"/>
    </row>
    <row r="189" ht="12.75" customHeight="1">
      <c r="A189" s="306"/>
      <c r="B189" s="306"/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</row>
    <row r="190" ht="12.75" customHeight="1">
      <c r="A190" s="306"/>
      <c r="B190" s="306"/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306"/>
    </row>
    <row r="191" ht="12.75" customHeight="1">
      <c r="A191" s="306"/>
      <c r="B191" s="306"/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</row>
    <row r="192" ht="12.75" customHeight="1">
      <c r="A192" s="306"/>
      <c r="B192" s="306"/>
      <c r="C192" s="306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</row>
    <row r="193" ht="12.75" customHeight="1">
      <c r="A193" s="306"/>
      <c r="B193" s="306"/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6"/>
      <c r="V193" s="306"/>
      <c r="W193" s="306"/>
      <c r="X193" s="306"/>
      <c r="Y193" s="306"/>
      <c r="Z193" s="306"/>
    </row>
    <row r="194" ht="12.75" customHeight="1">
      <c r="A194" s="306"/>
      <c r="B194" s="306"/>
      <c r="C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</row>
    <row r="195" ht="12.75" customHeight="1">
      <c r="A195" s="306"/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  <c r="Z195" s="306"/>
    </row>
    <row r="196" ht="12.75" customHeight="1">
      <c r="A196" s="306"/>
      <c r="B196" s="306"/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  <c r="Z196" s="306"/>
    </row>
    <row r="197" ht="12.75" customHeight="1">
      <c r="A197" s="306"/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  <c r="S197" s="306"/>
      <c r="T197" s="306"/>
      <c r="U197" s="306"/>
      <c r="V197" s="306"/>
      <c r="W197" s="306"/>
      <c r="X197" s="306"/>
      <c r="Y197" s="306"/>
      <c r="Z197" s="306"/>
    </row>
    <row r="198" ht="12.75" customHeight="1">
      <c r="A198" s="306"/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306"/>
    </row>
    <row r="199" ht="12.75" customHeight="1">
      <c r="A199" s="306"/>
      <c r="B199" s="306"/>
      <c r="C199" s="306"/>
      <c r="D199" s="306"/>
      <c r="E199" s="306"/>
      <c r="F199" s="306"/>
      <c r="G199" s="306"/>
      <c r="H199" s="306"/>
      <c r="I199" s="306"/>
      <c r="J199" s="306"/>
      <c r="K199" s="306"/>
      <c r="L199" s="306"/>
      <c r="M199" s="306"/>
      <c r="N199" s="306"/>
      <c r="O199" s="306"/>
      <c r="P199" s="306"/>
      <c r="Q199" s="306"/>
      <c r="R199" s="306"/>
      <c r="S199" s="306"/>
      <c r="T199" s="306"/>
      <c r="U199" s="306"/>
      <c r="V199" s="306"/>
      <c r="W199" s="306"/>
      <c r="X199" s="306"/>
      <c r="Y199" s="306"/>
      <c r="Z199" s="306"/>
    </row>
    <row r="200" ht="12.75" customHeight="1">
      <c r="A200" s="306"/>
      <c r="B200" s="306"/>
      <c r="C200" s="306"/>
      <c r="D200" s="306"/>
      <c r="E200" s="306"/>
      <c r="F200" s="306"/>
      <c r="G200" s="306"/>
      <c r="H200" s="306"/>
      <c r="I200" s="306"/>
      <c r="J200" s="306"/>
      <c r="K200" s="306"/>
      <c r="L200" s="306"/>
      <c r="M200" s="306"/>
      <c r="N200" s="306"/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  <c r="Z200" s="306"/>
    </row>
    <row r="201" ht="12.75" customHeight="1">
      <c r="A201" s="306"/>
      <c r="B201" s="306"/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  <c r="Z201" s="306"/>
    </row>
    <row r="202" ht="12.75" customHeight="1">
      <c r="A202" s="306"/>
      <c r="B202" s="306"/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  <c r="T202" s="306"/>
      <c r="U202" s="306"/>
      <c r="V202" s="306"/>
      <c r="W202" s="306"/>
      <c r="X202" s="306"/>
      <c r="Y202" s="306"/>
      <c r="Z202" s="306"/>
    </row>
    <row r="203" ht="12.75" customHeight="1">
      <c r="A203" s="306"/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306"/>
    </row>
    <row r="204" ht="12.75" customHeight="1">
      <c r="A204" s="306"/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</row>
    <row r="205" ht="12.75" customHeight="1">
      <c r="A205" s="306"/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</row>
    <row r="206" ht="12.75" customHeight="1">
      <c r="A206" s="306"/>
      <c r="B206" s="306"/>
      <c r="C206" s="306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  <c r="T206" s="306"/>
      <c r="U206" s="306"/>
      <c r="V206" s="306"/>
      <c r="W206" s="306"/>
      <c r="X206" s="306"/>
      <c r="Y206" s="306"/>
      <c r="Z206" s="306"/>
    </row>
    <row r="207" ht="12.75" customHeight="1">
      <c r="A207" s="306"/>
      <c r="B207" s="306"/>
      <c r="C207" s="306"/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  <c r="S207" s="306"/>
      <c r="T207" s="306"/>
      <c r="U207" s="306"/>
      <c r="V207" s="306"/>
      <c r="W207" s="306"/>
      <c r="X207" s="306"/>
      <c r="Y207" s="306"/>
      <c r="Z207" s="306"/>
    </row>
    <row r="208" ht="12.75" customHeight="1">
      <c r="A208" s="306"/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  <c r="T208" s="306"/>
      <c r="U208" s="306"/>
      <c r="V208" s="306"/>
      <c r="W208" s="306"/>
      <c r="X208" s="306"/>
      <c r="Y208" s="306"/>
      <c r="Z208" s="306"/>
    </row>
    <row r="209" ht="12.75" customHeight="1">
      <c r="A209" s="306"/>
      <c r="B209" s="306"/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  <c r="T209" s="306"/>
      <c r="U209" s="306"/>
      <c r="V209" s="306"/>
      <c r="W209" s="306"/>
      <c r="X209" s="306"/>
      <c r="Y209" s="306"/>
      <c r="Z209" s="306"/>
    </row>
    <row r="210" ht="12.75" customHeight="1">
      <c r="A210" s="306"/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/>
      <c r="Y210" s="306"/>
      <c r="Z210" s="306"/>
    </row>
    <row r="211" ht="12.75" customHeight="1">
      <c r="A211" s="306"/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  <c r="X211" s="306"/>
      <c r="Y211" s="306"/>
      <c r="Z211" s="306"/>
    </row>
    <row r="212" ht="12.75" customHeight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  <c r="X212" s="306"/>
      <c r="Y212" s="306"/>
      <c r="Z212" s="306"/>
    </row>
    <row r="213" ht="12.75" customHeight="1">
      <c r="A213" s="306"/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  <c r="T213" s="306"/>
      <c r="U213" s="306"/>
      <c r="V213" s="306"/>
      <c r="W213" s="306"/>
      <c r="X213" s="306"/>
      <c r="Y213" s="306"/>
      <c r="Z213" s="306"/>
    </row>
    <row r="214" ht="12.75" customHeight="1">
      <c r="A214" s="306"/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  <c r="S214" s="306"/>
      <c r="T214" s="306"/>
      <c r="U214" s="306"/>
      <c r="V214" s="306"/>
      <c r="W214" s="306"/>
      <c r="X214" s="306"/>
      <c r="Y214" s="306"/>
      <c r="Z214" s="306"/>
    </row>
    <row r="215" ht="12.75" customHeight="1">
      <c r="A215" s="306"/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  <c r="T215" s="306"/>
      <c r="U215" s="306"/>
      <c r="V215" s="306"/>
      <c r="W215" s="306"/>
      <c r="X215" s="306"/>
      <c r="Y215" s="306"/>
      <c r="Z215" s="306"/>
    </row>
    <row r="216" ht="12.75" customHeight="1">
      <c r="A216" s="306"/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  <c r="T216" s="306"/>
      <c r="U216" s="306"/>
      <c r="V216" s="306"/>
      <c r="W216" s="306"/>
      <c r="X216" s="306"/>
      <c r="Y216" s="306"/>
      <c r="Z216" s="306"/>
    </row>
    <row r="217" ht="12.75" customHeight="1">
      <c r="A217" s="306"/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  <c r="T217" s="306"/>
      <c r="U217" s="306"/>
      <c r="V217" s="306"/>
      <c r="W217" s="306"/>
      <c r="X217" s="306"/>
      <c r="Y217" s="306"/>
      <c r="Z217" s="306"/>
    </row>
    <row r="218" ht="12.75" customHeight="1">
      <c r="A218" s="306"/>
      <c r="B218" s="306"/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  <c r="T218" s="306"/>
      <c r="U218" s="306"/>
      <c r="V218" s="306"/>
      <c r="W218" s="306"/>
      <c r="X218" s="306"/>
      <c r="Y218" s="306"/>
      <c r="Z218" s="306"/>
    </row>
    <row r="219" ht="12.75" customHeight="1">
      <c r="A219" s="306"/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</row>
    <row r="220" ht="12.75" customHeight="1">
      <c r="A220" s="306"/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</row>
    <row r="221" ht="12.75" customHeight="1">
      <c r="A221" s="306"/>
      <c r="B221" s="306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  <c r="Z221" s="306"/>
    </row>
    <row r="222" ht="12.75" customHeight="1">
      <c r="A222" s="306"/>
      <c r="B222" s="306"/>
      <c r="C222" s="306"/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  <c r="S222" s="306"/>
      <c r="T222" s="306"/>
      <c r="U222" s="306"/>
      <c r="V222" s="306"/>
      <c r="W222" s="306"/>
      <c r="X222" s="306"/>
      <c r="Y222" s="306"/>
      <c r="Z222" s="306"/>
    </row>
    <row r="223" ht="12.75" customHeight="1">
      <c r="A223" s="306"/>
      <c r="B223" s="306"/>
      <c r="C223" s="306"/>
      <c r="D223" s="306"/>
      <c r="E223" s="306"/>
      <c r="F223" s="306"/>
      <c r="G223" s="306"/>
      <c r="H223" s="306"/>
      <c r="I223" s="306"/>
      <c r="J223" s="306"/>
      <c r="K223" s="306"/>
      <c r="L223" s="306"/>
      <c r="M223" s="306"/>
      <c r="N223" s="306"/>
      <c r="O223" s="306"/>
      <c r="P223" s="306"/>
      <c r="Q223" s="306"/>
      <c r="R223" s="306"/>
      <c r="S223" s="306"/>
      <c r="T223" s="306"/>
      <c r="U223" s="306"/>
      <c r="V223" s="306"/>
      <c r="W223" s="306"/>
      <c r="X223" s="306"/>
      <c r="Y223" s="306"/>
      <c r="Z223" s="306"/>
    </row>
    <row r="224" ht="12.75" customHeight="1">
      <c r="A224" s="306"/>
      <c r="B224" s="306"/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  <c r="T224" s="306"/>
      <c r="U224" s="306"/>
      <c r="V224" s="306"/>
      <c r="W224" s="306"/>
      <c r="X224" s="306"/>
      <c r="Y224" s="306"/>
      <c r="Z224" s="306"/>
    </row>
    <row r="225" ht="12.75" customHeight="1">
      <c r="A225" s="306"/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306"/>
      <c r="O225" s="306"/>
      <c r="P225" s="306"/>
      <c r="Q225" s="306"/>
      <c r="R225" s="306"/>
      <c r="S225" s="306"/>
      <c r="T225" s="306"/>
      <c r="U225" s="306"/>
      <c r="V225" s="306"/>
      <c r="W225" s="306"/>
      <c r="X225" s="306"/>
      <c r="Y225" s="306"/>
      <c r="Z225" s="306"/>
    </row>
    <row r="226" ht="12.75" customHeight="1">
      <c r="A226" s="306"/>
      <c r="B226" s="306"/>
      <c r="C226" s="306"/>
      <c r="D226" s="306"/>
      <c r="E226" s="306"/>
      <c r="F226" s="306"/>
      <c r="G226" s="306"/>
      <c r="H226" s="306"/>
      <c r="I226" s="306"/>
      <c r="J226" s="306"/>
      <c r="K226" s="306"/>
      <c r="L226" s="306"/>
      <c r="M226" s="306"/>
      <c r="N226" s="306"/>
      <c r="O226" s="306"/>
      <c r="P226" s="306"/>
      <c r="Q226" s="306"/>
      <c r="R226" s="306"/>
      <c r="S226" s="306"/>
      <c r="T226" s="306"/>
      <c r="U226" s="306"/>
      <c r="V226" s="306"/>
      <c r="W226" s="306"/>
      <c r="X226" s="306"/>
      <c r="Y226" s="306"/>
      <c r="Z226" s="306"/>
    </row>
    <row r="227" ht="12.75" customHeight="1">
      <c r="A227" s="306"/>
      <c r="B227" s="306"/>
      <c r="C227" s="306"/>
      <c r="D227" s="306"/>
      <c r="E227" s="306"/>
      <c r="F227" s="306"/>
      <c r="G227" s="306"/>
      <c r="H227" s="306"/>
      <c r="I227" s="306"/>
      <c r="J227" s="306"/>
      <c r="K227" s="306"/>
      <c r="L227" s="306"/>
      <c r="M227" s="306"/>
      <c r="N227" s="306"/>
      <c r="O227" s="306"/>
      <c r="P227" s="306"/>
      <c r="Q227" s="306"/>
      <c r="R227" s="306"/>
      <c r="S227" s="306"/>
      <c r="T227" s="306"/>
      <c r="U227" s="306"/>
      <c r="V227" s="306"/>
      <c r="W227" s="306"/>
      <c r="X227" s="306"/>
      <c r="Y227" s="306"/>
      <c r="Z227" s="306"/>
    </row>
    <row r="228" ht="12.75" customHeight="1">
      <c r="A228" s="306"/>
      <c r="B228" s="306"/>
      <c r="C228" s="306"/>
      <c r="D228" s="306"/>
      <c r="E228" s="306"/>
      <c r="F228" s="306"/>
      <c r="G228" s="306"/>
      <c r="H228" s="306"/>
      <c r="I228" s="306"/>
      <c r="J228" s="306"/>
      <c r="K228" s="306"/>
      <c r="L228" s="306"/>
      <c r="M228" s="306"/>
      <c r="N228" s="306"/>
      <c r="O228" s="306"/>
      <c r="P228" s="306"/>
      <c r="Q228" s="306"/>
      <c r="R228" s="306"/>
      <c r="S228" s="306"/>
      <c r="T228" s="306"/>
      <c r="U228" s="306"/>
      <c r="V228" s="306"/>
      <c r="W228" s="306"/>
      <c r="X228" s="306"/>
      <c r="Y228" s="306"/>
      <c r="Z228" s="306"/>
    </row>
    <row r="229" ht="12.75" customHeight="1">
      <c r="A229" s="306"/>
      <c r="B229" s="306"/>
      <c r="C229" s="306"/>
      <c r="D229" s="306"/>
      <c r="E229" s="306"/>
      <c r="F229" s="306"/>
      <c r="G229" s="306"/>
      <c r="H229" s="306"/>
      <c r="I229" s="306"/>
      <c r="J229" s="306"/>
      <c r="K229" s="306"/>
      <c r="L229" s="306"/>
      <c r="M229" s="306"/>
      <c r="N229" s="306"/>
      <c r="O229" s="306"/>
      <c r="P229" s="306"/>
      <c r="Q229" s="306"/>
      <c r="R229" s="306"/>
      <c r="S229" s="306"/>
      <c r="T229" s="306"/>
      <c r="U229" s="306"/>
      <c r="V229" s="306"/>
      <c r="W229" s="306"/>
      <c r="X229" s="306"/>
      <c r="Y229" s="306"/>
      <c r="Z229" s="306"/>
    </row>
    <row r="230" ht="12.75" customHeight="1">
      <c r="A230" s="306"/>
      <c r="B230" s="306"/>
      <c r="C230" s="306"/>
      <c r="D230" s="306"/>
      <c r="E230" s="306"/>
      <c r="F230" s="306"/>
      <c r="G230" s="306"/>
      <c r="H230" s="306"/>
      <c r="I230" s="306"/>
      <c r="J230" s="306"/>
      <c r="K230" s="306"/>
      <c r="L230" s="306"/>
      <c r="M230" s="306"/>
      <c r="N230" s="306"/>
      <c r="O230" s="306"/>
      <c r="P230" s="306"/>
      <c r="Q230" s="306"/>
      <c r="R230" s="306"/>
      <c r="S230" s="306"/>
      <c r="T230" s="306"/>
      <c r="U230" s="306"/>
      <c r="V230" s="306"/>
      <c r="W230" s="306"/>
      <c r="X230" s="306"/>
      <c r="Y230" s="306"/>
      <c r="Z230" s="306"/>
    </row>
    <row r="231" ht="12.75" customHeight="1">
      <c r="A231" s="306"/>
      <c r="B231" s="306"/>
      <c r="C231" s="306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  <c r="S231" s="306"/>
      <c r="T231" s="306"/>
      <c r="U231" s="306"/>
      <c r="V231" s="306"/>
      <c r="W231" s="306"/>
      <c r="X231" s="306"/>
      <c r="Y231" s="306"/>
      <c r="Z231" s="306"/>
    </row>
    <row r="232" ht="12.75" customHeight="1">
      <c r="A232" s="306"/>
      <c r="B232" s="306"/>
      <c r="C232" s="306"/>
      <c r="D232" s="306"/>
      <c r="E232" s="306"/>
      <c r="F232" s="306"/>
      <c r="G232" s="306"/>
      <c r="H232" s="306"/>
      <c r="I232" s="306"/>
      <c r="J232" s="306"/>
      <c r="K232" s="306"/>
      <c r="L232" s="306"/>
      <c r="M232" s="306"/>
      <c r="N232" s="306"/>
      <c r="O232" s="306"/>
      <c r="P232" s="306"/>
      <c r="Q232" s="306"/>
      <c r="R232" s="306"/>
      <c r="S232" s="306"/>
      <c r="T232" s="306"/>
      <c r="U232" s="306"/>
      <c r="V232" s="306"/>
      <c r="W232" s="306"/>
      <c r="X232" s="306"/>
      <c r="Y232" s="306"/>
      <c r="Z232" s="306"/>
    </row>
    <row r="233" ht="12.75" customHeight="1">
      <c r="A233" s="306"/>
      <c r="B233" s="306"/>
      <c r="C233" s="306"/>
      <c r="D233" s="306"/>
      <c r="E233" s="306"/>
      <c r="F233" s="306"/>
      <c r="G233" s="306"/>
      <c r="H233" s="306"/>
      <c r="I233" s="306"/>
      <c r="J233" s="306"/>
      <c r="K233" s="306"/>
      <c r="L233" s="306"/>
      <c r="M233" s="306"/>
      <c r="N233" s="306"/>
      <c r="O233" s="306"/>
      <c r="P233" s="306"/>
      <c r="Q233" s="306"/>
      <c r="R233" s="306"/>
      <c r="S233" s="306"/>
      <c r="T233" s="306"/>
      <c r="U233" s="306"/>
      <c r="V233" s="306"/>
      <c r="W233" s="306"/>
      <c r="X233" s="306"/>
      <c r="Y233" s="306"/>
      <c r="Z233" s="306"/>
    </row>
    <row r="234" ht="12.75" customHeight="1">
      <c r="A234" s="306"/>
      <c r="B234" s="306"/>
      <c r="C234" s="306"/>
      <c r="D234" s="306"/>
      <c r="E234" s="306"/>
      <c r="F234" s="306"/>
      <c r="G234" s="306"/>
      <c r="H234" s="306"/>
      <c r="I234" s="306"/>
      <c r="J234" s="306"/>
      <c r="K234" s="306"/>
      <c r="L234" s="306"/>
      <c r="M234" s="306"/>
      <c r="N234" s="306"/>
      <c r="O234" s="306"/>
      <c r="P234" s="306"/>
      <c r="Q234" s="306"/>
      <c r="R234" s="306"/>
      <c r="S234" s="306"/>
      <c r="T234" s="306"/>
      <c r="U234" s="306"/>
      <c r="V234" s="306"/>
      <c r="W234" s="306"/>
      <c r="X234" s="306"/>
      <c r="Y234" s="306"/>
      <c r="Z234" s="306"/>
    </row>
    <row r="235" ht="12.75" customHeight="1">
      <c r="A235" s="306"/>
      <c r="B235" s="306"/>
      <c r="C235" s="306"/>
      <c r="D235" s="306"/>
      <c r="E235" s="306"/>
      <c r="F235" s="306"/>
      <c r="G235" s="306"/>
      <c r="H235" s="306"/>
      <c r="I235" s="306"/>
      <c r="J235" s="306"/>
      <c r="K235" s="306"/>
      <c r="L235" s="306"/>
      <c r="M235" s="306"/>
      <c r="N235" s="306"/>
      <c r="O235" s="306"/>
      <c r="P235" s="306"/>
      <c r="Q235" s="306"/>
      <c r="R235" s="306"/>
      <c r="S235" s="306"/>
      <c r="T235" s="306"/>
      <c r="U235" s="306"/>
      <c r="V235" s="306"/>
      <c r="W235" s="306"/>
      <c r="X235" s="306"/>
      <c r="Y235" s="306"/>
      <c r="Z235" s="306"/>
    </row>
    <row r="236" ht="12.75" customHeight="1">
      <c r="A236" s="306"/>
      <c r="B236" s="306"/>
      <c r="C236" s="306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306"/>
      <c r="O236" s="306"/>
      <c r="P236" s="306"/>
      <c r="Q236" s="306"/>
      <c r="R236" s="306"/>
      <c r="S236" s="306"/>
      <c r="T236" s="306"/>
      <c r="U236" s="306"/>
      <c r="V236" s="306"/>
      <c r="W236" s="306"/>
      <c r="X236" s="306"/>
      <c r="Y236" s="306"/>
      <c r="Z236" s="306"/>
    </row>
    <row r="237" ht="12.75" customHeight="1">
      <c r="A237" s="306"/>
      <c r="B237" s="306"/>
      <c r="C237" s="306"/>
      <c r="D237" s="306"/>
      <c r="E237" s="306"/>
      <c r="F237" s="306"/>
      <c r="G237" s="306"/>
      <c r="H237" s="306"/>
      <c r="I237" s="306"/>
      <c r="J237" s="306"/>
      <c r="K237" s="306"/>
      <c r="L237" s="306"/>
      <c r="M237" s="306"/>
      <c r="N237" s="306"/>
      <c r="O237" s="306"/>
      <c r="P237" s="306"/>
      <c r="Q237" s="306"/>
      <c r="R237" s="306"/>
      <c r="S237" s="306"/>
      <c r="T237" s="306"/>
      <c r="U237" s="306"/>
      <c r="V237" s="306"/>
      <c r="W237" s="306"/>
      <c r="X237" s="306"/>
      <c r="Y237" s="306"/>
      <c r="Z237" s="306"/>
    </row>
    <row r="238" ht="12.75" customHeight="1">
      <c r="A238" s="306"/>
      <c r="B238" s="306"/>
      <c r="C238" s="306"/>
      <c r="D238" s="306"/>
      <c r="E238" s="306"/>
      <c r="F238" s="306"/>
      <c r="G238" s="306"/>
      <c r="H238" s="306"/>
      <c r="I238" s="306"/>
      <c r="J238" s="306"/>
      <c r="K238" s="306"/>
      <c r="L238" s="306"/>
      <c r="M238" s="306"/>
      <c r="N238" s="306"/>
      <c r="O238" s="306"/>
      <c r="P238" s="306"/>
      <c r="Q238" s="306"/>
      <c r="R238" s="306"/>
      <c r="S238" s="306"/>
      <c r="T238" s="306"/>
      <c r="U238" s="306"/>
      <c r="V238" s="306"/>
      <c r="W238" s="306"/>
      <c r="X238" s="306"/>
      <c r="Y238" s="306"/>
      <c r="Z238" s="306"/>
    </row>
    <row r="239" ht="12.75" customHeight="1">
      <c r="A239" s="306"/>
      <c r="B239" s="306"/>
      <c r="C239" s="306"/>
      <c r="D239" s="306"/>
      <c r="E239" s="306"/>
      <c r="F239" s="306"/>
      <c r="G239" s="306"/>
      <c r="H239" s="306"/>
      <c r="I239" s="306"/>
      <c r="J239" s="306"/>
      <c r="K239" s="306"/>
      <c r="L239" s="306"/>
      <c r="M239" s="306"/>
      <c r="N239" s="306"/>
      <c r="O239" s="306"/>
      <c r="P239" s="306"/>
      <c r="Q239" s="306"/>
      <c r="R239" s="306"/>
      <c r="S239" s="306"/>
      <c r="T239" s="306"/>
      <c r="U239" s="306"/>
      <c r="V239" s="306"/>
      <c r="W239" s="306"/>
      <c r="X239" s="306"/>
      <c r="Y239" s="306"/>
      <c r="Z239" s="306"/>
    </row>
    <row r="240" ht="12.75" customHeight="1">
      <c r="A240" s="306"/>
      <c r="B240" s="306"/>
      <c r="C240" s="306"/>
      <c r="D240" s="306"/>
      <c r="E240" s="306"/>
      <c r="F240" s="306"/>
      <c r="G240" s="306"/>
      <c r="H240" s="306"/>
      <c r="I240" s="306"/>
      <c r="J240" s="306"/>
      <c r="K240" s="306"/>
      <c r="L240" s="306"/>
      <c r="M240" s="306"/>
      <c r="N240" s="306"/>
      <c r="O240" s="306"/>
      <c r="P240" s="306"/>
      <c r="Q240" s="306"/>
      <c r="R240" s="306"/>
      <c r="S240" s="306"/>
      <c r="T240" s="306"/>
      <c r="U240" s="306"/>
      <c r="V240" s="306"/>
      <c r="W240" s="306"/>
      <c r="X240" s="306"/>
      <c r="Y240" s="306"/>
      <c r="Z240" s="306"/>
    </row>
    <row r="241" ht="12.75" customHeight="1">
      <c r="A241" s="306"/>
      <c r="B241" s="306"/>
      <c r="C241" s="306"/>
      <c r="D241" s="306"/>
      <c r="E241" s="306"/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  <c r="X241" s="306"/>
      <c r="Y241" s="306"/>
      <c r="Z241" s="306"/>
    </row>
    <row r="242" ht="12.75" customHeight="1">
      <c r="A242" s="306"/>
      <c r="B242" s="306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  <c r="X242" s="306"/>
      <c r="Y242" s="306"/>
      <c r="Z242" s="306"/>
    </row>
    <row r="243" ht="12.75" customHeight="1">
      <c r="A243" s="306"/>
      <c r="B243" s="306"/>
      <c r="C243" s="306"/>
      <c r="D243" s="306"/>
      <c r="E243" s="306"/>
      <c r="F243" s="306"/>
      <c r="G243" s="306"/>
      <c r="H243" s="306"/>
      <c r="I243" s="306"/>
      <c r="J243" s="306"/>
      <c r="K243" s="306"/>
      <c r="L243" s="306"/>
      <c r="M243" s="306"/>
      <c r="N243" s="306"/>
      <c r="O243" s="306"/>
      <c r="P243" s="306"/>
      <c r="Q243" s="306"/>
      <c r="R243" s="306"/>
      <c r="S243" s="306"/>
      <c r="T243" s="306"/>
      <c r="U243" s="306"/>
      <c r="V243" s="306"/>
      <c r="W243" s="306"/>
      <c r="X243" s="306"/>
      <c r="Y243" s="306"/>
      <c r="Z243" s="306"/>
    </row>
    <row r="244" ht="12.75" customHeight="1">
      <c r="A244" s="306"/>
      <c r="B244" s="306"/>
      <c r="C244" s="306"/>
      <c r="D244" s="306"/>
      <c r="E244" s="306"/>
      <c r="F244" s="306"/>
      <c r="G244" s="306"/>
      <c r="H244" s="306"/>
      <c r="I244" s="306"/>
      <c r="J244" s="306"/>
      <c r="K244" s="306"/>
      <c r="L244" s="306"/>
      <c r="M244" s="306"/>
      <c r="N244" s="306"/>
      <c r="O244" s="306"/>
      <c r="P244" s="306"/>
      <c r="Q244" s="306"/>
      <c r="R244" s="306"/>
      <c r="S244" s="306"/>
      <c r="T244" s="306"/>
      <c r="U244" s="306"/>
      <c r="V244" s="306"/>
      <c r="W244" s="306"/>
      <c r="X244" s="306"/>
      <c r="Y244" s="306"/>
      <c r="Z244" s="306"/>
    </row>
    <row r="245" ht="12.75" customHeight="1">
      <c r="A245" s="306"/>
      <c r="B245" s="306"/>
      <c r="C245" s="306"/>
      <c r="D245" s="306"/>
      <c r="E245" s="306"/>
      <c r="F245" s="306"/>
      <c r="G245" s="306"/>
      <c r="H245" s="306"/>
      <c r="I245" s="306"/>
      <c r="J245" s="306"/>
      <c r="K245" s="306"/>
      <c r="L245" s="306"/>
      <c r="M245" s="306"/>
      <c r="N245" s="306"/>
      <c r="O245" s="306"/>
      <c r="P245" s="306"/>
      <c r="Q245" s="306"/>
      <c r="R245" s="306"/>
      <c r="S245" s="306"/>
      <c r="T245" s="306"/>
      <c r="U245" s="306"/>
      <c r="V245" s="306"/>
      <c r="W245" s="306"/>
      <c r="X245" s="306"/>
      <c r="Y245" s="306"/>
      <c r="Z245" s="306"/>
    </row>
    <row r="246" ht="12.75" customHeight="1">
      <c r="A246" s="306"/>
      <c r="B246" s="306"/>
      <c r="C246" s="306"/>
      <c r="D246" s="306"/>
      <c r="E246" s="306"/>
      <c r="F246" s="306"/>
      <c r="G246" s="306"/>
      <c r="H246" s="306"/>
      <c r="I246" s="306"/>
      <c r="J246" s="306"/>
      <c r="K246" s="306"/>
      <c r="L246" s="306"/>
      <c r="M246" s="306"/>
      <c r="N246" s="306"/>
      <c r="O246" s="306"/>
      <c r="P246" s="306"/>
      <c r="Q246" s="306"/>
      <c r="R246" s="306"/>
      <c r="S246" s="306"/>
      <c r="T246" s="306"/>
      <c r="U246" s="306"/>
      <c r="V246" s="306"/>
      <c r="W246" s="306"/>
      <c r="X246" s="306"/>
      <c r="Y246" s="306"/>
      <c r="Z246" s="306"/>
    </row>
    <row r="247" ht="12.75" customHeight="1">
      <c r="A247" s="306"/>
      <c r="B247" s="306"/>
      <c r="C247" s="306"/>
      <c r="D247" s="306"/>
      <c r="E247" s="306"/>
      <c r="F247" s="306"/>
      <c r="G247" s="306"/>
      <c r="H247" s="306"/>
      <c r="I247" s="306"/>
      <c r="J247" s="306"/>
      <c r="K247" s="306"/>
      <c r="L247" s="306"/>
      <c r="M247" s="306"/>
      <c r="N247" s="306"/>
      <c r="O247" s="306"/>
      <c r="P247" s="306"/>
      <c r="Q247" s="306"/>
      <c r="R247" s="306"/>
      <c r="S247" s="306"/>
      <c r="T247" s="306"/>
      <c r="U247" s="306"/>
      <c r="V247" s="306"/>
      <c r="W247" s="306"/>
      <c r="X247" s="306"/>
      <c r="Y247" s="306"/>
      <c r="Z247" s="306"/>
    </row>
    <row r="248" ht="12.75" customHeight="1">
      <c r="A248" s="306"/>
      <c r="B248" s="306"/>
      <c r="C248" s="306"/>
      <c r="D248" s="306"/>
      <c r="E248" s="306"/>
      <c r="F248" s="306"/>
      <c r="G248" s="306"/>
      <c r="H248" s="306"/>
      <c r="I248" s="306"/>
      <c r="J248" s="306"/>
      <c r="K248" s="306"/>
      <c r="L248" s="306"/>
      <c r="M248" s="306"/>
      <c r="N248" s="306"/>
      <c r="O248" s="306"/>
      <c r="P248" s="306"/>
      <c r="Q248" s="306"/>
      <c r="R248" s="306"/>
      <c r="S248" s="306"/>
      <c r="T248" s="306"/>
      <c r="U248" s="306"/>
      <c r="V248" s="306"/>
      <c r="W248" s="306"/>
      <c r="X248" s="306"/>
      <c r="Y248" s="306"/>
      <c r="Z248" s="306"/>
    </row>
    <row r="249" ht="12.75" customHeight="1">
      <c r="A249" s="306"/>
      <c r="B249" s="306"/>
      <c r="C249" s="306"/>
      <c r="D249" s="306"/>
      <c r="E249" s="306"/>
      <c r="F249" s="306"/>
      <c r="G249" s="306"/>
      <c r="H249" s="306"/>
      <c r="I249" s="306"/>
      <c r="J249" s="306"/>
      <c r="K249" s="306"/>
      <c r="L249" s="306"/>
      <c r="M249" s="306"/>
      <c r="N249" s="306"/>
      <c r="O249" s="306"/>
      <c r="P249" s="306"/>
      <c r="Q249" s="306"/>
      <c r="R249" s="306"/>
      <c r="S249" s="306"/>
      <c r="T249" s="306"/>
      <c r="U249" s="306"/>
      <c r="V249" s="306"/>
      <c r="W249" s="306"/>
      <c r="X249" s="306"/>
      <c r="Y249" s="306"/>
      <c r="Z249" s="306"/>
    </row>
    <row r="250" ht="12.75" customHeight="1">
      <c r="A250" s="306"/>
      <c r="B250" s="306"/>
      <c r="C250" s="306"/>
      <c r="D250" s="306"/>
      <c r="E250" s="306"/>
      <c r="F250" s="306"/>
      <c r="G250" s="306"/>
      <c r="H250" s="306"/>
      <c r="I250" s="306"/>
      <c r="J250" s="306"/>
      <c r="K250" s="306"/>
      <c r="L250" s="306"/>
      <c r="M250" s="306"/>
      <c r="N250" s="306"/>
      <c r="O250" s="306"/>
      <c r="P250" s="306"/>
      <c r="Q250" s="306"/>
      <c r="R250" s="306"/>
      <c r="S250" s="306"/>
      <c r="T250" s="306"/>
      <c r="U250" s="306"/>
      <c r="V250" s="306"/>
      <c r="W250" s="306"/>
      <c r="X250" s="306"/>
      <c r="Y250" s="306"/>
      <c r="Z250" s="306"/>
    </row>
    <row r="251" ht="12.75" customHeight="1">
      <c r="A251" s="306"/>
      <c r="B251" s="306"/>
      <c r="C251" s="306"/>
      <c r="D251" s="306"/>
      <c r="E251" s="306"/>
      <c r="F251" s="306"/>
      <c r="G251" s="306"/>
      <c r="H251" s="306"/>
      <c r="I251" s="306"/>
      <c r="J251" s="306"/>
      <c r="K251" s="306"/>
      <c r="L251" s="306"/>
      <c r="M251" s="306"/>
      <c r="N251" s="306"/>
      <c r="O251" s="306"/>
      <c r="P251" s="306"/>
      <c r="Q251" s="306"/>
      <c r="R251" s="306"/>
      <c r="S251" s="306"/>
      <c r="T251" s="306"/>
      <c r="U251" s="306"/>
      <c r="V251" s="306"/>
      <c r="W251" s="306"/>
      <c r="X251" s="306"/>
      <c r="Y251" s="306"/>
      <c r="Z251" s="306"/>
    </row>
    <row r="252" ht="12.75" customHeight="1">
      <c r="A252" s="306"/>
      <c r="B252" s="306"/>
      <c r="C252" s="306"/>
      <c r="D252" s="306"/>
      <c r="E252" s="306"/>
      <c r="F252" s="306"/>
      <c r="G252" s="306"/>
      <c r="H252" s="306"/>
      <c r="I252" s="306"/>
      <c r="J252" s="306"/>
      <c r="K252" s="306"/>
      <c r="L252" s="306"/>
      <c r="M252" s="306"/>
      <c r="N252" s="306"/>
      <c r="O252" s="306"/>
      <c r="P252" s="306"/>
      <c r="Q252" s="306"/>
      <c r="R252" s="306"/>
      <c r="S252" s="306"/>
      <c r="T252" s="306"/>
      <c r="U252" s="306"/>
      <c r="V252" s="306"/>
      <c r="W252" s="306"/>
      <c r="X252" s="306"/>
      <c r="Y252" s="306"/>
      <c r="Z252" s="306"/>
    </row>
    <row r="253" ht="12.75" customHeight="1">
      <c r="A253" s="306"/>
      <c r="B253" s="306"/>
      <c r="C253" s="306"/>
      <c r="D253" s="306"/>
      <c r="E253" s="306"/>
      <c r="F253" s="306"/>
      <c r="G253" s="306"/>
      <c r="H253" s="306"/>
      <c r="I253" s="306"/>
      <c r="J253" s="306"/>
      <c r="K253" s="306"/>
      <c r="L253" s="306"/>
      <c r="M253" s="306"/>
      <c r="N253" s="306"/>
      <c r="O253" s="306"/>
      <c r="P253" s="306"/>
      <c r="Q253" s="306"/>
      <c r="R253" s="306"/>
      <c r="S253" s="306"/>
      <c r="T253" s="306"/>
      <c r="U253" s="306"/>
      <c r="V253" s="306"/>
      <c r="W253" s="306"/>
      <c r="X253" s="306"/>
      <c r="Y253" s="306"/>
      <c r="Z253" s="306"/>
    </row>
    <row r="254" ht="12.75" customHeight="1">
      <c r="A254" s="306"/>
      <c r="B254" s="306"/>
      <c r="C254" s="306"/>
      <c r="D254" s="306"/>
      <c r="E254" s="306"/>
      <c r="F254" s="306"/>
      <c r="G254" s="306"/>
      <c r="H254" s="306"/>
      <c r="I254" s="306"/>
      <c r="J254" s="306"/>
      <c r="K254" s="306"/>
      <c r="L254" s="306"/>
      <c r="M254" s="306"/>
      <c r="N254" s="306"/>
      <c r="O254" s="306"/>
      <c r="P254" s="306"/>
      <c r="Q254" s="306"/>
      <c r="R254" s="306"/>
      <c r="S254" s="306"/>
      <c r="T254" s="306"/>
      <c r="U254" s="306"/>
      <c r="V254" s="306"/>
      <c r="W254" s="306"/>
      <c r="X254" s="306"/>
      <c r="Y254" s="306"/>
      <c r="Z254" s="306"/>
    </row>
  </sheetData>
  <mergeCells count="3">
    <mergeCell ref="B3:C3"/>
    <mergeCell ref="D3:E3"/>
    <mergeCell ref="F3:G3"/>
  </mergeCells>
  <printOptions/>
  <pageMargins bottom="0.75" footer="0.0" header="0.0" left="0.7" right="0.7" top="0.75"/>
  <pageSetup paperSize="9" orientation="landscape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F2CC"/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9.86"/>
    <col customWidth="1" min="2" max="2" width="19.71"/>
    <col customWidth="1" min="3" max="6" width="14.43"/>
  </cols>
  <sheetData>
    <row r="1">
      <c r="A1" s="320"/>
      <c r="B1" s="320" t="s">
        <v>488</v>
      </c>
      <c r="F1" s="306"/>
      <c r="G1" s="398" t="str">
        <f>InfoInicial!E1</f>
        <v>10</v>
      </c>
      <c r="H1" s="321"/>
      <c r="I1" s="306"/>
      <c r="J1" s="306"/>
    </row>
    <row r="2">
      <c r="A2" s="399"/>
      <c r="B2" s="400" t="s">
        <v>590</v>
      </c>
      <c r="C2" s="401"/>
      <c r="D2" s="401"/>
      <c r="E2" s="401"/>
      <c r="F2" s="401"/>
      <c r="G2" s="401"/>
      <c r="H2" s="402"/>
      <c r="I2" s="306"/>
      <c r="J2" s="306"/>
    </row>
    <row r="3">
      <c r="A3" s="403"/>
      <c r="B3" s="404" t="s">
        <v>591</v>
      </c>
      <c r="C3" s="405" t="s">
        <v>592</v>
      </c>
      <c r="D3" s="406"/>
      <c r="E3" s="405" t="s">
        <v>593</v>
      </c>
      <c r="F3" s="406"/>
      <c r="G3" s="405" t="s">
        <v>594</v>
      </c>
      <c r="H3" s="407"/>
      <c r="I3" s="306"/>
      <c r="J3" s="306"/>
    </row>
    <row r="4">
      <c r="A4" s="403"/>
      <c r="B4" s="404" t="s">
        <v>573</v>
      </c>
      <c r="C4" s="408" t="s">
        <v>595</v>
      </c>
      <c r="D4" s="408" t="s">
        <v>596</v>
      </c>
      <c r="E4" s="408" t="s">
        <v>595</v>
      </c>
      <c r="F4" s="408" t="s">
        <v>596</v>
      </c>
      <c r="G4" s="408" t="s">
        <v>595</v>
      </c>
      <c r="H4" s="409" t="s">
        <v>596</v>
      </c>
      <c r="I4" s="306"/>
      <c r="J4" s="306"/>
    </row>
    <row r="5">
      <c r="A5" s="410"/>
      <c r="B5" s="367" t="s">
        <v>597</v>
      </c>
      <c r="C5" s="393" t="str">
        <f>'E-Cal Inv.'!I8</f>
        <v> $ 28,088,602.88 </v>
      </c>
      <c r="D5" s="411" t="str">
        <f t="shared" ref="D5:D7" si="1">C5/$C$8</f>
        <v>75%</v>
      </c>
      <c r="E5" s="393" t="str">
        <f>('E-Inv AF y Am'!B47+'E-Inv AF y Am'!B51+'E-Inv AF y Am'!B46+'E-Inv AF y Am'!B45)</f>
        <v> $ 16,825,221.60 </v>
      </c>
      <c r="F5" s="411" t="str">
        <f>E5/C8</f>
        <v>45%</v>
      </c>
      <c r="G5" s="393" t="str">
        <f t="shared" ref="G5:G7" si="2">C5-E5</f>
        <v> $ 11,263,381.28 </v>
      </c>
      <c r="H5" s="412" t="str">
        <f>G5/C8</f>
        <v>30%</v>
      </c>
      <c r="I5" s="306"/>
      <c r="J5" s="306"/>
      <c r="K5" s="306" t="s">
        <v>811</v>
      </c>
    </row>
    <row r="6">
      <c r="A6" s="306"/>
      <c r="B6" s="364" t="s">
        <v>598</v>
      </c>
      <c r="C6" s="393" t="str">
        <f>'E-Cal Inv.'!I18</f>
        <v> $ 3,295,484.63 </v>
      </c>
      <c r="D6" s="411" t="str">
        <f t="shared" si="1"/>
        <v>9%</v>
      </c>
      <c r="E6" s="393" t="str">
        <f>'E-Cal Inv.'!I14+'E-Cal Inv.'!I15</f>
        <v> $ 1,536,034.95 </v>
      </c>
      <c r="F6" s="411" t="str">
        <f>E6/C8</f>
        <v>4%</v>
      </c>
      <c r="G6" s="393" t="str">
        <f t="shared" si="2"/>
        <v> $ 1,759,449.68 </v>
      </c>
      <c r="H6" s="412" t="str">
        <f>G6/C8</f>
        <v>5%</v>
      </c>
      <c r="I6" s="306"/>
      <c r="J6" s="306"/>
      <c r="K6" s="306" t="s">
        <v>812</v>
      </c>
    </row>
    <row r="7">
      <c r="A7" s="306"/>
      <c r="B7" s="364" t="s">
        <v>599</v>
      </c>
      <c r="C7" s="393" t="str">
        <f>'E-Cal Inv.'!I23</f>
        <v> $ 6,236,087.53 </v>
      </c>
      <c r="D7" s="411" t="str">
        <f t="shared" si="1"/>
        <v>17%</v>
      </c>
      <c r="E7" s="393">
        <v>0.0</v>
      </c>
      <c r="F7" s="411" t="str">
        <f>E7/C8</f>
        <v>0%</v>
      </c>
      <c r="G7" s="393" t="str">
        <f t="shared" si="2"/>
        <v> $ 6,236,087.53 </v>
      </c>
      <c r="H7" s="412" t="str">
        <f>G7/C8</f>
        <v>17%</v>
      </c>
      <c r="I7" s="306"/>
      <c r="J7" s="306" t="s">
        <v>600</v>
      </c>
      <c r="K7" t="s">
        <v>813</v>
      </c>
      <c r="L7">
        <v>0.22</v>
      </c>
      <c r="M7" t="s">
        <v>814</v>
      </c>
    </row>
    <row r="8">
      <c r="A8" s="201"/>
      <c r="B8" s="375" t="s">
        <v>282</v>
      </c>
      <c r="C8" s="413" t="str">
        <f t="shared" ref="C8:E8" si="3">SUM(C5:C7)</f>
        <v> $ 37,620,175.04 </v>
      </c>
      <c r="D8" s="414" t="str">
        <f t="shared" si="3"/>
        <v>100%</v>
      </c>
      <c r="E8" s="413" t="str">
        <f t="shared" si="3"/>
        <v> $ 18,361,256.55 </v>
      </c>
      <c r="F8" s="414" t="str">
        <f>E8/C8</f>
        <v>49%</v>
      </c>
      <c r="G8" s="413" t="str">
        <f t="shared" ref="G8:H8" si="4">SUM(G5:G7)</f>
        <v> $ 19,258,918.49 </v>
      </c>
      <c r="H8" s="415" t="str">
        <f t="shared" si="4"/>
        <v>51%</v>
      </c>
      <c r="I8" s="306"/>
      <c r="J8" s="306" t="s">
        <v>815</v>
      </c>
      <c r="K8" s="311">
        <v>0.04</v>
      </c>
      <c r="L8">
        <v>0.04</v>
      </c>
    </row>
    <row r="9">
      <c r="A9" s="201"/>
      <c r="B9" s="201"/>
      <c r="C9" s="397"/>
      <c r="D9" s="416"/>
      <c r="E9" s="397"/>
      <c r="F9" s="397"/>
      <c r="G9" s="397"/>
      <c r="H9" s="397"/>
      <c r="I9" s="306"/>
      <c r="J9" s="306"/>
    </row>
    <row r="10">
      <c r="A10" s="399"/>
      <c r="B10" s="559" t="s">
        <v>816</v>
      </c>
      <c r="C10" s="560"/>
      <c r="D10" s="560"/>
      <c r="E10" s="560"/>
      <c r="F10" s="560"/>
      <c r="G10" s="560"/>
      <c r="H10" s="560"/>
      <c r="I10" s="560"/>
      <c r="J10" s="561"/>
    </row>
    <row r="11">
      <c r="A11" s="403"/>
      <c r="B11" s="562" t="s">
        <v>817</v>
      </c>
      <c r="C11" s="563" t="s">
        <v>818</v>
      </c>
      <c r="D11" s="563" t="s">
        <v>819</v>
      </c>
      <c r="E11" s="563" t="s">
        <v>820</v>
      </c>
      <c r="F11" s="563" t="s">
        <v>819</v>
      </c>
      <c r="G11" s="563" t="s">
        <v>821</v>
      </c>
      <c r="H11" s="563" t="s">
        <v>820</v>
      </c>
      <c r="I11" s="563"/>
      <c r="J11" s="564" t="s">
        <v>822</v>
      </c>
    </row>
    <row r="12">
      <c r="A12" s="403"/>
      <c r="B12" s="565"/>
      <c r="C12" s="566"/>
      <c r="D12" s="566" t="s">
        <v>823</v>
      </c>
      <c r="E12" s="566" t="s">
        <v>823</v>
      </c>
      <c r="F12" s="566" t="s">
        <v>530</v>
      </c>
      <c r="G12" s="566" t="s">
        <v>824</v>
      </c>
      <c r="H12" s="566" t="s">
        <v>530</v>
      </c>
      <c r="I12" s="566" t="s">
        <v>825</v>
      </c>
      <c r="J12" s="567" t="s">
        <v>826</v>
      </c>
    </row>
    <row r="13">
      <c r="A13" s="306"/>
      <c r="B13" s="584" t="s">
        <v>843</v>
      </c>
      <c r="C13" s="471" t="str">
        <f>E5/2</f>
        <v> $ 8,412,610.80 </v>
      </c>
      <c r="D13" s="471"/>
      <c r="E13" s="471"/>
      <c r="F13" s="471"/>
      <c r="G13" s="378"/>
      <c r="H13" s="471"/>
      <c r="I13" s="569"/>
      <c r="J13" s="570" t="str">
        <f>(L8*E5)/2</f>
        <v> $ 336,504.43 </v>
      </c>
    </row>
    <row r="14">
      <c r="A14" s="306"/>
      <c r="B14" s="364" t="s">
        <v>844</v>
      </c>
      <c r="C14" s="393" t="str">
        <f>E5</f>
        <v> $ 16,825,221.60 </v>
      </c>
      <c r="D14" s="393"/>
      <c r="E14" s="393" t="str">
        <f>(L7/12*4)*C13</f>
        <v> $ 616,924.79 </v>
      </c>
      <c r="F14" s="393"/>
      <c r="G14" s="366"/>
      <c r="H14" s="393"/>
      <c r="I14" s="492"/>
      <c r="J14" s="426" t="str">
        <f>(L8*E5)/2</f>
        <v> $ 336,504.43 </v>
      </c>
    </row>
    <row r="15">
      <c r="A15" s="306"/>
      <c r="B15" s="364" t="s">
        <v>845</v>
      </c>
      <c r="C15" s="393" t="str">
        <f>E5</f>
        <v> $ 16,825,221.60 </v>
      </c>
      <c r="D15" s="393"/>
      <c r="E15" s="393" t="str">
        <f>C14*(L7/12*4)</f>
        <v> $ 1,233,849.58 </v>
      </c>
      <c r="F15" s="393"/>
      <c r="G15" s="366"/>
      <c r="H15" s="393"/>
      <c r="I15" s="492"/>
      <c r="J15" s="426"/>
    </row>
    <row r="16">
      <c r="A16" s="585"/>
      <c r="B16" s="571"/>
      <c r="C16" s="393"/>
      <c r="D16" s="393"/>
      <c r="E16" s="393"/>
      <c r="F16" s="393"/>
      <c r="G16" s="366"/>
      <c r="H16" s="393"/>
      <c r="I16" s="492"/>
      <c r="J16" s="426"/>
    </row>
    <row r="17">
      <c r="A17" s="585"/>
      <c r="B17" s="571"/>
      <c r="C17" s="393"/>
      <c r="D17" s="393"/>
      <c r="E17" s="393"/>
      <c r="F17" s="393"/>
      <c r="G17" s="366"/>
      <c r="H17" s="393"/>
      <c r="I17" s="492"/>
      <c r="J17" s="426"/>
    </row>
    <row r="18">
      <c r="A18" s="585"/>
      <c r="B18" s="571"/>
      <c r="C18" s="393"/>
      <c r="D18" s="393"/>
      <c r="E18" s="393"/>
      <c r="F18" s="393"/>
      <c r="G18" s="366"/>
      <c r="H18" s="393"/>
      <c r="I18" s="492"/>
      <c r="J18" s="426"/>
    </row>
    <row r="19">
      <c r="A19" s="585"/>
      <c r="B19" s="571"/>
      <c r="C19" s="393"/>
      <c r="D19" s="393"/>
      <c r="E19" s="393"/>
      <c r="F19" s="393"/>
      <c r="G19" s="366"/>
      <c r="H19" s="393"/>
      <c r="I19" s="492"/>
      <c r="J19" s="426"/>
    </row>
    <row r="20">
      <c r="A20" s="585"/>
      <c r="B20" s="572"/>
      <c r="C20" s="573"/>
      <c r="D20" s="573"/>
      <c r="E20" s="461"/>
      <c r="F20" s="573"/>
      <c r="G20" s="370"/>
      <c r="H20" s="461"/>
      <c r="I20" s="574"/>
      <c r="J20" s="575"/>
    </row>
    <row r="21" ht="15.75" customHeight="1">
      <c r="A21" s="325"/>
      <c r="B21" s="325" t="s">
        <v>828</v>
      </c>
      <c r="C21" s="576"/>
      <c r="D21" s="576"/>
      <c r="E21" s="577" t="str">
        <f>SUM(E13:E18)</f>
        <v> $ 1,850,774.38 </v>
      </c>
      <c r="F21" s="576"/>
      <c r="G21" s="578"/>
      <c r="H21" s="577" t="str">
        <f>E21</f>
        <v> $ 1,850,774.38 </v>
      </c>
      <c r="I21" s="311"/>
      <c r="J21" s="577" t="str">
        <f>SUM(J13:J18)</f>
        <v> $ 673,008.86 </v>
      </c>
    </row>
    <row r="22" ht="15.75" customHeight="1">
      <c r="A22" s="585"/>
      <c r="B22" s="580" t="s">
        <v>829</v>
      </c>
      <c r="C22" s="471" t="str">
        <f>C15</f>
        <v> $ 16,825,221.60 </v>
      </c>
      <c r="D22" s="471"/>
      <c r="E22" s="425"/>
      <c r="F22" s="471"/>
      <c r="G22" s="378"/>
      <c r="H22" s="425"/>
      <c r="I22" s="569"/>
      <c r="J22" s="519"/>
    </row>
    <row r="23" ht="15.75" customHeight="1">
      <c r="A23" s="585"/>
      <c r="B23" s="581" t="s">
        <v>846</v>
      </c>
      <c r="C23" s="393" t="str">
        <f>C15-D23</f>
        <v> $ 15,142,699.44 </v>
      </c>
      <c r="D23" s="393" t="str">
        <f t="shared" ref="D23:D32" si="5">$C$15/10</f>
        <v> $ 1,682,522.16 </v>
      </c>
      <c r="E23" s="393" t="str">
        <f t="shared" ref="E23:E32" si="6">C22*($L$7/2)</f>
        <v> $ 1,850,774.38 </v>
      </c>
      <c r="F23" s="393"/>
      <c r="G23" s="366"/>
      <c r="H23" s="393"/>
      <c r="I23" s="492"/>
      <c r="J23" s="426"/>
    </row>
    <row r="24" ht="15.75" customHeight="1">
      <c r="A24" s="586"/>
      <c r="B24" s="581" t="s">
        <v>847</v>
      </c>
      <c r="C24" s="393" t="str">
        <f t="shared" ref="C24:C32" si="7">C23-D24</f>
        <v> $ 13,460,177.28 </v>
      </c>
      <c r="D24" s="393" t="str">
        <f t="shared" si="5"/>
        <v> $ 1,682,522.16 </v>
      </c>
      <c r="E24" s="393" t="str">
        <f t="shared" si="6"/>
        <v> $ 1,665,696.94 </v>
      </c>
      <c r="F24" s="393" t="str">
        <f>D24+D23</f>
        <v> $ 3,365,044.32 </v>
      </c>
      <c r="G24" s="393"/>
      <c r="H24" s="393" t="str">
        <f>E24+E23</f>
        <v> $ 3,516,471.31 </v>
      </c>
      <c r="I24" s="411"/>
      <c r="J24" s="426"/>
    </row>
    <row r="25" ht="15.75" customHeight="1">
      <c r="A25" s="586"/>
      <c r="B25" s="581" t="s">
        <v>848</v>
      </c>
      <c r="C25" s="393" t="str">
        <f t="shared" si="7"/>
        <v> $ 11,777,655.12 </v>
      </c>
      <c r="D25" s="393" t="str">
        <f t="shared" si="5"/>
        <v> $ 1,682,522.16 </v>
      </c>
      <c r="E25" s="393" t="str">
        <f t="shared" si="6"/>
        <v> $ 1,480,619.50 </v>
      </c>
      <c r="F25" s="393"/>
      <c r="G25" s="393"/>
      <c r="H25" s="393"/>
      <c r="I25" s="411"/>
      <c r="J25" s="426"/>
    </row>
    <row r="26" ht="15.75" customHeight="1">
      <c r="A26" s="586"/>
      <c r="B26" s="581" t="s">
        <v>849</v>
      </c>
      <c r="C26" s="393" t="str">
        <f t="shared" si="7"/>
        <v> $ 10,095,132.96 </v>
      </c>
      <c r="D26" s="393" t="str">
        <f t="shared" si="5"/>
        <v> $ 1,682,522.16 </v>
      </c>
      <c r="E26" s="393" t="str">
        <f t="shared" si="6"/>
        <v> $ 1,295,542.06 </v>
      </c>
      <c r="F26" s="393" t="str">
        <f>D26+D25</f>
        <v> $ 3,365,044.32 </v>
      </c>
      <c r="G26" s="393"/>
      <c r="H26" s="393" t="str">
        <f>E26+E25</f>
        <v> $ 2,776,161.56 </v>
      </c>
      <c r="I26" s="411"/>
      <c r="J26" s="426"/>
    </row>
    <row r="27" ht="15.75" customHeight="1">
      <c r="A27" s="586"/>
      <c r="B27" s="581" t="s">
        <v>850</v>
      </c>
      <c r="C27" s="393" t="str">
        <f t="shared" si="7"/>
        <v> $ 8,412,610.80 </v>
      </c>
      <c r="D27" s="393" t="str">
        <f t="shared" si="5"/>
        <v> $ 1,682,522.16 </v>
      </c>
      <c r="E27" s="393" t="str">
        <f t="shared" si="6"/>
        <v> $ 1,110,464.63 </v>
      </c>
      <c r="F27" s="393"/>
      <c r="G27" s="393"/>
      <c r="H27" s="393"/>
      <c r="I27" s="411"/>
      <c r="J27" s="426"/>
    </row>
    <row r="28" ht="15.75" customHeight="1">
      <c r="A28" s="586"/>
      <c r="B28" s="581" t="s">
        <v>851</v>
      </c>
      <c r="C28" s="393" t="str">
        <f t="shared" si="7"/>
        <v> $ 6,730,088.64 </v>
      </c>
      <c r="D28" s="393" t="str">
        <f t="shared" si="5"/>
        <v> $ 1,682,522.16 </v>
      </c>
      <c r="E28" s="393" t="str">
        <f t="shared" si="6"/>
        <v> $ 925,387.19 </v>
      </c>
      <c r="F28" s="393" t="str">
        <f>D28+D27</f>
        <v> $ 3,365,044.32 </v>
      </c>
      <c r="G28" s="393"/>
      <c r="H28" s="393" t="str">
        <f>E28+E27</f>
        <v> $ 2,035,851.81 </v>
      </c>
      <c r="I28" s="411"/>
      <c r="J28" s="426"/>
    </row>
    <row r="29" ht="15.75" customHeight="1">
      <c r="A29" s="586"/>
      <c r="B29" s="581" t="s">
        <v>852</v>
      </c>
      <c r="C29" s="393" t="str">
        <f t="shared" si="7"/>
        <v> $ 5,047,566.48 </v>
      </c>
      <c r="D29" s="393" t="str">
        <f t="shared" si="5"/>
        <v> $ 1,682,522.16 </v>
      </c>
      <c r="E29" s="393" t="str">
        <f t="shared" si="6"/>
        <v> $ 740,309.75 </v>
      </c>
      <c r="F29" s="393"/>
      <c r="G29" s="393"/>
      <c r="H29" s="393"/>
      <c r="I29" s="411"/>
      <c r="J29" s="426"/>
    </row>
    <row r="30" ht="15.75" customHeight="1">
      <c r="A30" s="586"/>
      <c r="B30" s="581" t="s">
        <v>853</v>
      </c>
      <c r="C30" s="393" t="str">
        <f t="shared" si="7"/>
        <v> $ 3,365,044.32 </v>
      </c>
      <c r="D30" s="393" t="str">
        <f t="shared" si="5"/>
        <v> $ 1,682,522.16 </v>
      </c>
      <c r="E30" s="393" t="str">
        <f t="shared" si="6"/>
        <v> $ 555,232.31 </v>
      </c>
      <c r="F30" s="393" t="str">
        <f>D30+D29</f>
        <v> $ 3,365,044.32 </v>
      </c>
      <c r="G30" s="393"/>
      <c r="H30" s="393" t="str">
        <f>E30+E29</f>
        <v> $ 1,295,542.06 </v>
      </c>
      <c r="I30" s="411"/>
      <c r="J30" s="426"/>
    </row>
    <row r="31" ht="15.75" customHeight="1">
      <c r="A31" s="586"/>
      <c r="B31" s="581" t="s">
        <v>854</v>
      </c>
      <c r="C31" s="393" t="str">
        <f t="shared" si="7"/>
        <v> $ 1,682,522.16 </v>
      </c>
      <c r="D31" s="393" t="str">
        <f t="shared" si="5"/>
        <v> $ 1,682,522.16 </v>
      </c>
      <c r="E31" s="393" t="str">
        <f t="shared" si="6"/>
        <v> $ 370,154.88 </v>
      </c>
      <c r="F31" s="393"/>
      <c r="G31" s="366"/>
      <c r="H31" s="393"/>
      <c r="I31" s="492"/>
      <c r="J31" s="426"/>
    </row>
    <row r="32" ht="15.75" customHeight="1">
      <c r="A32" s="586"/>
      <c r="B32" s="581" t="s">
        <v>855</v>
      </c>
      <c r="C32" s="393" t="str">
        <f t="shared" si="7"/>
        <v> $ -   </v>
      </c>
      <c r="D32" s="393" t="str">
        <f t="shared" si="5"/>
        <v> $ 1,682,522.16 </v>
      </c>
      <c r="E32" s="393" t="str">
        <f t="shared" si="6"/>
        <v> $ 185,077.44 </v>
      </c>
      <c r="F32" s="393" t="str">
        <f>D32+D31</f>
        <v> $ 3,365,044.32 </v>
      </c>
      <c r="G32" s="393"/>
      <c r="H32" s="393" t="str">
        <f>E32+E31</f>
        <v> $ 555,232.31 </v>
      </c>
      <c r="I32" s="411"/>
      <c r="J32" s="426"/>
    </row>
    <row r="33" ht="15.75" customHeight="1">
      <c r="A33" s="586"/>
      <c r="B33" s="581"/>
      <c r="C33" s="393"/>
      <c r="D33" s="393"/>
      <c r="E33" s="393"/>
      <c r="F33" s="393"/>
      <c r="G33" s="366"/>
      <c r="H33" s="393"/>
      <c r="I33" s="492"/>
      <c r="J33" s="426"/>
    </row>
    <row r="34" ht="15.75" customHeight="1">
      <c r="A34" s="586"/>
      <c r="B34" s="581"/>
      <c r="C34" s="393"/>
      <c r="D34" s="393"/>
      <c r="E34" s="393"/>
      <c r="F34" s="393"/>
      <c r="G34" s="393"/>
      <c r="H34" s="393"/>
      <c r="I34" s="411"/>
      <c r="J34" s="426"/>
    </row>
    <row r="35" ht="15.75" customHeight="1">
      <c r="A35" s="586"/>
      <c r="B35" s="581"/>
      <c r="C35" s="393"/>
      <c r="D35" s="393"/>
      <c r="E35" s="393"/>
      <c r="F35" s="393"/>
      <c r="G35" s="366"/>
      <c r="H35" s="393"/>
      <c r="I35" s="492"/>
      <c r="J35" s="426"/>
    </row>
    <row r="36" ht="15.75" customHeight="1">
      <c r="A36" s="586"/>
      <c r="B36" s="581"/>
      <c r="C36" s="393"/>
      <c r="D36" s="393"/>
      <c r="E36" s="393"/>
      <c r="F36" s="393"/>
      <c r="G36" s="393"/>
      <c r="H36" s="393"/>
      <c r="I36" s="411"/>
      <c r="J36" s="426"/>
    </row>
    <row r="37" ht="15.75" customHeight="1">
      <c r="A37" s="586"/>
      <c r="B37" s="582"/>
      <c r="C37" s="393"/>
      <c r="D37" s="393"/>
      <c r="E37" s="393"/>
      <c r="F37" s="393"/>
      <c r="G37" s="366"/>
      <c r="H37" s="393"/>
      <c r="I37" s="492"/>
      <c r="J37" s="426"/>
    </row>
    <row r="38" ht="15.75" customHeight="1">
      <c r="A38" s="586"/>
      <c r="B38" s="582"/>
      <c r="C38" s="393"/>
      <c r="D38" s="393"/>
      <c r="E38" s="393"/>
      <c r="F38" s="393"/>
      <c r="G38" s="393"/>
      <c r="H38" s="393"/>
      <c r="I38" s="411"/>
      <c r="J38" s="426"/>
    </row>
    <row r="39" ht="15.75" customHeight="1">
      <c r="A39" s="586"/>
      <c r="B39" s="582"/>
      <c r="C39" s="393"/>
      <c r="D39" s="393"/>
      <c r="E39" s="393"/>
      <c r="F39" s="393"/>
      <c r="G39" s="366"/>
      <c r="H39" s="393"/>
      <c r="I39" s="492"/>
      <c r="J39" s="426"/>
    </row>
    <row r="40" ht="15.75" customHeight="1">
      <c r="A40" s="586"/>
      <c r="B40" s="582"/>
      <c r="C40" s="393"/>
      <c r="D40" s="393"/>
      <c r="E40" s="393"/>
      <c r="F40" s="393"/>
      <c r="G40" s="393"/>
      <c r="H40" s="393"/>
      <c r="I40" s="411"/>
      <c r="J40" s="426"/>
    </row>
    <row r="41" ht="15.75" customHeight="1">
      <c r="A41" s="586"/>
      <c r="B41" s="582"/>
      <c r="C41" s="393"/>
      <c r="D41" s="393"/>
      <c r="E41" s="393"/>
      <c r="F41" s="393"/>
      <c r="G41" s="366"/>
      <c r="H41" s="393"/>
      <c r="I41" s="492"/>
      <c r="J41" s="426"/>
    </row>
    <row r="42" ht="15.75" customHeight="1">
      <c r="A42" s="586"/>
      <c r="B42" s="582"/>
      <c r="C42" s="393"/>
      <c r="D42" s="393"/>
      <c r="E42" s="393"/>
      <c r="F42" s="393"/>
      <c r="G42" s="393"/>
      <c r="H42" s="393"/>
      <c r="I42" s="411"/>
      <c r="J42" s="426"/>
    </row>
    <row r="43" ht="15.75" customHeight="1">
      <c r="A43" s="586"/>
      <c r="B43" s="582"/>
      <c r="C43" s="393"/>
      <c r="D43" s="393"/>
      <c r="E43" s="393"/>
      <c r="F43" s="393"/>
      <c r="G43" s="366"/>
      <c r="H43" s="393"/>
      <c r="I43" s="492"/>
      <c r="J43" s="426"/>
    </row>
    <row r="44" ht="15.75" customHeight="1">
      <c r="A44" s="586"/>
      <c r="B44" s="582"/>
      <c r="C44" s="393"/>
      <c r="D44" s="393"/>
      <c r="E44" s="393"/>
      <c r="F44" s="393"/>
      <c r="G44" s="393"/>
      <c r="H44" s="393"/>
      <c r="I44" s="411"/>
      <c r="J44" s="426"/>
    </row>
    <row r="45" ht="15.75" customHeight="1">
      <c r="A45" s="586"/>
      <c r="B45" s="582"/>
      <c r="C45" s="393"/>
      <c r="D45" s="393"/>
      <c r="E45" s="393"/>
      <c r="F45" s="393"/>
      <c r="G45" s="366"/>
      <c r="H45" s="393"/>
      <c r="I45" s="492"/>
      <c r="J45" s="426"/>
    </row>
    <row r="46" ht="15.75" customHeight="1">
      <c r="A46" s="586"/>
      <c r="B46" s="582"/>
      <c r="C46" s="393"/>
      <c r="D46" s="393"/>
      <c r="E46" s="393"/>
      <c r="F46" s="393"/>
      <c r="G46" s="393"/>
      <c r="H46" s="393"/>
      <c r="I46" s="411"/>
      <c r="J46" s="426"/>
    </row>
    <row r="47" ht="15.75" customHeight="1">
      <c r="A47" s="586"/>
      <c r="B47" s="582"/>
      <c r="C47" s="393"/>
      <c r="D47" s="393"/>
      <c r="E47" s="393"/>
      <c r="F47" s="393"/>
      <c r="G47" s="366"/>
      <c r="H47" s="393"/>
      <c r="I47" s="492"/>
      <c r="J47" s="426"/>
    </row>
    <row r="48" ht="15.75" customHeight="1">
      <c r="A48" s="586"/>
      <c r="B48" s="582"/>
      <c r="C48" s="393"/>
      <c r="D48" s="393"/>
      <c r="E48" s="393"/>
      <c r="F48" s="393"/>
      <c r="G48" s="393"/>
      <c r="H48" s="393"/>
      <c r="I48" s="411"/>
      <c r="J48" s="426"/>
    </row>
    <row r="49" ht="15.75" customHeight="1">
      <c r="A49" s="585"/>
      <c r="B49" s="571"/>
      <c r="C49" s="393"/>
      <c r="D49" s="393"/>
      <c r="E49" s="393"/>
      <c r="F49" s="393"/>
      <c r="G49" s="366"/>
      <c r="H49" s="393"/>
      <c r="I49" s="492"/>
      <c r="J49" s="426"/>
    </row>
    <row r="50" ht="15.75" customHeight="1">
      <c r="A50" s="403"/>
      <c r="B50" s="583" t="s">
        <v>842</v>
      </c>
      <c r="C50" s="413"/>
      <c r="D50" s="413" t="str">
        <f t="shared" ref="D50:I50" si="8">SUM(D22:D49)</f>
        <v> $ 16,825,221.60 </v>
      </c>
      <c r="E50" s="413" t="str">
        <f t="shared" si="8"/>
        <v> $ 10,179,259.07 </v>
      </c>
      <c r="F50" s="413" t="str">
        <f t="shared" si="8"/>
        <v> $ 16,825,221.60 </v>
      </c>
      <c r="G50" s="413" t="str">
        <f t="shared" si="8"/>
        <v> $ -   </v>
      </c>
      <c r="H50" s="413" t="str">
        <f t="shared" si="8"/>
        <v> $ 10,179,259.07 </v>
      </c>
      <c r="I50" s="413" t="str">
        <f t="shared" si="8"/>
        <v> $ -   </v>
      </c>
      <c r="J50" s="413" t="str">
        <f>J13+J14</f>
        <v> $ 673,008.86 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</sheetData>
  <mergeCells count="3">
    <mergeCell ref="C3:D3"/>
    <mergeCell ref="E3:F3"/>
    <mergeCell ref="G3:H3"/>
  </mergeCells>
  <printOptions/>
  <pageMargins bottom="0.75" footer="0.0" header="0.0" left="0.7" right="0.7" top="0.75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32.0"/>
    <col customWidth="1" min="2" max="7" width="13.86"/>
    <col customWidth="1" min="8" max="26" width="9.0"/>
  </cols>
  <sheetData>
    <row r="1" ht="14.25" customHeight="1">
      <c r="A1" s="320" t="s">
        <v>488</v>
      </c>
      <c r="E1" s="398"/>
      <c r="F1" s="321" t="str">
        <f>InfoInicial!E1</f>
        <v>10</v>
      </c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ht="16.5" customHeight="1">
      <c r="A2" s="544" t="s">
        <v>856</v>
      </c>
      <c r="B2" s="423"/>
      <c r="C2" s="423"/>
      <c r="D2" s="423"/>
      <c r="E2" s="423"/>
      <c r="F2" s="423"/>
      <c r="G2" s="424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</row>
    <row r="3" ht="13.5" customHeight="1">
      <c r="A3" s="404" t="s">
        <v>591</v>
      </c>
      <c r="B3" s="358" t="s">
        <v>44</v>
      </c>
      <c r="C3" s="358" t="s">
        <v>430</v>
      </c>
      <c r="D3" s="358" t="s">
        <v>431</v>
      </c>
      <c r="E3" s="358" t="s">
        <v>432</v>
      </c>
      <c r="F3" s="516" t="s">
        <v>433</v>
      </c>
      <c r="G3" s="359" t="s">
        <v>282</v>
      </c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</row>
    <row r="4" ht="14.25" customHeight="1">
      <c r="A4" s="306" t="s">
        <v>857</v>
      </c>
      <c r="B4" s="393" t="str">
        <f>'E-Costos'!B88</f>
        <v> $ 16,956,000.00 </v>
      </c>
      <c r="C4" s="393" t="str">
        <f>'E-Costos'!C88</f>
        <v> $ 21,195,000.00 </v>
      </c>
      <c r="D4" s="393" t="str">
        <f>'E-Costos'!D88</f>
        <v> $ 21,195,000.00 </v>
      </c>
      <c r="E4" s="393" t="str">
        <f>'E-Costos'!E88</f>
        <v> $ 21,195,000.00 </v>
      </c>
      <c r="F4" s="393" t="str">
        <f>'E-Costos'!F88</f>
        <v> $ 21,195,000.00 </v>
      </c>
      <c r="G4" s="426" t="str">
        <f t="shared" ref="G4:G6" si="1">SUM(B4:F4)</f>
        <v> $ 101,736,000.00 </v>
      </c>
      <c r="H4" s="587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</row>
    <row r="5" ht="14.25" customHeight="1">
      <c r="A5" s="306" t="s">
        <v>858</v>
      </c>
      <c r="B5" s="393" t="str">
        <f>'E-Costos'!B107</f>
        <v> $ 6,639,856.79 </v>
      </c>
      <c r="C5" s="393" t="str">
        <f>'E-Costos'!C107</f>
        <v> $ 7,902,404.61 </v>
      </c>
      <c r="D5" s="393" t="str">
        <f>'E-Costos'!D107</f>
        <v> $ 7,899,763.56 </v>
      </c>
      <c r="E5" s="393" t="str">
        <f>'E-Costos'!E107</f>
        <v> $ 7,899,763.56 </v>
      </c>
      <c r="F5" s="393" t="str">
        <f>'E-Costos'!F107</f>
        <v> $ 7,899,763.56 </v>
      </c>
      <c r="G5" s="426" t="str">
        <f t="shared" si="1"/>
        <v> $ 38,241,552.08 </v>
      </c>
      <c r="H5" s="587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</row>
    <row r="6" ht="14.25" customHeight="1">
      <c r="A6" s="306" t="s">
        <v>859</v>
      </c>
      <c r="B6" s="393" t="str">
        <f t="shared" ref="B6:F6" si="2">B4-B5</f>
        <v> $ 10,316,143.21 </v>
      </c>
      <c r="C6" s="393" t="str">
        <f t="shared" si="2"/>
        <v> $ 13,292,595.39 </v>
      </c>
      <c r="D6" s="393" t="str">
        <f t="shared" si="2"/>
        <v> $ 13,295,236.44 </v>
      </c>
      <c r="E6" s="393" t="str">
        <f t="shared" si="2"/>
        <v> $ 13,295,236.44 </v>
      </c>
      <c r="F6" s="393" t="str">
        <f t="shared" si="2"/>
        <v> $ 13,295,236.44 </v>
      </c>
      <c r="G6" s="426" t="str">
        <f t="shared" si="1"/>
        <v> $ 63,494,447.92 </v>
      </c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</row>
    <row r="7" ht="14.25" customHeight="1">
      <c r="A7" s="306" t="s">
        <v>647</v>
      </c>
      <c r="B7" s="393"/>
      <c r="C7" s="393"/>
      <c r="D7" s="393"/>
      <c r="E7" s="393"/>
      <c r="F7" s="522"/>
      <c r="G7" s="42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</row>
    <row r="8" ht="14.25" customHeight="1">
      <c r="A8" s="306" t="s">
        <v>860</v>
      </c>
      <c r="B8" s="393" t="str">
        <f>'E-Costos'!B109</f>
        <v> $ 2,592,804.76 </v>
      </c>
      <c r="C8" s="393" t="str">
        <f>'E-Costos'!C109</f>
        <v> $ 2,839,387.47 </v>
      </c>
      <c r="D8" s="393" t="str">
        <f>'E-Costos'!D109</f>
        <v> $ 2,839,387.47 </v>
      </c>
      <c r="E8" s="393" t="str">
        <f>'E-Costos'!E109</f>
        <v> $ 2,839,387.47 </v>
      </c>
      <c r="F8" s="393" t="str">
        <f>'E-Costos'!F109</f>
        <v> $ 2,839,387.47 </v>
      </c>
      <c r="G8" s="426" t="str">
        <f t="shared" ref="G8:G14" si="3">SUM(B8:F8)</f>
        <v> $ 13,950,354.63 </v>
      </c>
      <c r="H8" s="587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</row>
    <row r="9" ht="14.25" customHeight="1">
      <c r="A9" s="306" t="s">
        <v>861</v>
      </c>
      <c r="B9" s="393" t="str">
        <f>'E-Costos'!B110</f>
        <v> $ 2,449,957.36 </v>
      </c>
      <c r="C9" s="393" t="str">
        <f>'E-Costos'!C110</f>
        <v> $ 2,846,172.65 </v>
      </c>
      <c r="D9" s="393" t="str">
        <f>'E-Costos'!D110</f>
        <v> $ 2,846,172.65 </v>
      </c>
      <c r="E9" s="393" t="str">
        <f>'E-Costos'!E110</f>
        <v> $ 2,846,172.65 </v>
      </c>
      <c r="F9" s="393" t="str">
        <f>'E-Costos'!F110</f>
        <v> $ 2,846,172.65 </v>
      </c>
      <c r="G9" s="426" t="str">
        <f t="shared" si="3"/>
        <v> $ 13,834,647.96 </v>
      </c>
      <c r="H9" s="587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</row>
    <row r="10" ht="14.25" customHeight="1">
      <c r="A10" s="306" t="s">
        <v>862</v>
      </c>
      <c r="B10" s="588" t="str">
        <f>'F-Cred'!E24+'F-Cred'!G24</f>
        <v> $ 7,080,672.52 </v>
      </c>
      <c r="C10" s="588" t="str">
        <f>'F-Cred'!E26+'F-Cred'!G26</f>
        <v> $ 6,340,362.77 </v>
      </c>
      <c r="D10" s="588" t="str">
        <f>'F-Cred'!E28+'F-Cred'!G28</f>
        <v> $ 5,600,053.02 </v>
      </c>
      <c r="E10" s="427" t="str">
        <f>'F-Cred'!E30+'F-Cred'!G30</f>
        <v> $ 4,859,743.27 </v>
      </c>
      <c r="F10" s="589" t="str">
        <f>'F-Cred'!E32+'F-Cred'!G32</f>
        <v> $ 4,119,433.52 </v>
      </c>
      <c r="G10" s="590" t="str">
        <f t="shared" si="3"/>
        <v> $ 28,000,265.11 </v>
      </c>
      <c r="H10" s="587"/>
      <c r="I10" s="219" t="s">
        <v>863</v>
      </c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</row>
    <row r="11" ht="14.25" customHeight="1">
      <c r="A11" s="201" t="s">
        <v>864</v>
      </c>
      <c r="B11" s="393" t="str">
        <f t="shared" ref="B11:F11" si="4">B6-B8-B9-B10</f>
        <v> $ (1,807,291.43)</v>
      </c>
      <c r="C11" s="393" t="str">
        <f t="shared" si="4"/>
        <v> $ 1,266,672.50 </v>
      </c>
      <c r="D11" s="393" t="str">
        <f t="shared" si="4"/>
        <v> $ 2,009,623.30 </v>
      </c>
      <c r="E11" s="393" t="str">
        <f t="shared" si="4"/>
        <v> $ 2,749,933.05 </v>
      </c>
      <c r="F11" s="393" t="str">
        <f t="shared" si="4"/>
        <v> $ 3,490,242.80 </v>
      </c>
      <c r="G11" s="426" t="str">
        <f t="shared" si="3"/>
        <v> $ 7,709,180.22 </v>
      </c>
      <c r="H11" s="587"/>
      <c r="I11" s="223" t="s">
        <v>557</v>
      </c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</row>
    <row r="12" ht="14.25" customHeight="1">
      <c r="A12" s="306" t="s">
        <v>865</v>
      </c>
      <c r="B12" s="393">
        <v>0.0</v>
      </c>
      <c r="C12" s="393" t="str">
        <f>C11*InfoInicial!$B$5</f>
        <v> $ 101,333.80 </v>
      </c>
      <c r="D12" s="393" t="str">
        <f>D11*InfoInicial!$B$5</f>
        <v> $ 160,769.86 </v>
      </c>
      <c r="E12" s="393" t="str">
        <f>E11*InfoInicial!$B$5</f>
        <v> $ 219,994.64 </v>
      </c>
      <c r="F12" s="393" t="str">
        <f>F11*InfoInicial!$B$5</f>
        <v> $ 279,219.42 </v>
      </c>
      <c r="G12" s="426" t="str">
        <f t="shared" si="3"/>
        <v> $ 761,317.73 </v>
      </c>
      <c r="H12" s="587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</row>
    <row r="13" ht="14.25" customHeight="1">
      <c r="A13" s="410" t="s">
        <v>866</v>
      </c>
      <c r="B13" s="393" t="str">
        <f t="shared" ref="B13:F13" si="5">IF(B11&gt;0,(B11-B12)*0.35,0)</f>
        <v> $ -   </v>
      </c>
      <c r="C13" s="393" t="str">
        <f t="shared" si="5"/>
        <v> $ 407,868.55 </v>
      </c>
      <c r="D13" s="393" t="str">
        <f t="shared" si="5"/>
        <v> $ 647,098.70 </v>
      </c>
      <c r="E13" s="393" t="str">
        <f t="shared" si="5"/>
        <v> $ 885,478.44 </v>
      </c>
      <c r="F13" s="393" t="str">
        <f t="shared" si="5"/>
        <v> $ 1,123,858.18 </v>
      </c>
      <c r="G13" s="426" t="str">
        <f t="shared" si="3"/>
        <v> $ 3,064,303.87 </v>
      </c>
      <c r="H13" s="587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</row>
    <row r="14" ht="14.25" customHeight="1">
      <c r="A14" s="528" t="s">
        <v>867</v>
      </c>
      <c r="B14" s="573" t="str">
        <f t="shared" ref="B14:F14" si="6">B11-B12-B13</f>
        <v> $ (1,807,291.43)</v>
      </c>
      <c r="C14" s="573" t="str">
        <f t="shared" si="6"/>
        <v> $ 757,470.16 </v>
      </c>
      <c r="D14" s="573" t="str">
        <f t="shared" si="6"/>
        <v> $ 1,201,754.73 </v>
      </c>
      <c r="E14" s="573" t="str">
        <f t="shared" si="6"/>
        <v> $ 1,644,459.96 </v>
      </c>
      <c r="F14" s="573" t="str">
        <f t="shared" si="6"/>
        <v> $ 2,087,165.19 </v>
      </c>
      <c r="G14" s="552" t="str">
        <f t="shared" si="3"/>
        <v> $ 3,883,558.61 </v>
      </c>
      <c r="H14" s="587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</row>
    <row r="15" ht="12.75" customHeight="1">
      <c r="A15" s="306"/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</row>
    <row r="16" ht="12.75" customHeight="1">
      <c r="A16" s="306"/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</row>
    <row r="17" ht="12.75" customHeight="1">
      <c r="A17" s="306"/>
      <c r="B17" s="298" t="str">
        <f t="shared" ref="B17:G17" si="7">B5+B8+B9+B10</f>
        <v> $ 18,763,291.43 </v>
      </c>
      <c r="C17" s="298" t="str">
        <f t="shared" si="7"/>
        <v> $ 19,928,327.50 </v>
      </c>
      <c r="D17" s="298" t="str">
        <f t="shared" si="7"/>
        <v> $ 19,185,376.70 </v>
      </c>
      <c r="E17" s="298" t="str">
        <f t="shared" si="7"/>
        <v> $ 18,445,066.95 </v>
      </c>
      <c r="F17" s="298" t="str">
        <f t="shared" si="7"/>
        <v> $ 17,704,757.20 </v>
      </c>
      <c r="G17" s="298" t="str">
        <f t="shared" si="7"/>
        <v> $ 94,026,819.78 </v>
      </c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</row>
    <row r="18" ht="12.75" customHeight="1">
      <c r="A18" s="306"/>
      <c r="B18" s="298" t="str">
        <f>B17-'F- CFyU'!C16</f>
        <v> $ -   </v>
      </c>
      <c r="C18" s="298" t="str">
        <f>C17-'F- CFyU'!D16</f>
        <v> $ -   </v>
      </c>
      <c r="D18" s="298" t="str">
        <f>D17-'F- CFyU'!E16</f>
        <v> $ -   </v>
      </c>
      <c r="E18" s="298" t="str">
        <f>E17-'F- CFyU'!F16</f>
        <v> $ -   </v>
      </c>
      <c r="F18" s="298" t="str">
        <f>F17-'F- CFyU'!G16</f>
        <v> $ -   </v>
      </c>
      <c r="G18" s="591" t="str">
        <f>G17-'F- CFyU'!H16</f>
        <v> $ 0.000000 </v>
      </c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</row>
    <row r="19" ht="12.75" customHeight="1">
      <c r="A19" s="306"/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</row>
    <row r="20" ht="12.75" customHeight="1">
      <c r="A20" s="306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</row>
    <row r="21" ht="12.75" customHeight="1">
      <c r="A21" s="306"/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</row>
    <row r="22" ht="12.75" customHeight="1">
      <c r="A22" s="306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</row>
    <row r="23" ht="12.75" customHeight="1">
      <c r="A23" s="306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</row>
    <row r="24" ht="12.75" customHeight="1">
      <c r="A24" s="306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</row>
    <row r="25" ht="12.75" customHeight="1">
      <c r="A25" s="306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</row>
    <row r="26" ht="12.75" customHeight="1">
      <c r="A26" s="306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</row>
    <row r="27" ht="12.75" customHeight="1">
      <c r="A27" s="306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</row>
    <row r="28" ht="12.75" customHeight="1">
      <c r="A28" s="306"/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</row>
    <row r="29" ht="12.75" customHeight="1">
      <c r="A29" s="306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</row>
    <row r="30" ht="12.75" customHeight="1">
      <c r="A30" s="306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</row>
    <row r="31" ht="12.75" customHeight="1">
      <c r="A31" s="306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</row>
    <row r="32" ht="12.75" customHeight="1">
      <c r="A32" s="306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</row>
    <row r="33" ht="12.75" customHeight="1">
      <c r="A33" s="306"/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</row>
    <row r="34" ht="12.75" customHeight="1">
      <c r="A34" s="306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</row>
    <row r="35" ht="12.75" customHeight="1">
      <c r="A35" s="306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</row>
    <row r="36" ht="12.75" customHeight="1">
      <c r="A36" s="306"/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</row>
    <row r="37" ht="12.75" customHeight="1">
      <c r="A37" s="30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</row>
    <row r="38" ht="12.75" customHeight="1">
      <c r="A38" s="306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</row>
    <row r="39" ht="12.75" customHeight="1">
      <c r="A39" s="306"/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</row>
    <row r="40" ht="12.75" customHeight="1">
      <c r="A40" s="306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</row>
    <row r="41" ht="12.75" customHeight="1">
      <c r="A41" s="306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</row>
    <row r="42" ht="12.75" customHeight="1">
      <c r="A42" s="306"/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</row>
    <row r="43" ht="12.75" customHeight="1">
      <c r="A43" s="306"/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</row>
    <row r="44" ht="12.75" customHeight="1">
      <c r="A44" s="306"/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</row>
    <row r="45" ht="12.75" customHeight="1">
      <c r="A45" s="306"/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</row>
    <row r="46" ht="12.75" customHeight="1">
      <c r="A46" s="306"/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</row>
    <row r="47" ht="12.75" customHeight="1">
      <c r="A47" s="306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</row>
    <row r="48" ht="12.75" customHeight="1">
      <c r="A48" s="306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</row>
    <row r="49" ht="12.75" customHeight="1">
      <c r="A49" s="306"/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</row>
    <row r="50" ht="12.75" customHeight="1">
      <c r="A50" s="306"/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</row>
    <row r="51" ht="12.75" customHeight="1">
      <c r="A51" s="306"/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</row>
    <row r="52" ht="12.75" customHeight="1">
      <c r="A52" s="306"/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</row>
    <row r="53" ht="12.75" customHeight="1">
      <c r="A53" s="306"/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</row>
    <row r="54" ht="12.75" customHeight="1">
      <c r="A54" s="306"/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</row>
    <row r="55" ht="12.75" customHeight="1">
      <c r="A55" s="306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</row>
    <row r="56" ht="12.75" customHeight="1">
      <c r="A56" s="306"/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</row>
    <row r="57" ht="12.75" customHeight="1">
      <c r="A57" s="306"/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</row>
    <row r="58" ht="12.75" customHeight="1">
      <c r="A58" s="306"/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</row>
    <row r="59" ht="12.75" customHeight="1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</row>
    <row r="60" ht="12.75" customHeight="1">
      <c r="A60" s="306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</row>
    <row r="61" ht="12.75" customHeight="1">
      <c r="A61" s="306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</row>
    <row r="62" ht="12.75" customHeigh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</row>
    <row r="63" ht="12.75" customHeight="1">
      <c r="A63" s="306"/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</row>
    <row r="64" ht="12.75" customHeight="1">
      <c r="A64" s="306"/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</row>
    <row r="65" ht="12.75" customHeight="1">
      <c r="A65" s="306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</row>
    <row r="66" ht="12.75" customHeight="1">
      <c r="A66" s="306"/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</row>
    <row r="67" ht="12.75" customHeight="1">
      <c r="A67" s="306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</row>
    <row r="68" ht="12.75" customHeight="1">
      <c r="A68" s="306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</row>
    <row r="69" ht="12.75" customHeight="1">
      <c r="A69" s="306"/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</row>
    <row r="70" ht="12.75" customHeight="1">
      <c r="A70" s="306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</row>
    <row r="71" ht="12.75" customHeight="1">
      <c r="A71" s="306"/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</row>
    <row r="72" ht="12.75" customHeight="1">
      <c r="A72" s="306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</row>
    <row r="73" ht="12.75" customHeight="1">
      <c r="A73" s="306"/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</row>
    <row r="74" ht="12.75" customHeight="1">
      <c r="A74" s="306"/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</row>
    <row r="75" ht="12.75" customHeight="1">
      <c r="A75" s="306"/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</row>
    <row r="76" ht="12.75" customHeight="1">
      <c r="A76" s="306"/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</row>
    <row r="77" ht="12.75" customHeight="1">
      <c r="A77" s="306"/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</row>
    <row r="78" ht="12.75" customHeight="1">
      <c r="A78" s="306"/>
      <c r="B78" s="306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</row>
    <row r="79" ht="12.75" customHeight="1">
      <c r="A79" s="306"/>
      <c r="B79" s="306"/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6"/>
      <c r="Z79" s="306"/>
    </row>
    <row r="80" ht="12.75" customHeight="1">
      <c r="A80" s="306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</row>
    <row r="81" ht="12.75" customHeight="1">
      <c r="A81" s="306"/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</row>
    <row r="82" ht="12.75" customHeight="1">
      <c r="A82" s="306"/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</row>
    <row r="83" ht="12.75" customHeight="1">
      <c r="A83" s="306"/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</row>
    <row r="84" ht="12.75" customHeight="1">
      <c r="A84" s="306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</row>
    <row r="85" ht="12.75" customHeight="1">
      <c r="A85" s="306"/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</row>
    <row r="86" ht="12.75" customHeight="1">
      <c r="A86" s="306"/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</row>
    <row r="87" ht="12.75" customHeight="1">
      <c r="A87" s="306"/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</row>
    <row r="88" ht="12.75" customHeight="1">
      <c r="A88" s="306"/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</row>
    <row r="89" ht="12.75" customHeight="1">
      <c r="A89" s="306"/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</row>
    <row r="90" ht="12.75" customHeight="1">
      <c r="A90" s="306"/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</row>
    <row r="91" ht="12.75" customHeight="1">
      <c r="A91" s="306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</row>
    <row r="92" ht="12.75" customHeigh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</row>
    <row r="93" ht="12.75" customHeight="1">
      <c r="A93" s="306"/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</row>
    <row r="94" ht="12.75" customHeight="1">
      <c r="A94" s="306"/>
      <c r="B94" s="306"/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</row>
    <row r="95" ht="12.75" customHeight="1">
      <c r="A95" s="306"/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</row>
    <row r="96" ht="12.75" customHeight="1">
      <c r="A96" s="306"/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</row>
    <row r="97" ht="12.75" customHeight="1">
      <c r="A97" s="306"/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</row>
    <row r="98" ht="12.75" customHeight="1">
      <c r="A98" s="306"/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</row>
    <row r="99" ht="12.75" customHeight="1">
      <c r="A99" s="306"/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</row>
    <row r="100" ht="12.75" customHeight="1">
      <c r="A100" s="306"/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</row>
    <row r="101" ht="12.75" customHeight="1">
      <c r="A101" s="306"/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</row>
    <row r="102" ht="12.75" customHeight="1">
      <c r="A102" s="306"/>
      <c r="B102" s="306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</row>
    <row r="103" ht="12.75" customHeight="1">
      <c r="A103" s="306"/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</row>
    <row r="104" ht="12.75" customHeight="1">
      <c r="A104" s="306"/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</row>
    <row r="105" ht="12.75" customHeight="1">
      <c r="A105" s="306"/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</row>
    <row r="106" ht="12.75" customHeight="1">
      <c r="A106" s="306"/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</row>
    <row r="107" ht="12.75" customHeight="1">
      <c r="A107" s="306"/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</row>
    <row r="108" ht="12.75" customHeight="1">
      <c r="A108" s="306"/>
      <c r="B108" s="306"/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306"/>
    </row>
    <row r="109" ht="12.75" customHeight="1">
      <c r="A109" s="306"/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6"/>
    </row>
    <row r="110" ht="12.75" customHeight="1">
      <c r="A110" s="306"/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</row>
    <row r="111" ht="12.75" customHeight="1">
      <c r="A111" s="306"/>
      <c r="B111" s="306"/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6"/>
      <c r="X111" s="306"/>
      <c r="Y111" s="306"/>
      <c r="Z111" s="306"/>
    </row>
    <row r="112" ht="12.75" customHeight="1">
      <c r="A112" s="306"/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</row>
    <row r="113" ht="12.75" customHeight="1">
      <c r="A113" s="306"/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</row>
    <row r="114" ht="12.75" customHeight="1">
      <c r="A114" s="306"/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</row>
    <row r="115" ht="12.75" customHeight="1">
      <c r="A115" s="306"/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  <c r="Z115" s="306"/>
    </row>
    <row r="116" ht="12.75" customHeight="1">
      <c r="A116" s="306"/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</row>
    <row r="117" ht="12.75" customHeight="1">
      <c r="A117" s="306"/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  <c r="S117" s="306"/>
      <c r="T117" s="306"/>
      <c r="U117" s="306"/>
      <c r="V117" s="306"/>
      <c r="W117" s="306"/>
      <c r="X117" s="306"/>
      <c r="Y117" s="306"/>
      <c r="Z117" s="306"/>
    </row>
    <row r="118" ht="12.75" customHeight="1">
      <c r="A118" s="306"/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R118" s="306"/>
      <c r="S118" s="306"/>
      <c r="T118" s="306"/>
      <c r="U118" s="306"/>
      <c r="V118" s="306"/>
      <c r="W118" s="306"/>
      <c r="X118" s="306"/>
      <c r="Y118" s="306"/>
      <c r="Z118" s="306"/>
    </row>
    <row r="119" ht="12.75" customHeight="1">
      <c r="A119" s="306"/>
      <c r="B119" s="306"/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</row>
    <row r="120" ht="12.75" customHeight="1">
      <c r="A120" s="306"/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</row>
    <row r="121" ht="12.75" customHeight="1">
      <c r="A121" s="306"/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</row>
    <row r="122" ht="12.75" customHeigh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  <c r="X122" s="306"/>
      <c r="Y122" s="306"/>
      <c r="Z122" s="306"/>
    </row>
    <row r="123" ht="12.75" customHeight="1">
      <c r="A123" s="306"/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</row>
    <row r="124" ht="12.75" customHeight="1">
      <c r="A124" s="306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</row>
    <row r="125" ht="12.75" customHeight="1">
      <c r="A125" s="306"/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</row>
    <row r="126" ht="12.75" customHeight="1">
      <c r="A126" s="306"/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</row>
    <row r="127" ht="12.75" customHeight="1">
      <c r="A127" s="306"/>
      <c r="B127" s="306"/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</row>
    <row r="128" ht="12.75" customHeight="1">
      <c r="A128" s="306"/>
      <c r="B128" s="306"/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</row>
    <row r="129" ht="12.75" customHeight="1">
      <c r="A129" s="306"/>
      <c r="B129" s="306"/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</row>
    <row r="130" ht="12.75" customHeight="1">
      <c r="A130" s="306"/>
      <c r="B130" s="306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</row>
    <row r="131" ht="12.75" customHeight="1">
      <c r="A131" s="306"/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</row>
    <row r="132" ht="12.75" customHeight="1">
      <c r="A132" s="306"/>
      <c r="B132" s="306"/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306"/>
    </row>
    <row r="133" ht="12.75" customHeight="1">
      <c r="A133" s="306"/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  <c r="Z133" s="306"/>
    </row>
    <row r="134" ht="12.75" customHeight="1">
      <c r="A134" s="306"/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</row>
    <row r="135" ht="12.75" customHeight="1">
      <c r="A135" s="306"/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</row>
    <row r="136" ht="12.75" customHeight="1">
      <c r="A136" s="306"/>
      <c r="B136" s="306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</row>
    <row r="137" ht="12.75" customHeight="1">
      <c r="A137" s="306"/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  <c r="Y137" s="306"/>
      <c r="Z137" s="306"/>
    </row>
    <row r="138" ht="12.75" customHeight="1">
      <c r="A138" s="306"/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</row>
    <row r="139" ht="12.75" customHeight="1">
      <c r="A139" s="306"/>
      <c r="B139" s="306"/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</row>
    <row r="140" ht="12.75" customHeight="1">
      <c r="A140" s="306"/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</row>
    <row r="141" ht="12.75" customHeight="1">
      <c r="A141" s="306"/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</row>
    <row r="142" ht="12.75" customHeight="1">
      <c r="A142" s="306"/>
      <c r="B142" s="306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</row>
    <row r="143" ht="12.75" customHeight="1">
      <c r="A143" s="306"/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6"/>
      <c r="U143" s="306"/>
      <c r="V143" s="306"/>
      <c r="W143" s="306"/>
      <c r="X143" s="306"/>
      <c r="Y143" s="306"/>
      <c r="Z143" s="306"/>
    </row>
    <row r="144" ht="12.75" customHeight="1">
      <c r="A144" s="306"/>
      <c r="B144" s="306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306"/>
    </row>
    <row r="145" ht="12.75" customHeight="1">
      <c r="A145" s="306"/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</row>
    <row r="146" ht="12.75" customHeight="1">
      <c r="A146" s="306"/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</row>
    <row r="147" ht="12.75" customHeight="1">
      <c r="A147" s="306"/>
      <c r="B147" s="306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  <c r="Z147" s="306"/>
    </row>
    <row r="148" ht="12.75" customHeight="1">
      <c r="A148" s="306"/>
      <c r="B148" s="306"/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  <c r="Z148" s="306"/>
    </row>
    <row r="149" ht="12.75" customHeight="1">
      <c r="A149" s="306"/>
      <c r="B149" s="306"/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</row>
    <row r="150" ht="12.75" customHeight="1">
      <c r="A150" s="306"/>
      <c r="B150" s="306"/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</row>
    <row r="151" ht="12.75" customHeight="1">
      <c r="A151" s="306"/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306"/>
      <c r="Y151" s="306"/>
      <c r="Z151" s="306"/>
    </row>
    <row r="152" ht="12.75" customHeight="1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</row>
    <row r="153" ht="12.75" customHeight="1">
      <c r="A153" s="306"/>
      <c r="B153" s="306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  <c r="Z153" s="306"/>
    </row>
    <row r="154" ht="12.75" customHeight="1">
      <c r="A154" s="306"/>
      <c r="B154" s="306"/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306"/>
      <c r="X154" s="306"/>
      <c r="Y154" s="306"/>
      <c r="Z154" s="306"/>
    </row>
    <row r="155" ht="12.75" customHeight="1">
      <c r="A155" s="306"/>
      <c r="B155" s="306"/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306"/>
      <c r="X155" s="306"/>
      <c r="Y155" s="306"/>
      <c r="Z155" s="306"/>
    </row>
    <row r="156" ht="12.75" customHeight="1">
      <c r="A156" s="306"/>
      <c r="B156" s="306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306"/>
      <c r="X156" s="306"/>
      <c r="Y156" s="306"/>
      <c r="Z156" s="306"/>
    </row>
    <row r="157" ht="12.75" customHeight="1">
      <c r="A157" s="306"/>
      <c r="B157" s="306"/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306"/>
    </row>
    <row r="158" ht="12.75" customHeight="1">
      <c r="A158" s="306"/>
      <c r="B158" s="306"/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</row>
    <row r="159" ht="12.75" customHeight="1">
      <c r="A159" s="306"/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</row>
    <row r="160" ht="12.75" customHeight="1">
      <c r="A160" s="306"/>
      <c r="B160" s="306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  <c r="Z160" s="306"/>
    </row>
    <row r="161" ht="12.75" customHeight="1">
      <c r="A161" s="306"/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</row>
    <row r="162" ht="12.75" customHeight="1">
      <c r="A162" s="306"/>
      <c r="B162" s="306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</row>
    <row r="163" ht="12.75" customHeight="1">
      <c r="A163" s="306"/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</row>
    <row r="164" ht="12.75" customHeight="1">
      <c r="A164" s="306"/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</row>
    <row r="165" ht="12.75" customHeight="1">
      <c r="A165" s="306"/>
      <c r="B165" s="306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</row>
    <row r="166" ht="12.75" customHeight="1">
      <c r="A166" s="306"/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</row>
    <row r="167" ht="12.75" customHeight="1">
      <c r="A167" s="306"/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</row>
    <row r="168" ht="12.75" customHeight="1">
      <c r="A168" s="306"/>
      <c r="B168" s="306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  <c r="Z168" s="306"/>
    </row>
    <row r="169" ht="12.75" customHeight="1">
      <c r="A169" s="306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6"/>
      <c r="T169" s="306"/>
      <c r="U169" s="306"/>
      <c r="V169" s="306"/>
      <c r="W169" s="306"/>
      <c r="X169" s="306"/>
      <c r="Y169" s="306"/>
      <c r="Z169" s="306"/>
    </row>
    <row r="170" ht="12.75" customHeight="1">
      <c r="A170" s="306"/>
      <c r="B170" s="306"/>
      <c r="C170" s="306"/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</row>
    <row r="171" ht="12.75" customHeight="1">
      <c r="A171" s="306"/>
      <c r="B171" s="306"/>
      <c r="C171" s="306"/>
      <c r="D171" s="306"/>
      <c r="E171" s="306"/>
      <c r="F171" s="306"/>
      <c r="G171" s="306"/>
      <c r="H171" s="306"/>
      <c r="I171" s="306"/>
      <c r="J171" s="306"/>
      <c r="K171" s="306"/>
      <c r="L171" s="306"/>
      <c r="M171" s="306"/>
      <c r="N171" s="306"/>
      <c r="O171" s="306"/>
      <c r="P171" s="306"/>
      <c r="Q171" s="306"/>
      <c r="R171" s="306"/>
      <c r="S171" s="306"/>
      <c r="T171" s="306"/>
      <c r="U171" s="306"/>
      <c r="V171" s="306"/>
      <c r="W171" s="306"/>
      <c r="X171" s="306"/>
      <c r="Y171" s="306"/>
      <c r="Z171" s="306"/>
    </row>
    <row r="172" ht="12.75" customHeight="1">
      <c r="A172" s="306"/>
      <c r="B172" s="306"/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</row>
    <row r="173" ht="12.75" customHeight="1">
      <c r="A173" s="306"/>
      <c r="B173" s="306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306"/>
      <c r="X173" s="306"/>
      <c r="Y173" s="306"/>
      <c r="Z173" s="306"/>
    </row>
    <row r="174" ht="12.75" customHeight="1">
      <c r="A174" s="306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  <c r="Z174" s="306"/>
    </row>
    <row r="175" ht="12.75" customHeight="1">
      <c r="A175" s="306"/>
      <c r="B175" s="306"/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</row>
    <row r="176" ht="12.75" customHeight="1">
      <c r="A176" s="306"/>
      <c r="B176" s="306"/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/>
      <c r="Z176" s="306"/>
    </row>
    <row r="177" ht="12.75" customHeight="1">
      <c r="A177" s="306"/>
      <c r="B177" s="306"/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306"/>
      <c r="X177" s="306"/>
      <c r="Y177" s="306"/>
      <c r="Z177" s="306"/>
    </row>
    <row r="178" ht="12.75" customHeight="1">
      <c r="A178" s="306"/>
      <c r="B178" s="306"/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306"/>
    </row>
    <row r="179" ht="12.75" customHeight="1">
      <c r="A179" s="306"/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/>
      <c r="V179" s="306"/>
      <c r="W179" s="306"/>
      <c r="X179" s="306"/>
      <c r="Y179" s="306"/>
      <c r="Z179" s="306"/>
    </row>
    <row r="180" ht="12.75" customHeight="1">
      <c r="A180" s="306"/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</row>
    <row r="181" ht="12.75" customHeight="1">
      <c r="A181" s="306"/>
      <c r="B181" s="306"/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  <c r="Y181" s="306"/>
      <c r="Z181" s="306"/>
    </row>
    <row r="182" ht="12.75" customHeigh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  <c r="Z182" s="306"/>
    </row>
    <row r="183" ht="12.75" customHeight="1">
      <c r="A183" s="306"/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</row>
    <row r="184" ht="12.75" customHeight="1">
      <c r="A184" s="306"/>
      <c r="B184" s="306"/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</row>
    <row r="185" ht="12.75" customHeight="1">
      <c r="A185" s="306"/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</row>
    <row r="186" ht="12.75" customHeight="1">
      <c r="A186" s="306"/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</row>
    <row r="187" ht="12.75" customHeight="1">
      <c r="A187" s="306"/>
      <c r="B187" s="306"/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</row>
    <row r="188" ht="12.75" customHeight="1">
      <c r="A188" s="306"/>
      <c r="B188" s="306"/>
      <c r="C188" s="306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  <c r="Z188" s="306"/>
    </row>
    <row r="189" ht="12.75" customHeight="1">
      <c r="A189" s="306"/>
      <c r="B189" s="306"/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</row>
    <row r="190" ht="12.75" customHeight="1">
      <c r="A190" s="306"/>
      <c r="B190" s="306"/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306"/>
    </row>
    <row r="191" ht="12.75" customHeight="1">
      <c r="A191" s="306"/>
      <c r="B191" s="306"/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</row>
    <row r="192" ht="12.75" customHeight="1">
      <c r="A192" s="306"/>
      <c r="B192" s="306"/>
      <c r="C192" s="306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</row>
    <row r="193" ht="12.75" customHeight="1">
      <c r="A193" s="306"/>
      <c r="B193" s="306"/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6"/>
      <c r="V193" s="306"/>
      <c r="W193" s="306"/>
      <c r="X193" s="306"/>
      <c r="Y193" s="306"/>
      <c r="Z193" s="306"/>
    </row>
    <row r="194" ht="12.75" customHeight="1">
      <c r="A194" s="306"/>
      <c r="B194" s="306"/>
      <c r="C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</row>
    <row r="195" ht="12.75" customHeight="1">
      <c r="A195" s="306"/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  <c r="Z195" s="306"/>
    </row>
    <row r="196" ht="12.75" customHeight="1">
      <c r="A196" s="306"/>
      <c r="B196" s="306"/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  <c r="Z196" s="306"/>
    </row>
    <row r="197" ht="12.75" customHeight="1">
      <c r="A197" s="306"/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  <c r="S197" s="306"/>
      <c r="T197" s="306"/>
      <c r="U197" s="306"/>
      <c r="V197" s="306"/>
      <c r="W197" s="306"/>
      <c r="X197" s="306"/>
      <c r="Y197" s="306"/>
      <c r="Z197" s="306"/>
    </row>
    <row r="198" ht="12.75" customHeight="1">
      <c r="A198" s="306"/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306"/>
    </row>
    <row r="199" ht="12.75" customHeight="1">
      <c r="A199" s="306"/>
      <c r="B199" s="306"/>
      <c r="C199" s="306"/>
      <c r="D199" s="306"/>
      <c r="E199" s="306"/>
      <c r="F199" s="306"/>
      <c r="G199" s="306"/>
      <c r="H199" s="306"/>
      <c r="I199" s="306"/>
      <c r="J199" s="306"/>
      <c r="K199" s="306"/>
      <c r="L199" s="306"/>
      <c r="M199" s="306"/>
      <c r="N199" s="306"/>
      <c r="O199" s="306"/>
      <c r="P199" s="306"/>
      <c r="Q199" s="306"/>
      <c r="R199" s="306"/>
      <c r="S199" s="306"/>
      <c r="T199" s="306"/>
      <c r="U199" s="306"/>
      <c r="V199" s="306"/>
      <c r="W199" s="306"/>
      <c r="X199" s="306"/>
      <c r="Y199" s="306"/>
      <c r="Z199" s="306"/>
    </row>
    <row r="200" ht="12.75" customHeight="1">
      <c r="A200" s="306"/>
      <c r="B200" s="306"/>
      <c r="C200" s="306"/>
      <c r="D200" s="306"/>
      <c r="E200" s="306"/>
      <c r="F200" s="306"/>
      <c r="G200" s="306"/>
      <c r="H200" s="306"/>
      <c r="I200" s="306"/>
      <c r="J200" s="306"/>
      <c r="K200" s="306"/>
      <c r="L200" s="306"/>
      <c r="M200" s="306"/>
      <c r="N200" s="306"/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  <c r="Z200" s="306"/>
    </row>
    <row r="201" ht="12.75" customHeight="1">
      <c r="A201" s="306"/>
      <c r="B201" s="306"/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  <c r="Z201" s="306"/>
    </row>
    <row r="202" ht="12.75" customHeight="1">
      <c r="A202" s="306"/>
      <c r="B202" s="306"/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  <c r="T202" s="306"/>
      <c r="U202" s="306"/>
      <c r="V202" s="306"/>
      <c r="W202" s="306"/>
      <c r="X202" s="306"/>
      <c r="Y202" s="306"/>
      <c r="Z202" s="306"/>
    </row>
    <row r="203" ht="12.75" customHeight="1">
      <c r="A203" s="306"/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306"/>
    </row>
    <row r="204" ht="12.75" customHeight="1">
      <c r="A204" s="306"/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</row>
    <row r="205" ht="12.75" customHeight="1">
      <c r="A205" s="306"/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</row>
    <row r="206" ht="12.75" customHeight="1">
      <c r="A206" s="306"/>
      <c r="B206" s="306"/>
      <c r="C206" s="306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  <c r="T206" s="306"/>
      <c r="U206" s="306"/>
      <c r="V206" s="306"/>
      <c r="W206" s="306"/>
      <c r="X206" s="306"/>
      <c r="Y206" s="306"/>
      <c r="Z206" s="306"/>
    </row>
    <row r="207" ht="12.75" customHeight="1">
      <c r="A207" s="306"/>
      <c r="B207" s="306"/>
      <c r="C207" s="306"/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  <c r="S207" s="306"/>
      <c r="T207" s="306"/>
      <c r="U207" s="306"/>
      <c r="V207" s="306"/>
      <c r="W207" s="306"/>
      <c r="X207" s="306"/>
      <c r="Y207" s="306"/>
      <c r="Z207" s="306"/>
    </row>
    <row r="208" ht="12.75" customHeight="1">
      <c r="A208" s="306"/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  <c r="T208" s="306"/>
      <c r="U208" s="306"/>
      <c r="V208" s="306"/>
      <c r="W208" s="306"/>
      <c r="X208" s="306"/>
      <c r="Y208" s="306"/>
      <c r="Z208" s="306"/>
    </row>
    <row r="209" ht="12.75" customHeight="1">
      <c r="A209" s="306"/>
      <c r="B209" s="306"/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  <c r="T209" s="306"/>
      <c r="U209" s="306"/>
      <c r="V209" s="306"/>
      <c r="W209" s="306"/>
      <c r="X209" s="306"/>
      <c r="Y209" s="306"/>
      <c r="Z209" s="306"/>
    </row>
    <row r="210" ht="12.75" customHeight="1">
      <c r="A210" s="306"/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/>
      <c r="Y210" s="306"/>
      <c r="Z210" s="306"/>
    </row>
    <row r="211" ht="12.75" customHeight="1">
      <c r="A211" s="306"/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  <c r="X211" s="306"/>
      <c r="Y211" s="306"/>
      <c r="Z211" s="306"/>
    </row>
    <row r="212" ht="12.75" customHeight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  <c r="X212" s="306"/>
      <c r="Y212" s="306"/>
      <c r="Z212" s="306"/>
    </row>
    <row r="213" ht="12.75" customHeight="1">
      <c r="A213" s="306"/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  <c r="T213" s="306"/>
      <c r="U213" s="306"/>
      <c r="V213" s="306"/>
      <c r="W213" s="306"/>
      <c r="X213" s="306"/>
      <c r="Y213" s="306"/>
      <c r="Z213" s="306"/>
    </row>
    <row r="214" ht="12.75" customHeight="1">
      <c r="A214" s="306"/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  <c r="S214" s="306"/>
      <c r="T214" s="306"/>
      <c r="U214" s="306"/>
      <c r="V214" s="306"/>
      <c r="W214" s="306"/>
      <c r="X214" s="306"/>
      <c r="Y214" s="306"/>
      <c r="Z214" s="306"/>
    </row>
    <row r="215" ht="12.75" customHeight="1">
      <c r="A215" s="306"/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  <c r="T215" s="306"/>
      <c r="U215" s="306"/>
      <c r="V215" s="306"/>
      <c r="W215" s="306"/>
      <c r="X215" s="306"/>
      <c r="Y215" s="306"/>
      <c r="Z215" s="306"/>
    </row>
    <row r="216" ht="12.75" customHeight="1">
      <c r="A216" s="306"/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  <c r="T216" s="306"/>
      <c r="U216" s="306"/>
      <c r="V216" s="306"/>
      <c r="W216" s="306"/>
      <c r="X216" s="306"/>
      <c r="Y216" s="306"/>
      <c r="Z216" s="306"/>
    </row>
    <row r="217" ht="12.75" customHeight="1">
      <c r="A217" s="306"/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  <c r="T217" s="306"/>
      <c r="U217" s="306"/>
      <c r="V217" s="306"/>
      <c r="W217" s="306"/>
      <c r="X217" s="306"/>
      <c r="Y217" s="306"/>
      <c r="Z217" s="306"/>
    </row>
    <row r="218" ht="12.75" customHeight="1">
      <c r="A218" s="306"/>
      <c r="B218" s="306"/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  <c r="T218" s="306"/>
      <c r="U218" s="306"/>
      <c r="V218" s="306"/>
      <c r="W218" s="306"/>
      <c r="X218" s="306"/>
      <c r="Y218" s="306"/>
      <c r="Z218" s="306"/>
    </row>
    <row r="219" ht="12.75" customHeight="1">
      <c r="A219" s="306"/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</row>
    <row r="220" ht="12.75" customHeight="1">
      <c r="A220" s="306"/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</row>
  </sheetData>
  <printOptions/>
  <pageMargins bottom="0.75" footer="0.0" header="0.0" left="0.7" right="0.7" top="0.75"/>
  <pageSetup paperSize="9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54.29"/>
    <col customWidth="1" min="2" max="4" width="15.29"/>
    <col customWidth="1" min="5" max="5" width="15.86"/>
    <col customWidth="1" min="6" max="6" width="15.29"/>
    <col customWidth="1" min="7" max="26" width="9.0"/>
  </cols>
  <sheetData>
    <row r="1" ht="14.25" customHeight="1">
      <c r="A1" s="320" t="s">
        <v>488</v>
      </c>
      <c r="D1" t="str">
        <f>InfoInicial!E1</f>
        <v>10</v>
      </c>
      <c r="E1" s="321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ht="16.5" customHeight="1">
      <c r="A2" s="544" t="s">
        <v>868</v>
      </c>
      <c r="B2" s="423"/>
      <c r="C2" s="423"/>
      <c r="D2" s="424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</row>
    <row r="3" ht="14.25" customHeight="1">
      <c r="A3" s="404" t="s">
        <v>591</v>
      </c>
      <c r="B3" s="403" t="s">
        <v>542</v>
      </c>
      <c r="C3" s="403" t="s">
        <v>44</v>
      </c>
      <c r="D3" s="359" t="s">
        <v>282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</row>
    <row r="4" ht="14.25" customHeight="1">
      <c r="A4" s="201" t="s">
        <v>869</v>
      </c>
      <c r="B4" s="393"/>
      <c r="C4" s="393"/>
      <c r="D4" s="42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</row>
    <row r="5" ht="14.25" customHeight="1">
      <c r="A5" s="306"/>
      <c r="B5" s="393"/>
      <c r="C5" s="393"/>
      <c r="D5" s="42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</row>
    <row r="6" ht="14.25" customHeight="1">
      <c r="A6" s="306" t="s">
        <v>870</v>
      </c>
      <c r="B6" s="393" t="str">
        <f>+'E-Cal Inv.'!B6+'E-Cal Inv.'!C6</f>
        <v> $ 27,762,072.46 </v>
      </c>
      <c r="C6" s="393" t="str">
        <f>'E-Cal Inv.'!D6</f>
        <v> $ -   </v>
      </c>
      <c r="D6" s="426" t="str">
        <f t="shared" ref="D6:D10" si="1">B6+C6</f>
        <v> $ 27,762,072.46 </v>
      </c>
      <c r="E6" s="587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</row>
    <row r="7" ht="14.25" customHeight="1">
      <c r="A7" s="306" t="s">
        <v>871</v>
      </c>
      <c r="B7" s="588" t="str">
        <f>'E-Cal Inv.'!B7+'E-Cal Inv.'!C7+'F-Cred'!G21+'F-Cred'!I21</f>
        <v> $ 2,571,658.30 </v>
      </c>
      <c r="C7" s="393" t="str">
        <f>'E-Cal Inv.'!D7</f>
        <v> $ 278,655.36 </v>
      </c>
      <c r="D7" s="426" t="str">
        <f t="shared" si="1"/>
        <v> $ 2,850,313.66 </v>
      </c>
      <c r="E7" s="587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</row>
    <row r="8" ht="14.25" customHeight="1">
      <c r="A8" s="201" t="s">
        <v>872</v>
      </c>
      <c r="B8" s="393" t="str">
        <f>B6+B7</f>
        <v> $ 30,333,730.76 </v>
      </c>
      <c r="C8" s="393" t="str">
        <f>C7+C6</f>
        <v> $ 278,655.36 </v>
      </c>
      <c r="D8" s="426" t="str">
        <f t="shared" si="1"/>
        <v> $ 30,612,386.12 </v>
      </c>
      <c r="E8" s="587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</row>
    <row r="9" ht="14.25" customHeight="1">
      <c r="A9" s="410" t="s">
        <v>873</v>
      </c>
      <c r="B9" s="393" t="str">
        <f>'E-Cal Inv.'!B21+'E-Cal Inv.'!C21+('F-Cred'!G21+'F-Cred'!I21)*InfoInicial!B3</f>
        <v> $ 6,370,083.46 </v>
      </c>
      <c r="C9" s="393" t="str">
        <f>'E-Cal Inv.'!D21</f>
        <v> $ 58,517.63 </v>
      </c>
      <c r="D9" s="426" t="str">
        <f t="shared" si="1"/>
        <v> $ 6,428,601.09 </v>
      </c>
      <c r="E9" s="587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</row>
    <row r="10" ht="14.25" customHeight="1">
      <c r="A10" s="201" t="s">
        <v>874</v>
      </c>
      <c r="B10" s="393" t="str">
        <f t="shared" ref="B10:C10" si="2">B8+B9</f>
        <v> $ 36,703,814.22 </v>
      </c>
      <c r="C10" s="393" t="str">
        <f t="shared" si="2"/>
        <v> $ 337,172.99 </v>
      </c>
      <c r="D10" s="426" t="str">
        <f t="shared" si="1"/>
        <v> $ 37,040,987.21 </v>
      </c>
      <c r="E10" s="587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</row>
    <row r="11" ht="14.25" customHeight="1">
      <c r="A11" s="201" t="s">
        <v>875</v>
      </c>
      <c r="B11" s="393"/>
      <c r="C11" s="393"/>
      <c r="D11" s="426"/>
      <c r="E11" s="587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</row>
    <row r="12" ht="14.25" customHeight="1">
      <c r="A12" s="410" t="s">
        <v>876</v>
      </c>
      <c r="B12" s="427" t="str">
        <f>'E-InvAT'!B6</f>
        <v> $ 339,120.00 </v>
      </c>
      <c r="C12" s="427" t="str">
        <f>D12-B12</f>
        <v> $ 84,780.00 </v>
      </c>
      <c r="D12" s="426" t="str">
        <f>'E-InvAT'!C6</f>
        <v> $ 423,900.00 </v>
      </c>
      <c r="E12" s="148"/>
      <c r="F12" s="592" t="s">
        <v>645</v>
      </c>
      <c r="G12" s="219" t="s">
        <v>877</v>
      </c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</row>
    <row r="13" ht="14.25" customHeight="1">
      <c r="A13" s="306" t="s">
        <v>878</v>
      </c>
      <c r="B13" s="393" t="str">
        <f>'E-InvAT'!B7</f>
        <v> $ -   </v>
      </c>
      <c r="C13" s="393" t="str">
        <f>'E-InvAT'!C7</f>
        <v> $ 1,393,643.84 </v>
      </c>
      <c r="D13" s="426" t="str">
        <f>B13+C13</f>
        <v> $ 1,393,643.84 </v>
      </c>
      <c r="E13" s="148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</row>
    <row r="14" ht="14.25" customHeight="1">
      <c r="A14" s="306" t="s">
        <v>879</v>
      </c>
      <c r="B14" s="427" t="str">
        <f>'E-InvAT'!B9</f>
        <v> $ 340,987.26 </v>
      </c>
      <c r="C14" s="427" t="str">
        <f>D14-B14</f>
        <v> $ 1,349,721.32 </v>
      </c>
      <c r="D14" s="426" t="str">
        <f>'E-InvAT'!C9</f>
        <v> $ 1,690,708.58 </v>
      </c>
      <c r="E14" s="148"/>
      <c r="F14" s="306"/>
      <c r="G14" s="219" t="s">
        <v>880</v>
      </c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</row>
    <row r="15" ht="14.25" customHeight="1">
      <c r="A15" s="201" t="s">
        <v>881</v>
      </c>
      <c r="B15" s="393" t="str">
        <f t="shared" ref="B15:C15" si="3">B12+B13+B14</f>
        <v> $ 680,107.26 </v>
      </c>
      <c r="C15" s="393" t="str">
        <f t="shared" si="3"/>
        <v> $ 2,828,145.16 </v>
      </c>
      <c r="D15" s="426" t="str">
        <f>B15+C15</f>
        <v> $ 3,508,252.42 </v>
      </c>
      <c r="E15" s="148"/>
      <c r="F15" s="148"/>
      <c r="G15" s="592" t="s">
        <v>645</v>
      </c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</row>
    <row r="16" ht="14.25" customHeight="1">
      <c r="A16" s="306" t="s">
        <v>647</v>
      </c>
      <c r="B16" s="393"/>
      <c r="C16" s="393"/>
      <c r="D16" s="426"/>
      <c r="E16" s="587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</row>
    <row r="17" ht="14.25" customHeight="1">
      <c r="A17" s="306" t="s">
        <v>882</v>
      </c>
      <c r="B17" s="588">
        <v>0.0</v>
      </c>
      <c r="C17" s="588" t="str">
        <f>'E-InvAT'!C17+'E-InvAT'!C18</f>
        <v> $ 26,226.55 </v>
      </c>
      <c r="D17" s="590" t="str">
        <f t="shared" ref="D17:D23" si="4">B17+C17</f>
        <v> $ 26,226.55 </v>
      </c>
      <c r="E17" s="587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</row>
    <row r="18" ht="14.25" customHeight="1">
      <c r="A18" s="306" t="s">
        <v>883</v>
      </c>
      <c r="B18" s="393"/>
      <c r="C18" s="393" t="str">
        <f>('E-Inv AF y Am'!D57-'E-InvAT'!C18-'E-InvAT'!C17+('F-Cred'!G21+'F-Cred'!I21)/3)/365*30</f>
        <v> $ 231,869.10 </v>
      </c>
      <c r="D18" s="426" t="str">
        <f t="shared" si="4"/>
        <v> $ 231,869.10 </v>
      </c>
      <c r="E18" s="587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</row>
    <row r="19" ht="14.25" customHeight="1">
      <c r="A19" s="306" t="s">
        <v>884</v>
      </c>
      <c r="B19" s="588">
        <v>0.0</v>
      </c>
      <c r="C19" s="427" t="str">
        <f>('F-CRes'!B14/'F-CRes'!B4)*C13</f>
        <v> $ (148,544.50)</v>
      </c>
      <c r="D19" s="590" t="str">
        <f t="shared" si="4"/>
        <v> $ (148,544.50)</v>
      </c>
      <c r="E19" s="587"/>
      <c r="F19" s="219" t="s">
        <v>885</v>
      </c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</row>
    <row r="20" ht="14.25" customHeight="1">
      <c r="A20" s="201" t="s">
        <v>886</v>
      </c>
      <c r="B20" s="393" t="str">
        <f t="shared" ref="B20:C20" si="5">B15-SUM(B17:B19)</f>
        <v> $ 680,107.26 </v>
      </c>
      <c r="C20" s="393" t="str">
        <f t="shared" si="5"/>
        <v> $ 2,718,594.02 </v>
      </c>
      <c r="D20" s="590" t="str">
        <f t="shared" si="4"/>
        <v> $ 3,398,701.28 </v>
      </c>
      <c r="E20" s="587"/>
      <c r="F20" s="593" t="s">
        <v>887</v>
      </c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</row>
    <row r="21" ht="14.25" customHeight="1">
      <c r="A21" s="306" t="s">
        <v>808</v>
      </c>
      <c r="B21" s="393" t="str">
        <f>'E-InvAT'!B34</f>
        <v> $ 71,607.32 </v>
      </c>
      <c r="C21" s="393" t="str">
        <f>'E-InvAT'!C34</f>
        <v> $ 264,554.36 </v>
      </c>
      <c r="D21" s="590" t="str">
        <f t="shared" si="4"/>
        <v> $ 336,161.68 </v>
      </c>
      <c r="E21" s="587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</row>
    <row r="22" ht="14.25" customHeight="1">
      <c r="A22" s="201" t="s">
        <v>888</v>
      </c>
      <c r="B22" s="393" t="str">
        <f t="shared" ref="B22:C22" si="6">B15+B21</f>
        <v> $ 751,714.59 </v>
      </c>
      <c r="C22" s="393" t="str">
        <f t="shared" si="6"/>
        <v> $ 3,092,699.52 </v>
      </c>
      <c r="D22" s="590" t="str">
        <f t="shared" si="4"/>
        <v> $ 3,844,414.10 </v>
      </c>
      <c r="E22" s="587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</row>
    <row r="23" ht="14.25" customHeight="1">
      <c r="A23" s="201" t="s">
        <v>889</v>
      </c>
      <c r="B23" s="393" t="str">
        <f t="shared" ref="B23:C23" si="7">B20+B21</f>
        <v> $ 751,714.59 </v>
      </c>
      <c r="C23" s="393" t="str">
        <f t="shared" si="7"/>
        <v> $ 2,983,148.38 </v>
      </c>
      <c r="D23" s="590" t="str">
        <f t="shared" si="4"/>
        <v> $ 3,734,862.96 </v>
      </c>
      <c r="E23" s="587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</row>
    <row r="24" ht="14.25" customHeight="1">
      <c r="A24" s="201" t="s">
        <v>890</v>
      </c>
      <c r="B24" s="393"/>
      <c r="C24" s="393"/>
      <c r="D24" s="426"/>
      <c r="E24" s="587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</row>
    <row r="25" ht="14.25" customHeight="1">
      <c r="A25" s="306" t="s">
        <v>891</v>
      </c>
      <c r="B25" s="393" t="str">
        <f t="shared" ref="B25:C25" si="8">B10</f>
        <v> $ 36,703,814.22 </v>
      </c>
      <c r="C25" s="393" t="str">
        <f t="shared" si="8"/>
        <v> $ 337,172.99 </v>
      </c>
      <c r="D25" s="590" t="str">
        <f>B25+C25</f>
        <v> $ 37,040,987.21 </v>
      </c>
      <c r="E25" s="587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</row>
    <row r="26" ht="14.25" customHeight="1">
      <c r="A26" s="306" t="s">
        <v>892</v>
      </c>
      <c r="B26" s="393" t="str">
        <f t="shared" ref="B26:D26" si="9">B23</f>
        <v> $ 751,714.59 </v>
      </c>
      <c r="C26" s="393" t="str">
        <f t="shared" si="9"/>
        <v> $ 2,983,148.38 </v>
      </c>
      <c r="D26" s="393" t="str">
        <f t="shared" si="9"/>
        <v> $ 3,734,862.96 </v>
      </c>
      <c r="E26" s="587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</row>
    <row r="27" ht="14.25" customHeight="1">
      <c r="A27" s="201" t="s">
        <v>893</v>
      </c>
      <c r="B27" s="393" t="str">
        <f t="shared" ref="B27:D27" si="10">B25+B26</f>
        <v> $ 37,455,528.81 </v>
      </c>
      <c r="C27" s="393" t="str">
        <f t="shared" si="10"/>
        <v> $ 3,320,321.36 </v>
      </c>
      <c r="D27" s="393" t="str">
        <f t="shared" si="10"/>
        <v> $ 40,775,850.17 </v>
      </c>
      <c r="E27" s="594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</row>
    <row r="28" ht="14.25" customHeight="1">
      <c r="A28" s="201" t="s">
        <v>894</v>
      </c>
      <c r="B28" s="588"/>
      <c r="C28" s="588"/>
      <c r="D28" s="595"/>
      <c r="E28" s="596" t="s">
        <v>895</v>
      </c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</row>
    <row r="29" ht="14.25" customHeight="1">
      <c r="A29" s="201" t="s">
        <v>896</v>
      </c>
      <c r="B29" s="588">
        <v>0.0</v>
      </c>
      <c r="C29" s="588" t="str">
        <f>'F-Cred'!D6</f>
        <v> $ 1,327,712.59 </v>
      </c>
      <c r="D29" s="595" t="str">
        <f t="shared" ref="D29:D32" si="11">B29+C29</f>
        <v> $ 1,327,712.59 </v>
      </c>
      <c r="E29" s="412" t="str">
        <f t="shared" ref="E29:E32" si="12">D29/$D$32</f>
        <v>3%</v>
      </c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</row>
    <row r="30" ht="14.25" customHeight="1">
      <c r="A30" s="201" t="s">
        <v>897</v>
      </c>
      <c r="B30" s="588" t="str">
        <f>'F-Cred'!D5</f>
        <v> $ 16,825,221.60 </v>
      </c>
      <c r="C30" s="588">
        <v>0.0</v>
      </c>
      <c r="D30" s="595" t="str">
        <f t="shared" si="11"/>
        <v> $ 16,825,221.60 </v>
      </c>
      <c r="E30" s="412" t="str">
        <f t="shared" si="12"/>
        <v>41%</v>
      </c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</row>
    <row r="31" ht="14.25" customHeight="1">
      <c r="A31" s="201" t="s">
        <v>898</v>
      </c>
      <c r="B31" s="588" t="str">
        <f>B27-B30</f>
        <v> $ 20,630,307.21 </v>
      </c>
      <c r="C31" s="427" t="str">
        <f>C27-C30-C29</f>
        <v> $ 1,992,608.77 </v>
      </c>
      <c r="D31" s="595" t="str">
        <f t="shared" si="11"/>
        <v> $ 22,622,915.98 </v>
      </c>
      <c r="E31" s="412" t="str">
        <f t="shared" si="12"/>
        <v>55%</v>
      </c>
      <c r="F31" s="219" t="s">
        <v>899</v>
      </c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</row>
    <row r="32" ht="14.25" customHeight="1">
      <c r="A32" s="528" t="s">
        <v>282</v>
      </c>
      <c r="B32" s="573" t="str">
        <f t="shared" ref="B32:C32" si="13">B29+B30+B31</f>
        <v> $ 37,455,528.81 </v>
      </c>
      <c r="C32" s="573" t="str">
        <f t="shared" si="13"/>
        <v> $ 3,320,321.36 </v>
      </c>
      <c r="D32" s="573" t="str">
        <f t="shared" si="11"/>
        <v> $ 40,775,850.17 </v>
      </c>
      <c r="E32" s="412" t="str">
        <f t="shared" si="12"/>
        <v>100%</v>
      </c>
      <c r="F32" s="592" t="s">
        <v>645</v>
      </c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</row>
    <row r="33" ht="14.25" customHeight="1">
      <c r="A33" s="306"/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</row>
    <row r="34" ht="16.5" customHeight="1">
      <c r="A34" s="544" t="s">
        <v>900</v>
      </c>
      <c r="B34" s="423"/>
      <c r="C34" s="423"/>
      <c r="D34" s="423"/>
      <c r="E34" s="423"/>
      <c r="F34" s="423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</row>
    <row r="35" ht="14.25" customHeight="1">
      <c r="A35" s="404" t="s">
        <v>591</v>
      </c>
      <c r="B35" s="358" t="s">
        <v>44</v>
      </c>
      <c r="C35" s="358" t="s">
        <v>430</v>
      </c>
      <c r="D35" s="358" t="s">
        <v>431</v>
      </c>
      <c r="E35" s="358" t="s">
        <v>432</v>
      </c>
      <c r="F35" s="358" t="s">
        <v>433</v>
      </c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</row>
    <row r="36" ht="14.25" customHeight="1">
      <c r="A36" s="362" t="s">
        <v>688</v>
      </c>
      <c r="B36" s="366" t="str">
        <f>'E-Costos'!B129</f>
        <v> $ 4,590,872.80 </v>
      </c>
      <c r="C36" s="366" t="str">
        <f>'E-Costos'!C129</f>
        <v> $ 5,405,469.77 </v>
      </c>
      <c r="D36" s="366" t="str">
        <f>'E-Costos'!D129</f>
        <v> $ 5,405,469.77 </v>
      </c>
      <c r="E36" s="366" t="str">
        <f>'E-Costos'!E129</f>
        <v> $ 5,405,469.77 </v>
      </c>
      <c r="F36" s="366" t="str">
        <f>'E-Costos'!F129</f>
        <v> $ 5,405,469.77 </v>
      </c>
      <c r="G36" s="587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</row>
    <row r="37" ht="14.25" customHeight="1">
      <c r="A37" s="388" t="s">
        <v>687</v>
      </c>
      <c r="B37" s="366" t="str">
        <f>'E-Costos'!B128</f>
        <v> $ 2,486,838.75 </v>
      </c>
      <c r="C37" s="366" t="str">
        <f>'E-Costos'!C128</f>
        <v> $ 2,570,834.08 </v>
      </c>
      <c r="D37" s="366" t="str">
        <f>'E-Costos'!D128</f>
        <v> $ 2,570,834.08 </v>
      </c>
      <c r="E37" s="366" t="str">
        <f>'E-Costos'!E128</f>
        <v> $ 2,570,834.08 </v>
      </c>
      <c r="F37" s="366" t="str">
        <f>'E-Costos'!F128</f>
        <v> $ 2,570,834.08 </v>
      </c>
      <c r="G37" s="587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</row>
    <row r="38" ht="14.25" customHeight="1">
      <c r="A38" s="362" t="s">
        <v>690</v>
      </c>
      <c r="B38" s="366" t="str">
        <f>'E-Costos'!B131</f>
        <v> $ 53,309.91 </v>
      </c>
      <c r="C38" s="366" t="str">
        <f>'E-Costos'!C131</f>
        <v> $ 58,274.90 </v>
      </c>
      <c r="D38" s="366" t="str">
        <f>'E-Costos'!D131</f>
        <v> $ 58,274.90 </v>
      </c>
      <c r="E38" s="366" t="str">
        <f>'E-Costos'!E131</f>
        <v> $ 58,274.90 </v>
      </c>
      <c r="F38" s="366" t="str">
        <f>'E-Costos'!F131</f>
        <v> $ 58,274.90 </v>
      </c>
      <c r="G38" s="587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</row>
    <row r="39" ht="14.25" customHeight="1">
      <c r="A39" s="388" t="s">
        <v>689</v>
      </c>
      <c r="B39" s="366" t="str">
        <f>'E-Costos'!B130</f>
        <v> $ 2,539,494.85 </v>
      </c>
      <c r="C39" s="366" t="str">
        <f>'E-Costos'!C130</f>
        <v> $ 2,781,112.57 </v>
      </c>
      <c r="D39" s="366" t="str">
        <f>'E-Costos'!D130</f>
        <v> $ 2,781,112.57 </v>
      </c>
      <c r="E39" s="366" t="str">
        <f>'E-Costos'!E130</f>
        <v> $ 2,781,112.57 </v>
      </c>
      <c r="F39" s="366" t="str">
        <f>'E-Costos'!F130</f>
        <v> $ 2,781,112.57 </v>
      </c>
      <c r="G39" s="587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</row>
    <row r="40" ht="14.25" customHeight="1">
      <c r="A40" s="362" t="s">
        <v>692</v>
      </c>
      <c r="B40" s="366" t="str">
        <f>'E-Costos'!B133</f>
        <v> $ 793,185.96 </v>
      </c>
      <c r="C40" s="366" t="str">
        <f>'E-Costos'!C133</f>
        <v> $ 949,584.91 </v>
      </c>
      <c r="D40" s="366" t="str">
        <f>'E-Costos'!D133</f>
        <v> $ 949,584.91 </v>
      </c>
      <c r="E40" s="366" t="str">
        <f>'E-Costos'!E133</f>
        <v> $ 949,584.91 </v>
      </c>
      <c r="F40" s="366" t="str">
        <f>'E-Costos'!F133</f>
        <v> $ 949,584.91 </v>
      </c>
      <c r="G40" s="587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</row>
    <row r="41" ht="14.25" customHeight="1">
      <c r="A41" s="388" t="s">
        <v>691</v>
      </c>
      <c r="B41" s="366" t="str">
        <f>'E-Costos'!B132</f>
        <v> $ 1,656,771.40 </v>
      </c>
      <c r="C41" s="366" t="str">
        <f>'E-Costos'!C132</f>
        <v> $ 1,896,587.74 </v>
      </c>
      <c r="D41" s="366" t="str">
        <f>'E-Costos'!D132</f>
        <v> $ 1,896,587.74 </v>
      </c>
      <c r="E41" s="366" t="str">
        <f>'E-Costos'!E132</f>
        <v> $ 1,896,587.74 </v>
      </c>
      <c r="F41" s="366" t="str">
        <f>'E-Costos'!F132</f>
        <v> $ 1,896,587.74 </v>
      </c>
      <c r="G41" s="587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</row>
    <row r="42" ht="14.25" customHeight="1">
      <c r="A42" s="388" t="s">
        <v>901</v>
      </c>
      <c r="B42" s="366" t="str">
        <f>'F-CRes'!B10</f>
        <v> $ 7,080,672.52 </v>
      </c>
      <c r="C42" s="366" t="str">
        <f>'F-CRes'!C10</f>
        <v> $ 6,340,362.77 </v>
      </c>
      <c r="D42" s="366" t="str">
        <f>'F-CRes'!D10</f>
        <v> $ 5,600,053.02 </v>
      </c>
      <c r="E42" s="366" t="str">
        <f>'F-CRes'!E10</f>
        <v> $ 4,859,743.27 </v>
      </c>
      <c r="F42" s="366" t="str">
        <f>'F-CRes'!F10</f>
        <v> $ 4,119,433.52 </v>
      </c>
      <c r="G42" s="587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</row>
    <row r="43" ht="14.25" customHeight="1">
      <c r="A43" s="362" t="s">
        <v>693</v>
      </c>
      <c r="B43" s="366" t="str">
        <f>'E-Costos'!B134</f>
        <v> $ 11,518,631.33 </v>
      </c>
      <c r="C43" s="366" t="str">
        <f>'E-Costos'!C134</f>
        <v> $ 14,781,670.41 </v>
      </c>
      <c r="D43" s="366" t="str">
        <f>'E-Costos'!D134</f>
        <v> $ 14,781,670.41 </v>
      </c>
      <c r="E43" s="366" t="str">
        <f>'E-Costos'!E134</f>
        <v> $ 14,781,670.41 </v>
      </c>
      <c r="F43" s="366" t="str">
        <f>'E-Costos'!F134</f>
        <v> $ 14,781,670.41 </v>
      </c>
      <c r="G43" s="587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</row>
    <row r="44" ht="14.25" customHeight="1">
      <c r="A44" s="375" t="s">
        <v>694</v>
      </c>
      <c r="B44" s="597" t="str">
        <f t="shared" ref="B44:F44" si="14">(B37+B39+B41+B42)/B43</f>
        <v>119.49%</v>
      </c>
      <c r="C44" s="597" t="str">
        <f t="shared" si="14"/>
        <v>91.93%</v>
      </c>
      <c r="D44" s="597" t="str">
        <f t="shared" si="14"/>
        <v>86.92%</v>
      </c>
      <c r="E44" s="597" t="str">
        <f t="shared" si="14"/>
        <v>81.91%</v>
      </c>
      <c r="F44" s="597" t="str">
        <f t="shared" si="14"/>
        <v>76.91%</v>
      </c>
      <c r="G44" s="587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</row>
    <row r="45" ht="16.5" customHeight="1">
      <c r="A45" s="598" t="s">
        <v>902</v>
      </c>
      <c r="B45" s="525"/>
      <c r="C45" s="525"/>
      <c r="D45" s="525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</row>
    <row r="46" ht="14.25" customHeight="1">
      <c r="A46" s="306"/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</row>
    <row r="47" ht="14.25" customHeight="1">
      <c r="A47" s="306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</row>
    <row r="48" ht="14.25" customHeight="1">
      <c r="A48" s="306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</row>
    <row r="49" ht="14.25" customHeight="1">
      <c r="A49" s="306"/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</row>
    <row r="50" ht="14.25" customHeight="1">
      <c r="A50" s="306"/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</row>
    <row r="51" ht="14.25" customHeight="1">
      <c r="A51" s="306"/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</row>
    <row r="52" ht="14.25" customHeight="1">
      <c r="A52" s="306"/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</row>
    <row r="53" ht="14.25" customHeight="1">
      <c r="A53" s="306"/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</row>
    <row r="54" ht="14.25" customHeight="1">
      <c r="A54" s="306"/>
      <c r="B54" s="499" t="s">
        <v>696</v>
      </c>
      <c r="C54" s="499"/>
      <c r="D54" s="499"/>
      <c r="E54" s="499"/>
      <c r="F54" s="499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</row>
    <row r="55" ht="14.25" customHeight="1">
      <c r="A55" s="306"/>
      <c r="B55" s="499" t="s">
        <v>697</v>
      </c>
      <c r="C55" s="499" t="s">
        <v>698</v>
      </c>
      <c r="D55" s="499" t="s">
        <v>699</v>
      </c>
      <c r="E55" s="499" t="s">
        <v>700</v>
      </c>
      <c r="F55" s="499" t="s">
        <v>701</v>
      </c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</row>
    <row r="56" ht="14.25" customHeight="1">
      <c r="A56" s="306"/>
      <c r="B56" s="500">
        <v>0.0</v>
      </c>
      <c r="C56" s="501">
        <v>0.0</v>
      </c>
      <c r="D56" s="501">
        <v>0.0</v>
      </c>
      <c r="E56" s="502" t="str">
        <f t="shared" ref="E56:E80" si="15">$B$37+$B$39+$B$41+$B$42</f>
        <v> $ 13,763,777.52 </v>
      </c>
      <c r="F56" s="501" t="str">
        <f t="shared" ref="F56:F80" si="16">D56+E56</f>
        <v> $13,763,777.52</v>
      </c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</row>
    <row r="57" ht="14.25" customHeight="1">
      <c r="A57" s="306"/>
      <c r="B57" s="503">
        <v>500.0</v>
      </c>
      <c r="C57" s="501">
        <v>713636.3636363636</v>
      </c>
      <c r="D57" s="501">
        <v>273464.4597797642</v>
      </c>
      <c r="E57" s="502" t="str">
        <f t="shared" si="15"/>
        <v> $ 13,763,777.52 </v>
      </c>
      <c r="F57" s="501" t="str">
        <f t="shared" si="16"/>
        <v> $14,037,241.98</v>
      </c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</row>
    <row r="58" ht="14.25" customHeight="1">
      <c r="A58" s="306"/>
      <c r="B58" s="503">
        <v>1000.0</v>
      </c>
      <c r="C58" s="501">
        <v>1427272.7272727273</v>
      </c>
      <c r="D58" s="501">
        <v>546928.9195595284</v>
      </c>
      <c r="E58" s="502" t="str">
        <f t="shared" si="15"/>
        <v> $ 13,763,777.52 </v>
      </c>
      <c r="F58" s="501" t="str">
        <f t="shared" si="16"/>
        <v> $14,310,706.44</v>
      </c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</row>
    <row r="59" ht="14.25" customHeight="1">
      <c r="A59" s="306"/>
      <c r="B59" s="503">
        <v>1500.0</v>
      </c>
      <c r="C59" s="501">
        <v>2140909.090909091</v>
      </c>
      <c r="D59" s="501">
        <v>820393.3793392925</v>
      </c>
      <c r="E59" s="502" t="str">
        <f t="shared" si="15"/>
        <v> $ 13,763,777.52 </v>
      </c>
      <c r="F59" s="501" t="str">
        <f t="shared" si="16"/>
        <v> $14,584,170.90</v>
      </c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</row>
    <row r="60" ht="14.25" customHeight="1">
      <c r="A60" s="306"/>
      <c r="B60" s="503">
        <v>2000.0</v>
      </c>
      <c r="C60" s="501">
        <v>2854545.4545454546</v>
      </c>
      <c r="D60" s="501">
        <v>1093857.8391190567</v>
      </c>
      <c r="E60" s="502" t="str">
        <f t="shared" si="15"/>
        <v> $ 13,763,777.52 </v>
      </c>
      <c r="F60" s="501" t="str">
        <f t="shared" si="16"/>
        <v> $14,857,635.36</v>
      </c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</row>
    <row r="61" ht="14.25" customHeight="1">
      <c r="A61" s="306"/>
      <c r="B61" s="503">
        <v>2500.0</v>
      </c>
      <c r="C61" s="501">
        <v>3568181.8181818184</v>
      </c>
      <c r="D61" s="501">
        <v>1367322.298898821</v>
      </c>
      <c r="E61" s="502" t="str">
        <f t="shared" si="15"/>
        <v> $ 13,763,777.52 </v>
      </c>
      <c r="F61" s="501" t="str">
        <f t="shared" si="16"/>
        <v> $15,131,099.82</v>
      </c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</row>
    <row r="62" ht="14.25" customHeight="1">
      <c r="A62" s="306"/>
      <c r="B62" s="503">
        <v>3000.0</v>
      </c>
      <c r="C62" s="501">
        <v>4281818.181818182</v>
      </c>
      <c r="D62" s="501">
        <v>1640786.758678585</v>
      </c>
      <c r="E62" s="502" t="str">
        <f t="shared" si="15"/>
        <v> $ 13,763,777.52 </v>
      </c>
      <c r="F62" s="501" t="str">
        <f t="shared" si="16"/>
        <v> $15,404,564.28</v>
      </c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</row>
    <row r="63" ht="14.25" customHeight="1">
      <c r="A63" s="306"/>
      <c r="B63" s="500">
        <v>3500.0</v>
      </c>
      <c r="C63" s="501">
        <v>4995454.545454545</v>
      </c>
      <c r="D63" s="501">
        <v>1914251.2184583494</v>
      </c>
      <c r="E63" s="502" t="str">
        <f t="shared" si="15"/>
        <v> $ 13,763,777.52 </v>
      </c>
      <c r="F63" s="501" t="str">
        <f t="shared" si="16"/>
        <v> $15,678,028.74</v>
      </c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</row>
    <row r="64" ht="14.25" customHeight="1">
      <c r="A64" s="306"/>
      <c r="B64" s="500">
        <v>4000.0</v>
      </c>
      <c r="C64" s="501">
        <v>5709090.909090909</v>
      </c>
      <c r="D64" s="501">
        <v>2187715.6782381134</v>
      </c>
      <c r="E64" s="502" t="str">
        <f t="shared" si="15"/>
        <v> $ 13,763,777.52 </v>
      </c>
      <c r="F64" s="501" t="str">
        <f t="shared" si="16"/>
        <v> $15,951,493.20</v>
      </c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</row>
    <row r="65" ht="14.25" customHeight="1">
      <c r="A65" s="306"/>
      <c r="B65" s="500">
        <v>4500.0</v>
      </c>
      <c r="C65" s="501">
        <v>6422727.2727272725</v>
      </c>
      <c r="D65" s="501">
        <v>2461180.1380178775</v>
      </c>
      <c r="E65" s="502" t="str">
        <f t="shared" si="15"/>
        <v> $ 13,763,777.52 </v>
      </c>
      <c r="F65" s="501" t="str">
        <f t="shared" si="16"/>
        <v> $16,224,957.66</v>
      </c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</row>
    <row r="66" ht="14.25" customHeight="1">
      <c r="A66" s="306"/>
      <c r="B66" s="500">
        <v>5000.0</v>
      </c>
      <c r="C66" s="501">
        <v>7136363.636363637</v>
      </c>
      <c r="D66" s="501">
        <v>2734644.597797642</v>
      </c>
      <c r="E66" s="502" t="str">
        <f t="shared" si="15"/>
        <v> $ 13,763,777.52 </v>
      </c>
      <c r="F66" s="501" t="str">
        <f t="shared" si="16"/>
        <v> $16,498,422.12</v>
      </c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</row>
    <row r="67" ht="14.25" customHeight="1">
      <c r="A67" s="306"/>
      <c r="B67" s="500">
        <v>5500.0</v>
      </c>
      <c r="C67" s="501">
        <v>7850000.0</v>
      </c>
      <c r="D67" s="501">
        <v>3008109.057577406</v>
      </c>
      <c r="E67" s="502" t="str">
        <f t="shared" si="15"/>
        <v> $ 13,763,777.52 </v>
      </c>
      <c r="F67" s="501" t="str">
        <f t="shared" si="16"/>
        <v> $16,771,886.58</v>
      </c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</row>
    <row r="68" ht="14.25" customHeight="1">
      <c r="A68" s="306"/>
      <c r="B68" s="500">
        <v>6000.0</v>
      </c>
      <c r="C68" s="501">
        <v>8563636.363636363</v>
      </c>
      <c r="D68" s="501">
        <v>3281573.51735717</v>
      </c>
      <c r="E68" s="502" t="str">
        <f t="shared" si="15"/>
        <v> $ 13,763,777.52 </v>
      </c>
      <c r="F68" s="501" t="str">
        <f t="shared" si="16"/>
        <v> $17,045,351.04</v>
      </c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</row>
    <row r="69" ht="14.25" customHeight="1">
      <c r="A69" s="306"/>
      <c r="B69" s="500">
        <v>6500.0</v>
      </c>
      <c r="C69" s="501">
        <v>9277272.727272727</v>
      </c>
      <c r="D69" s="501">
        <v>3555037.977136934</v>
      </c>
      <c r="E69" s="502" t="str">
        <f t="shared" si="15"/>
        <v> $ 13,763,777.52 </v>
      </c>
      <c r="F69" s="501" t="str">
        <f t="shared" si="16"/>
        <v> $17,318,815.50</v>
      </c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</row>
    <row r="70" ht="14.25" customHeight="1">
      <c r="A70" s="306"/>
      <c r="B70" s="500">
        <v>7000.0</v>
      </c>
      <c r="C70" s="501">
        <v>9990909.09090909</v>
      </c>
      <c r="D70" s="501">
        <v>3828502.4369166987</v>
      </c>
      <c r="E70" s="502" t="str">
        <f t="shared" si="15"/>
        <v> $ 13,763,777.52 </v>
      </c>
      <c r="F70" s="501" t="str">
        <f t="shared" si="16"/>
        <v> $17,592,279.96</v>
      </c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</row>
    <row r="71" ht="14.25" customHeight="1">
      <c r="A71" s="306"/>
      <c r="B71" s="500">
        <v>7500.0</v>
      </c>
      <c r="C71" s="501">
        <v>1.0704545454545455E7</v>
      </c>
      <c r="D71" s="501">
        <v>4101966.8966964628</v>
      </c>
      <c r="E71" s="502" t="str">
        <f t="shared" si="15"/>
        <v> $ 13,763,777.52 </v>
      </c>
      <c r="F71" s="501" t="str">
        <f t="shared" si="16"/>
        <v> $17,865,744.42</v>
      </c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</row>
    <row r="72" ht="14.25" customHeight="1">
      <c r="A72" s="306"/>
      <c r="B72" s="500">
        <v>8000.0</v>
      </c>
      <c r="C72" s="501">
        <v>1.1418181818181818E7</v>
      </c>
      <c r="D72" s="501">
        <v>4375431.356476227</v>
      </c>
      <c r="E72" s="502" t="str">
        <f t="shared" si="15"/>
        <v> $ 13,763,777.52 </v>
      </c>
      <c r="F72" s="501" t="str">
        <f t="shared" si="16"/>
        <v> $18,139,208.88</v>
      </c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</row>
    <row r="73" ht="14.25" customHeight="1">
      <c r="A73" s="306"/>
      <c r="B73" s="500">
        <v>8500.0</v>
      </c>
      <c r="C73" s="501">
        <v>1.2131818181818182E7</v>
      </c>
      <c r="D73" s="501">
        <v>4648895.816255991</v>
      </c>
      <c r="E73" s="502" t="str">
        <f t="shared" si="15"/>
        <v> $ 13,763,777.52 </v>
      </c>
      <c r="F73" s="501" t="str">
        <f t="shared" si="16"/>
        <v> $18,412,673.34</v>
      </c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</row>
    <row r="74" ht="14.25" customHeight="1">
      <c r="A74" s="306"/>
      <c r="B74" s="500">
        <v>9000.0</v>
      </c>
      <c r="C74" s="501">
        <v>1.2845454545454545E7</v>
      </c>
      <c r="D74" s="501">
        <v>4922360.276035755</v>
      </c>
      <c r="E74" s="502" t="str">
        <f t="shared" si="15"/>
        <v> $ 13,763,777.52 </v>
      </c>
      <c r="F74" s="501" t="str">
        <f t="shared" si="16"/>
        <v> $18,686,137.80</v>
      </c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</row>
    <row r="75" ht="14.25" customHeight="1">
      <c r="A75" s="306"/>
      <c r="B75" s="500">
        <v>9500.0</v>
      </c>
      <c r="C75" s="501">
        <v>1.3559090909090908E7</v>
      </c>
      <c r="D75" s="501">
        <v>5195824.7358155195</v>
      </c>
      <c r="E75" s="502" t="str">
        <f t="shared" si="15"/>
        <v> $ 13,763,777.52 </v>
      </c>
      <c r="F75" s="501" t="str">
        <f t="shared" si="16"/>
        <v> $18,959,602.26</v>
      </c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</row>
    <row r="76" ht="14.25" customHeight="1">
      <c r="A76" s="306"/>
      <c r="B76" s="500">
        <v>10000.0</v>
      </c>
      <c r="C76" s="501">
        <v>1.4272727272727273E7</v>
      </c>
      <c r="D76" s="501">
        <v>5469289.195595284</v>
      </c>
      <c r="E76" s="502" t="str">
        <f t="shared" si="15"/>
        <v> $ 13,763,777.52 </v>
      </c>
      <c r="F76" s="501" t="str">
        <f t="shared" si="16"/>
        <v> $19,233,066.72</v>
      </c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</row>
    <row r="77" ht="14.25" customHeight="1">
      <c r="A77" s="306"/>
      <c r="B77" s="500">
        <v>10500.0</v>
      </c>
      <c r="C77" s="501">
        <v>1.4986363636363637E7</v>
      </c>
      <c r="D77" s="501">
        <v>5742753.655375048</v>
      </c>
      <c r="E77" s="502" t="str">
        <f t="shared" si="15"/>
        <v> $ 13,763,777.52 </v>
      </c>
      <c r="F77" s="501" t="str">
        <f t="shared" si="16"/>
        <v> $19,506,531.18</v>
      </c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</row>
    <row r="78" ht="14.25" customHeight="1">
      <c r="A78" s="306"/>
      <c r="B78" s="500">
        <v>11000.0</v>
      </c>
      <c r="C78" s="501">
        <v>1.57E7</v>
      </c>
      <c r="D78" s="501">
        <v>6016218.115154812</v>
      </c>
      <c r="E78" s="502" t="str">
        <f t="shared" si="15"/>
        <v> $ 13,763,777.52 </v>
      </c>
      <c r="F78" s="501" t="str">
        <f t="shared" si="16"/>
        <v> $19,779,995.64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</row>
    <row r="79" ht="14.25" customHeight="1">
      <c r="A79" s="306"/>
      <c r="B79" s="500">
        <v>11500.0</v>
      </c>
      <c r="C79" s="501">
        <v>1.6413636363636363E7</v>
      </c>
      <c r="D79" s="501">
        <v>6289682.574934577</v>
      </c>
      <c r="E79" s="502" t="str">
        <f t="shared" si="15"/>
        <v> $ 13,763,777.52 </v>
      </c>
      <c r="F79" s="501" t="str">
        <f t="shared" si="16"/>
        <v> $20,053,460.10</v>
      </c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6"/>
      <c r="Z79" s="306"/>
    </row>
    <row r="80" ht="14.25" customHeight="1">
      <c r="A80" s="306"/>
      <c r="B80" s="599">
        <v>11880.0</v>
      </c>
      <c r="C80" s="501">
        <v>1.6956E7</v>
      </c>
      <c r="D80" s="501">
        <v>6497515.564367197</v>
      </c>
      <c r="E80" s="502" t="str">
        <f t="shared" si="15"/>
        <v> $ 13,763,777.52 </v>
      </c>
      <c r="F80" s="501" t="str">
        <f t="shared" si="16"/>
        <v> $20,261,293.09</v>
      </c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</row>
    <row r="81" ht="14.25" customHeight="1">
      <c r="A81" s="306"/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</row>
    <row r="82" ht="14.25" customHeight="1">
      <c r="A82" s="306"/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</row>
    <row r="83" ht="14.25" customHeight="1">
      <c r="A83" s="306"/>
      <c r="B83" s="499" t="s">
        <v>703</v>
      </c>
      <c r="C83" s="499"/>
      <c r="D83" s="499"/>
      <c r="E83" s="499"/>
      <c r="F83" s="499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</row>
    <row r="84" ht="14.25" customHeight="1">
      <c r="A84" s="306"/>
      <c r="B84" s="499" t="s">
        <v>697</v>
      </c>
      <c r="C84" s="499" t="s">
        <v>698</v>
      </c>
      <c r="D84" s="499" t="s">
        <v>699</v>
      </c>
      <c r="E84" s="499" t="s">
        <v>700</v>
      </c>
      <c r="F84" s="499" t="s">
        <v>701</v>
      </c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</row>
    <row r="85" ht="14.25" customHeight="1">
      <c r="A85" s="306"/>
      <c r="B85" s="500">
        <v>0.0</v>
      </c>
      <c r="C85" s="501">
        <v>0.0</v>
      </c>
      <c r="D85" s="501">
        <v>0.0</v>
      </c>
      <c r="E85" s="502" t="str">
        <f t="shared" ref="E85:E115" si="17">$F$37+$F$39+$F$41+$F$42</f>
        <v> $ 11,367,967.90 </v>
      </c>
      <c r="F85" s="501" t="str">
        <f t="shared" ref="F85:F115" si="18">D85+E85</f>
        <v> $11,367,967.90</v>
      </c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</row>
    <row r="86" ht="14.25" customHeight="1">
      <c r="A86" s="306"/>
      <c r="B86" s="503">
        <v>500.0</v>
      </c>
      <c r="C86" s="501">
        <v>713636.3636363636</v>
      </c>
      <c r="D86" s="501">
        <v>263664.4260428477</v>
      </c>
      <c r="E86" s="502" t="str">
        <f t="shared" si="17"/>
        <v> $ 11,367,967.90 </v>
      </c>
      <c r="F86" s="501" t="str">
        <f t="shared" si="18"/>
        <v> $11,631,632.33</v>
      </c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</row>
    <row r="87" ht="14.25" customHeight="1">
      <c r="A87" s="306"/>
      <c r="B87" s="503">
        <v>1000.0</v>
      </c>
      <c r="C87" s="501">
        <v>1427272.7272727273</v>
      </c>
      <c r="D87" s="501">
        <v>527328.8520856954</v>
      </c>
      <c r="E87" s="502" t="str">
        <f t="shared" si="17"/>
        <v> $ 11,367,967.90 </v>
      </c>
      <c r="F87" s="501" t="str">
        <f t="shared" si="18"/>
        <v> $11,895,296.76</v>
      </c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</row>
    <row r="88" ht="14.25" customHeight="1">
      <c r="A88" s="306"/>
      <c r="B88" s="503">
        <v>1500.0</v>
      </c>
      <c r="C88" s="501">
        <v>2140909.090909091</v>
      </c>
      <c r="D88" s="501">
        <v>790993.2781285432</v>
      </c>
      <c r="E88" s="502" t="str">
        <f t="shared" si="17"/>
        <v> $ 11,367,967.90 </v>
      </c>
      <c r="F88" s="501" t="str">
        <f t="shared" si="18"/>
        <v> $12,158,961.18</v>
      </c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</row>
    <row r="89" ht="14.25" customHeight="1">
      <c r="A89" s="306"/>
      <c r="B89" s="503">
        <v>2000.0</v>
      </c>
      <c r="C89" s="501">
        <v>2854545.4545454546</v>
      </c>
      <c r="D89" s="501">
        <v>1054657.7041713907</v>
      </c>
      <c r="E89" s="502" t="str">
        <f t="shared" si="17"/>
        <v> $ 11,367,967.90 </v>
      </c>
      <c r="F89" s="501" t="str">
        <f t="shared" si="18"/>
        <v> $12,422,625.61</v>
      </c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</row>
    <row r="90" ht="14.25" customHeight="1">
      <c r="A90" s="306"/>
      <c r="B90" s="503">
        <v>2500.0</v>
      </c>
      <c r="C90" s="501">
        <v>3568181.8181818184</v>
      </c>
      <c r="D90" s="501">
        <v>1318322.1302142385</v>
      </c>
      <c r="E90" s="502" t="str">
        <f t="shared" si="17"/>
        <v> $ 11,367,967.90 </v>
      </c>
      <c r="F90" s="501" t="str">
        <f t="shared" si="18"/>
        <v> $12,686,290.03</v>
      </c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</row>
    <row r="91" ht="14.25" customHeight="1">
      <c r="A91" s="306"/>
      <c r="B91" s="503">
        <v>3000.0</v>
      </c>
      <c r="C91" s="501">
        <v>4281818.181818182</v>
      </c>
      <c r="D91" s="501">
        <v>1581986.5562570863</v>
      </c>
      <c r="E91" s="502" t="str">
        <f t="shared" si="17"/>
        <v> $ 11,367,967.90 </v>
      </c>
      <c r="F91" s="501" t="str">
        <f t="shared" si="18"/>
        <v> $12,949,954.46</v>
      </c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</row>
    <row r="92" ht="14.25" customHeight="1">
      <c r="A92" s="306"/>
      <c r="B92" s="503">
        <v>3500.0</v>
      </c>
      <c r="C92" s="501">
        <v>4995454.545454545</v>
      </c>
      <c r="D92" s="501">
        <v>1845650.982299934</v>
      </c>
      <c r="E92" s="502" t="str">
        <f t="shared" si="17"/>
        <v> $ 11,367,967.90 </v>
      </c>
      <c r="F92" s="501" t="str">
        <f t="shared" si="18"/>
        <v> $13,213,618.89</v>
      </c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</row>
    <row r="93" ht="14.25" customHeight="1">
      <c r="A93" s="306"/>
      <c r="B93" s="503">
        <v>4000.0</v>
      </c>
      <c r="C93" s="501">
        <v>5709090.909090909</v>
      </c>
      <c r="D93" s="501">
        <v>2109315.4083427815</v>
      </c>
      <c r="E93" s="502" t="str">
        <f t="shared" si="17"/>
        <v> $ 11,367,967.90 </v>
      </c>
      <c r="F93" s="501" t="str">
        <f t="shared" si="18"/>
        <v> $13,477,283.31</v>
      </c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</row>
    <row r="94" ht="14.25" customHeight="1">
      <c r="A94" s="306"/>
      <c r="B94" s="503">
        <v>4500.0</v>
      </c>
      <c r="C94" s="501">
        <v>6422727.2727272725</v>
      </c>
      <c r="D94" s="501">
        <v>2372979.8343856293</v>
      </c>
      <c r="E94" s="502" t="str">
        <f t="shared" si="17"/>
        <v> $ 11,367,967.90 </v>
      </c>
      <c r="F94" s="501" t="str">
        <f t="shared" si="18"/>
        <v> $13,740,947.74</v>
      </c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</row>
    <row r="95" ht="14.25" customHeight="1">
      <c r="A95" s="306"/>
      <c r="B95" s="500">
        <v>5000.0</v>
      </c>
      <c r="C95" s="501">
        <v>7136363.636363637</v>
      </c>
      <c r="D95" s="501">
        <v>2636644.260428477</v>
      </c>
      <c r="E95" s="502" t="str">
        <f t="shared" si="17"/>
        <v> $ 11,367,967.90 </v>
      </c>
      <c r="F95" s="501" t="str">
        <f t="shared" si="18"/>
        <v> $14,004,612.17</v>
      </c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</row>
    <row r="96" ht="14.25" customHeight="1">
      <c r="A96" s="306"/>
      <c r="B96" s="503">
        <v>5500.0</v>
      </c>
      <c r="C96" s="501">
        <v>7850000.0</v>
      </c>
      <c r="D96" s="501">
        <v>2900308.686471325</v>
      </c>
      <c r="E96" s="502" t="str">
        <f t="shared" si="17"/>
        <v> $ 11,367,967.90 </v>
      </c>
      <c r="F96" s="501" t="str">
        <f t="shared" si="18"/>
        <v> $14,268,276.59</v>
      </c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</row>
    <row r="97" ht="14.25" customHeight="1">
      <c r="A97" s="306"/>
      <c r="B97" s="500">
        <v>6000.0</v>
      </c>
      <c r="C97" s="501">
        <v>8563636.363636363</v>
      </c>
      <c r="D97" s="501">
        <v>3163973.1125141727</v>
      </c>
      <c r="E97" s="502" t="str">
        <f t="shared" si="17"/>
        <v> $ 11,367,967.90 </v>
      </c>
      <c r="F97" s="501" t="str">
        <f t="shared" si="18"/>
        <v> $14,531,941.02</v>
      </c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</row>
    <row r="98" ht="14.25" customHeight="1">
      <c r="A98" s="306"/>
      <c r="B98" s="503">
        <v>6500.0</v>
      </c>
      <c r="C98" s="501">
        <v>9277272.727272727</v>
      </c>
      <c r="D98" s="501">
        <v>3427637.53855702</v>
      </c>
      <c r="E98" s="502" t="str">
        <f t="shared" si="17"/>
        <v> $ 11,367,967.90 </v>
      </c>
      <c r="F98" s="501" t="str">
        <f t="shared" si="18"/>
        <v> $14,795,605.44</v>
      </c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</row>
    <row r="99" ht="14.25" customHeight="1">
      <c r="A99" s="306"/>
      <c r="B99" s="500">
        <v>7000.0</v>
      </c>
      <c r="C99" s="501">
        <v>9990909.09090909</v>
      </c>
      <c r="D99" s="501">
        <v>3691301.964599868</v>
      </c>
      <c r="E99" s="502" t="str">
        <f t="shared" si="17"/>
        <v> $ 11,367,967.90 </v>
      </c>
      <c r="F99" s="501" t="str">
        <f t="shared" si="18"/>
        <v> $15,059,269.87</v>
      </c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</row>
    <row r="100" ht="14.25" customHeight="1">
      <c r="A100" s="306"/>
      <c r="B100" s="503">
        <v>7500.0</v>
      </c>
      <c r="C100" s="501">
        <v>1.0704545454545455E7</v>
      </c>
      <c r="D100" s="501">
        <v>3954966.3906427156</v>
      </c>
      <c r="E100" s="502" t="str">
        <f t="shared" si="17"/>
        <v> $ 11,367,967.90 </v>
      </c>
      <c r="F100" s="501" t="str">
        <f t="shared" si="18"/>
        <v> $15,322,934.30</v>
      </c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</row>
    <row r="101" ht="14.25" customHeight="1">
      <c r="A101" s="306"/>
      <c r="B101" s="500">
        <v>8000.0</v>
      </c>
      <c r="C101" s="501">
        <v>1.1418181818181818E7</v>
      </c>
      <c r="D101" s="501">
        <v>4218630.816685563</v>
      </c>
      <c r="E101" s="502" t="str">
        <f t="shared" si="17"/>
        <v> $ 11,367,967.90 </v>
      </c>
      <c r="F101" s="501" t="str">
        <f t="shared" si="18"/>
        <v> $15,586,598.72</v>
      </c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</row>
    <row r="102" ht="14.25" customHeight="1">
      <c r="A102" s="306"/>
      <c r="B102" s="503">
        <v>8500.0</v>
      </c>
      <c r="C102" s="501">
        <v>1.2131818181818182E7</v>
      </c>
      <c r="D102" s="501">
        <v>4482295.242728411</v>
      </c>
      <c r="E102" s="502" t="str">
        <f t="shared" si="17"/>
        <v> $ 11,367,967.90 </v>
      </c>
      <c r="F102" s="501" t="str">
        <f t="shared" si="18"/>
        <v> $15,850,263.15</v>
      </c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</row>
    <row r="103" ht="14.25" customHeight="1">
      <c r="A103" s="306"/>
      <c r="B103" s="500">
        <v>9000.0</v>
      </c>
      <c r="C103" s="501">
        <v>1.2845454545454545E7</v>
      </c>
      <c r="D103" s="501">
        <v>4745959.668771259</v>
      </c>
      <c r="E103" s="502" t="str">
        <f t="shared" si="17"/>
        <v> $ 11,367,967.90 </v>
      </c>
      <c r="F103" s="501" t="str">
        <f t="shared" si="18"/>
        <v> $16,113,927.57</v>
      </c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</row>
    <row r="104" ht="14.25" customHeight="1">
      <c r="A104" s="306"/>
      <c r="B104" s="503">
        <v>9500.0</v>
      </c>
      <c r="C104" s="501">
        <v>1.3559090909090908E7</v>
      </c>
      <c r="D104" s="501">
        <v>5009624.094814107</v>
      </c>
      <c r="E104" s="502" t="str">
        <f t="shared" si="17"/>
        <v> $ 11,367,967.90 </v>
      </c>
      <c r="F104" s="501" t="str">
        <f t="shared" si="18"/>
        <v> $16,377,592.00</v>
      </c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</row>
    <row r="105" ht="14.25" customHeight="1">
      <c r="A105" s="306"/>
      <c r="B105" s="500">
        <v>10000.0</v>
      </c>
      <c r="C105" s="501">
        <v>1.4272727272727273E7</v>
      </c>
      <c r="D105" s="501">
        <v>5273288.520856954</v>
      </c>
      <c r="E105" s="502" t="str">
        <f t="shared" si="17"/>
        <v> $ 11,367,967.90 </v>
      </c>
      <c r="F105" s="501" t="str">
        <f t="shared" si="18"/>
        <v> $16,641,256.43</v>
      </c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</row>
    <row r="106" ht="14.25" customHeight="1">
      <c r="A106" s="306"/>
      <c r="B106" s="503">
        <v>10500.0</v>
      </c>
      <c r="C106" s="501">
        <v>1.4986363636363637E7</v>
      </c>
      <c r="D106" s="501">
        <v>5536952.9468998015</v>
      </c>
      <c r="E106" s="502" t="str">
        <f t="shared" si="17"/>
        <v> $ 11,367,967.90 </v>
      </c>
      <c r="F106" s="501" t="str">
        <f t="shared" si="18"/>
        <v> $16,904,920.85</v>
      </c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</row>
    <row r="107" ht="14.25" customHeight="1">
      <c r="A107" s="306"/>
      <c r="B107" s="500">
        <v>11000.0</v>
      </c>
      <c r="C107" s="501">
        <v>1.57E7</v>
      </c>
      <c r="D107" s="501">
        <v>5800617.37294265</v>
      </c>
      <c r="E107" s="502" t="str">
        <f t="shared" si="17"/>
        <v> $ 11,367,967.90 </v>
      </c>
      <c r="F107" s="501" t="str">
        <f t="shared" si="18"/>
        <v> $17,168,585.28</v>
      </c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</row>
    <row r="108" ht="14.25" customHeight="1">
      <c r="A108" s="306"/>
      <c r="B108" s="503">
        <v>11500.0</v>
      </c>
      <c r="C108" s="501">
        <v>1.6413636363636363E7</v>
      </c>
      <c r="D108" s="501">
        <v>6064281.798985497</v>
      </c>
      <c r="E108" s="502" t="str">
        <f t="shared" si="17"/>
        <v> $ 11,367,967.90 </v>
      </c>
      <c r="F108" s="501" t="str">
        <f t="shared" si="18"/>
        <v> $17,432,249.70</v>
      </c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306"/>
    </row>
    <row r="109" ht="14.25" customHeight="1">
      <c r="A109" s="306"/>
      <c r="B109" s="500">
        <v>12000.0</v>
      </c>
      <c r="C109" s="501">
        <v>1.7127272727272727E7</v>
      </c>
      <c r="D109" s="501">
        <v>6327946.225028345</v>
      </c>
      <c r="E109" s="502" t="str">
        <f t="shared" si="17"/>
        <v> $ 11,367,967.90 </v>
      </c>
      <c r="F109" s="501" t="str">
        <f t="shared" si="18"/>
        <v> $17,695,914.13</v>
      </c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6"/>
    </row>
    <row r="110" ht="14.25" customHeight="1">
      <c r="A110" s="306"/>
      <c r="B110" s="503">
        <v>12500.0</v>
      </c>
      <c r="C110" s="501">
        <v>1.784090909090909E7</v>
      </c>
      <c r="D110" s="501">
        <v>6591610.651071193</v>
      </c>
      <c r="E110" s="502" t="str">
        <f t="shared" si="17"/>
        <v> $ 11,367,967.90 </v>
      </c>
      <c r="F110" s="501" t="str">
        <f t="shared" si="18"/>
        <v> $17,959,578.56</v>
      </c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</row>
    <row r="111" ht="14.25" customHeight="1">
      <c r="A111" s="306"/>
      <c r="B111" s="500">
        <v>13000.0</v>
      </c>
      <c r="C111" s="501">
        <v>1.8554545454545453E7</v>
      </c>
      <c r="D111" s="501">
        <v>6855275.07711404</v>
      </c>
      <c r="E111" s="502" t="str">
        <f t="shared" si="17"/>
        <v> $ 11,367,967.90 </v>
      </c>
      <c r="F111" s="501" t="str">
        <f t="shared" si="18"/>
        <v> $18,223,242.98</v>
      </c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6"/>
      <c r="X111" s="306"/>
      <c r="Y111" s="306"/>
      <c r="Z111" s="306"/>
    </row>
    <row r="112" ht="14.25" customHeight="1">
      <c r="A112" s="306"/>
      <c r="B112" s="503">
        <v>13500.0</v>
      </c>
      <c r="C112" s="501">
        <v>1.9268181818181816E7</v>
      </c>
      <c r="D112" s="501">
        <v>7118939.503156888</v>
      </c>
      <c r="E112" s="502" t="str">
        <f t="shared" si="17"/>
        <v> $ 11,367,967.90 </v>
      </c>
      <c r="F112" s="501" t="str">
        <f t="shared" si="18"/>
        <v> $18,486,907.41</v>
      </c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</row>
    <row r="113" ht="14.25" customHeight="1">
      <c r="A113" s="306"/>
      <c r="B113" s="500">
        <v>14000.0</v>
      </c>
      <c r="C113" s="501">
        <v>1.998181818181818E7</v>
      </c>
      <c r="D113" s="501">
        <v>7382603.929199736</v>
      </c>
      <c r="E113" s="502" t="str">
        <f t="shared" si="17"/>
        <v> $ 11,367,967.90 </v>
      </c>
      <c r="F113" s="501" t="str">
        <f t="shared" si="18"/>
        <v> $18,750,571.83</v>
      </c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</row>
    <row r="114" ht="14.25" customHeight="1">
      <c r="A114" s="306"/>
      <c r="B114" s="503">
        <v>14500.0</v>
      </c>
      <c r="C114" s="501">
        <v>2.0695454545454547E7</v>
      </c>
      <c r="D114" s="501">
        <v>7646268.355242584</v>
      </c>
      <c r="E114" s="502" t="str">
        <f t="shared" si="17"/>
        <v> $ 11,367,967.90 </v>
      </c>
      <c r="F114" s="501" t="str">
        <f t="shared" si="18"/>
        <v> $19,014,236.26</v>
      </c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</row>
    <row r="115" ht="14.25" customHeight="1">
      <c r="A115" s="306"/>
      <c r="B115" s="500">
        <v>14850.0</v>
      </c>
      <c r="C115" s="501">
        <v>2.1195E7</v>
      </c>
      <c r="D115" s="501">
        <v>7830833.453472577</v>
      </c>
      <c r="E115" s="502" t="str">
        <f t="shared" si="17"/>
        <v> $ 11,367,967.90 </v>
      </c>
      <c r="F115" s="501" t="str">
        <f t="shared" si="18"/>
        <v> $19,198,801.36</v>
      </c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  <c r="Z115" s="306"/>
    </row>
    <row r="116" ht="14.25" customHeight="1">
      <c r="A116" s="306"/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</row>
    <row r="117" ht="14.25" customHeight="1">
      <c r="A117" s="306"/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  <c r="S117" s="306"/>
      <c r="T117" s="306"/>
      <c r="U117" s="306"/>
      <c r="V117" s="306"/>
      <c r="W117" s="306"/>
      <c r="X117" s="306"/>
      <c r="Y117" s="306"/>
      <c r="Z117" s="306"/>
    </row>
    <row r="118" ht="14.25" customHeight="1">
      <c r="A118" s="306"/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R118" s="306"/>
      <c r="S118" s="306"/>
      <c r="T118" s="306"/>
      <c r="U118" s="306"/>
      <c r="V118" s="306"/>
      <c r="W118" s="306"/>
      <c r="X118" s="306"/>
      <c r="Y118" s="306"/>
      <c r="Z118" s="306"/>
    </row>
    <row r="119" ht="14.25" customHeight="1">
      <c r="A119" s="306"/>
      <c r="B119" s="306"/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</row>
    <row r="120" ht="14.25" customHeight="1">
      <c r="A120" s="306"/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</row>
    <row r="121" ht="14.25" customHeight="1">
      <c r="A121" s="306"/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</row>
    <row r="122" ht="14.25" customHeigh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  <c r="X122" s="306"/>
      <c r="Y122" s="306"/>
      <c r="Z122" s="306"/>
    </row>
    <row r="123" ht="14.25" customHeight="1">
      <c r="A123" s="306"/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</row>
    <row r="124" ht="14.25" customHeight="1">
      <c r="A124" s="306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</row>
    <row r="125" ht="14.25" customHeight="1">
      <c r="A125" s="306"/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</row>
    <row r="126" ht="14.25" customHeight="1">
      <c r="A126" s="306"/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</row>
    <row r="127" ht="14.25" customHeight="1">
      <c r="A127" s="306"/>
      <c r="B127" s="306"/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</row>
    <row r="128" ht="14.25" customHeight="1">
      <c r="A128" s="306"/>
      <c r="B128" s="306"/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</row>
    <row r="129" ht="14.25" customHeight="1">
      <c r="A129" s="306"/>
      <c r="B129" s="306"/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</row>
    <row r="130" ht="14.25" customHeight="1">
      <c r="A130" s="306"/>
      <c r="B130" s="306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</row>
    <row r="131" ht="14.25" customHeight="1">
      <c r="A131" s="306"/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</row>
    <row r="132" ht="14.25" customHeight="1">
      <c r="A132" s="306"/>
      <c r="B132" s="306"/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306"/>
    </row>
    <row r="133" ht="14.25" customHeight="1">
      <c r="A133" s="306"/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  <c r="Z133" s="306"/>
    </row>
    <row r="134" ht="14.25" customHeight="1">
      <c r="A134" s="306"/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</row>
    <row r="135" ht="14.25" customHeight="1">
      <c r="A135" s="306"/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</row>
    <row r="136" ht="14.25" customHeight="1">
      <c r="A136" s="306"/>
      <c r="B136" s="306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</row>
    <row r="137" ht="14.25" customHeight="1">
      <c r="A137" s="306"/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  <c r="Y137" s="306"/>
      <c r="Z137" s="306"/>
    </row>
    <row r="138" ht="14.25" customHeight="1">
      <c r="A138" s="306"/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</row>
    <row r="139" ht="14.25" customHeight="1">
      <c r="A139" s="306"/>
      <c r="B139" s="306"/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</row>
    <row r="140" ht="14.25" customHeight="1">
      <c r="A140" s="306"/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</row>
    <row r="141" ht="14.25" customHeight="1">
      <c r="A141" s="306"/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</row>
    <row r="142" ht="14.25" customHeight="1">
      <c r="A142" s="306"/>
      <c r="B142" s="306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</row>
    <row r="143" ht="14.25" customHeight="1">
      <c r="A143" s="306"/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6"/>
      <c r="U143" s="306"/>
      <c r="V143" s="306"/>
      <c r="W143" s="306"/>
      <c r="X143" s="306"/>
      <c r="Y143" s="306"/>
      <c r="Z143" s="306"/>
    </row>
    <row r="144" ht="14.25" customHeight="1">
      <c r="A144" s="306"/>
      <c r="B144" s="306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306"/>
    </row>
    <row r="145" ht="14.25" customHeight="1">
      <c r="A145" s="306"/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</row>
    <row r="146" ht="14.25" customHeight="1">
      <c r="A146" s="306"/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</row>
    <row r="147" ht="14.25" customHeight="1">
      <c r="A147" s="306"/>
      <c r="B147" s="306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  <c r="Z147" s="306"/>
    </row>
    <row r="148" ht="14.25" customHeight="1">
      <c r="A148" s="306"/>
      <c r="B148" s="306"/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  <c r="Z148" s="306"/>
    </row>
    <row r="149" ht="14.25" customHeight="1">
      <c r="A149" s="306"/>
      <c r="B149" s="306"/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</row>
    <row r="150" ht="14.25" customHeight="1">
      <c r="A150" s="306"/>
      <c r="B150" s="306"/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</row>
    <row r="151" ht="14.25" customHeight="1">
      <c r="A151" s="306"/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306"/>
      <c r="Y151" s="306"/>
      <c r="Z151" s="306"/>
    </row>
    <row r="152" ht="14.25" customHeight="1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</row>
    <row r="153" ht="14.25" customHeight="1">
      <c r="A153" s="306"/>
      <c r="B153" s="306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  <c r="Z153" s="306"/>
    </row>
    <row r="154" ht="14.25" customHeight="1">
      <c r="A154" s="306"/>
      <c r="B154" s="306"/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306"/>
      <c r="X154" s="306"/>
      <c r="Y154" s="306"/>
      <c r="Z154" s="306"/>
    </row>
    <row r="155" ht="14.25" customHeight="1">
      <c r="A155" s="306"/>
      <c r="B155" s="306"/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306"/>
      <c r="X155" s="306"/>
      <c r="Y155" s="306"/>
      <c r="Z155" s="306"/>
    </row>
    <row r="156" ht="14.25" customHeight="1">
      <c r="A156" s="306"/>
      <c r="B156" s="306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306"/>
      <c r="X156" s="306"/>
      <c r="Y156" s="306"/>
      <c r="Z156" s="306"/>
    </row>
    <row r="157" ht="14.25" customHeight="1">
      <c r="A157" s="306"/>
      <c r="B157" s="306"/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306"/>
    </row>
    <row r="158" ht="14.25" customHeight="1">
      <c r="A158" s="306"/>
      <c r="B158" s="306"/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</row>
    <row r="159" ht="14.25" customHeight="1">
      <c r="A159" s="306"/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</row>
    <row r="160" ht="14.25" customHeight="1">
      <c r="A160" s="306"/>
      <c r="B160" s="306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  <c r="Z160" s="306"/>
    </row>
    <row r="161" ht="14.25" customHeight="1">
      <c r="A161" s="306"/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</row>
    <row r="162" ht="14.25" customHeight="1">
      <c r="A162" s="306"/>
      <c r="B162" s="306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</row>
    <row r="163" ht="14.25" customHeight="1">
      <c r="A163" s="306"/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</row>
    <row r="164" ht="14.25" customHeight="1">
      <c r="A164" s="306"/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</row>
    <row r="165" ht="14.25" customHeight="1">
      <c r="A165" s="306"/>
      <c r="B165" s="306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</row>
    <row r="166" ht="14.25" customHeight="1">
      <c r="A166" s="306"/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</row>
    <row r="167" ht="14.25" customHeight="1">
      <c r="A167" s="306"/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</row>
    <row r="168" ht="14.25" customHeight="1">
      <c r="A168" s="306"/>
      <c r="B168" s="306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  <c r="Z168" s="306"/>
    </row>
    <row r="169" ht="14.25" customHeight="1">
      <c r="A169" s="306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6"/>
      <c r="T169" s="306"/>
      <c r="U169" s="306"/>
      <c r="V169" s="306"/>
      <c r="W169" s="306"/>
      <c r="X169" s="306"/>
      <c r="Y169" s="306"/>
      <c r="Z169" s="306"/>
    </row>
    <row r="170" ht="14.25" customHeight="1">
      <c r="A170" s="306"/>
      <c r="B170" s="306"/>
      <c r="C170" s="306"/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</row>
    <row r="171" ht="14.25" customHeight="1">
      <c r="A171" s="306"/>
      <c r="B171" s="306"/>
      <c r="C171" s="306"/>
      <c r="D171" s="306"/>
      <c r="E171" s="306"/>
      <c r="F171" s="306"/>
      <c r="G171" s="306"/>
      <c r="H171" s="306"/>
      <c r="I171" s="306"/>
      <c r="J171" s="306"/>
      <c r="K171" s="306"/>
      <c r="L171" s="306"/>
      <c r="M171" s="306"/>
      <c r="N171" s="306"/>
      <c r="O171" s="306"/>
      <c r="P171" s="306"/>
      <c r="Q171" s="306"/>
      <c r="R171" s="306"/>
      <c r="S171" s="306"/>
      <c r="T171" s="306"/>
      <c r="U171" s="306"/>
      <c r="V171" s="306"/>
      <c r="W171" s="306"/>
      <c r="X171" s="306"/>
      <c r="Y171" s="306"/>
      <c r="Z171" s="306"/>
    </row>
    <row r="172" ht="14.25" customHeight="1">
      <c r="A172" s="306"/>
      <c r="B172" s="306"/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</row>
    <row r="173" ht="14.25" customHeight="1">
      <c r="A173" s="306"/>
      <c r="B173" s="306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306"/>
      <c r="X173" s="306"/>
      <c r="Y173" s="306"/>
      <c r="Z173" s="306"/>
    </row>
    <row r="174" ht="14.25" customHeight="1">
      <c r="A174" s="306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  <c r="Z174" s="306"/>
    </row>
    <row r="175" ht="14.25" customHeight="1">
      <c r="A175" s="306"/>
      <c r="B175" s="306"/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</row>
    <row r="176" ht="14.25" customHeight="1">
      <c r="A176" s="306"/>
      <c r="B176" s="306"/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/>
      <c r="Z176" s="306"/>
    </row>
    <row r="177" ht="14.25" customHeight="1">
      <c r="A177" s="306"/>
      <c r="B177" s="306"/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306"/>
      <c r="X177" s="306"/>
      <c r="Y177" s="306"/>
      <c r="Z177" s="306"/>
    </row>
    <row r="178" ht="14.25" customHeight="1">
      <c r="A178" s="306"/>
      <c r="B178" s="306"/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306"/>
    </row>
    <row r="179" ht="14.25" customHeight="1">
      <c r="A179" s="306"/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/>
      <c r="V179" s="306"/>
      <c r="W179" s="306"/>
      <c r="X179" s="306"/>
      <c r="Y179" s="306"/>
      <c r="Z179" s="306"/>
    </row>
    <row r="180" ht="14.25" customHeight="1">
      <c r="A180" s="306"/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</row>
    <row r="181" ht="14.25" customHeight="1">
      <c r="A181" s="306"/>
      <c r="B181" s="306"/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  <c r="Y181" s="306"/>
      <c r="Z181" s="306"/>
    </row>
    <row r="182" ht="14.25" customHeigh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  <c r="Z182" s="306"/>
    </row>
    <row r="183" ht="14.25" customHeight="1">
      <c r="A183" s="306"/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</row>
    <row r="184" ht="14.25" customHeight="1">
      <c r="A184" s="306"/>
      <c r="B184" s="306"/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</row>
    <row r="185" ht="14.25" customHeight="1">
      <c r="A185" s="306"/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</row>
    <row r="186" ht="14.25" customHeight="1">
      <c r="A186" s="306"/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</row>
    <row r="187" ht="14.25" customHeight="1">
      <c r="A187" s="306"/>
      <c r="B187" s="306"/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</row>
    <row r="188" ht="14.25" customHeight="1">
      <c r="A188" s="306"/>
      <c r="B188" s="306"/>
      <c r="C188" s="306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  <c r="Z188" s="306"/>
    </row>
    <row r="189" ht="14.25" customHeight="1">
      <c r="A189" s="306"/>
      <c r="B189" s="306"/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</row>
    <row r="190" ht="14.25" customHeight="1">
      <c r="A190" s="306"/>
      <c r="B190" s="306"/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306"/>
    </row>
    <row r="191" ht="14.25" customHeight="1">
      <c r="A191" s="306"/>
      <c r="B191" s="306"/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</row>
    <row r="192" ht="14.25" customHeight="1">
      <c r="A192" s="306"/>
      <c r="B192" s="306"/>
      <c r="C192" s="306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</row>
    <row r="193" ht="14.25" customHeight="1">
      <c r="A193" s="306"/>
      <c r="B193" s="306"/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6"/>
      <c r="V193" s="306"/>
      <c r="W193" s="306"/>
      <c r="X193" s="306"/>
      <c r="Y193" s="306"/>
      <c r="Z193" s="306"/>
    </row>
    <row r="194" ht="14.25" customHeight="1">
      <c r="A194" s="306"/>
      <c r="B194" s="306"/>
      <c r="C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</row>
    <row r="195" ht="14.25" customHeight="1">
      <c r="A195" s="306"/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  <c r="Z195" s="306"/>
    </row>
    <row r="196" ht="14.25" customHeight="1">
      <c r="A196" s="306"/>
      <c r="B196" s="306"/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  <c r="Z196" s="306"/>
    </row>
    <row r="197" ht="14.25" customHeight="1">
      <c r="A197" s="306"/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  <c r="S197" s="306"/>
      <c r="T197" s="306"/>
      <c r="U197" s="306"/>
      <c r="V197" s="306"/>
      <c r="W197" s="306"/>
      <c r="X197" s="306"/>
      <c r="Y197" s="306"/>
      <c r="Z197" s="306"/>
    </row>
    <row r="198" ht="14.25" customHeight="1">
      <c r="A198" s="306"/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306"/>
    </row>
    <row r="199" ht="14.25" customHeight="1">
      <c r="A199" s="306"/>
      <c r="B199" s="306"/>
      <c r="C199" s="306"/>
      <c r="D199" s="306"/>
      <c r="E199" s="306"/>
      <c r="F199" s="306"/>
      <c r="G199" s="306"/>
      <c r="H199" s="306"/>
      <c r="I199" s="306"/>
      <c r="J199" s="306"/>
      <c r="K199" s="306"/>
      <c r="L199" s="306"/>
      <c r="M199" s="306"/>
      <c r="N199" s="306"/>
      <c r="O199" s="306"/>
      <c r="P199" s="306"/>
      <c r="Q199" s="306"/>
      <c r="R199" s="306"/>
      <c r="S199" s="306"/>
      <c r="T199" s="306"/>
      <c r="U199" s="306"/>
      <c r="V199" s="306"/>
      <c r="W199" s="306"/>
      <c r="X199" s="306"/>
      <c r="Y199" s="306"/>
      <c r="Z199" s="306"/>
    </row>
    <row r="200" ht="14.25" customHeight="1">
      <c r="A200" s="306"/>
      <c r="B200" s="306"/>
      <c r="C200" s="306"/>
      <c r="D200" s="306"/>
      <c r="E200" s="306"/>
      <c r="F200" s="306"/>
      <c r="G200" s="306"/>
      <c r="H200" s="306"/>
      <c r="I200" s="306"/>
      <c r="J200" s="306"/>
      <c r="K200" s="306"/>
      <c r="L200" s="306"/>
      <c r="M200" s="306"/>
      <c r="N200" s="306"/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  <c r="Z200" s="306"/>
    </row>
    <row r="201" ht="14.25" customHeight="1">
      <c r="A201" s="306"/>
      <c r="B201" s="306"/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  <c r="Z201" s="306"/>
    </row>
    <row r="202" ht="14.25" customHeight="1">
      <c r="A202" s="306"/>
      <c r="B202" s="306"/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  <c r="T202" s="306"/>
      <c r="U202" s="306"/>
      <c r="V202" s="306"/>
      <c r="W202" s="306"/>
      <c r="X202" s="306"/>
      <c r="Y202" s="306"/>
      <c r="Z202" s="306"/>
    </row>
    <row r="203" ht="14.25" customHeight="1">
      <c r="A203" s="306"/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306"/>
    </row>
    <row r="204" ht="14.25" customHeight="1">
      <c r="A204" s="306"/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</row>
    <row r="205" ht="14.25" customHeight="1">
      <c r="A205" s="306"/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</row>
    <row r="206" ht="14.25" customHeight="1">
      <c r="A206" s="306"/>
      <c r="B206" s="306"/>
      <c r="C206" s="306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  <c r="T206" s="306"/>
      <c r="U206" s="306"/>
      <c r="V206" s="306"/>
      <c r="W206" s="306"/>
      <c r="X206" s="306"/>
      <c r="Y206" s="306"/>
      <c r="Z206" s="306"/>
    </row>
    <row r="207" ht="14.25" customHeight="1">
      <c r="A207" s="306"/>
      <c r="B207" s="306"/>
      <c r="C207" s="306"/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  <c r="S207" s="306"/>
      <c r="T207" s="306"/>
      <c r="U207" s="306"/>
      <c r="V207" s="306"/>
      <c r="W207" s="306"/>
      <c r="X207" s="306"/>
      <c r="Y207" s="306"/>
      <c r="Z207" s="306"/>
    </row>
    <row r="208" ht="14.25" customHeight="1">
      <c r="A208" s="306"/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  <c r="T208" s="306"/>
      <c r="U208" s="306"/>
      <c r="V208" s="306"/>
      <c r="W208" s="306"/>
      <c r="X208" s="306"/>
      <c r="Y208" s="306"/>
      <c r="Z208" s="306"/>
    </row>
    <row r="209" ht="14.25" customHeight="1">
      <c r="A209" s="306"/>
      <c r="B209" s="306"/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  <c r="T209" s="306"/>
      <c r="U209" s="306"/>
      <c r="V209" s="306"/>
      <c r="W209" s="306"/>
      <c r="X209" s="306"/>
      <c r="Y209" s="306"/>
      <c r="Z209" s="306"/>
    </row>
    <row r="210" ht="14.25" customHeight="1">
      <c r="A210" s="306"/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/>
      <c r="Y210" s="306"/>
      <c r="Z210" s="306"/>
    </row>
    <row r="211" ht="14.25" customHeight="1">
      <c r="A211" s="306"/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  <c r="X211" s="306"/>
      <c r="Y211" s="306"/>
      <c r="Z211" s="306"/>
    </row>
    <row r="212" ht="14.25" customHeight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  <c r="X212" s="306"/>
      <c r="Y212" s="306"/>
      <c r="Z212" s="306"/>
    </row>
    <row r="213" ht="14.25" customHeight="1">
      <c r="A213" s="306"/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  <c r="T213" s="306"/>
      <c r="U213" s="306"/>
      <c r="V213" s="306"/>
      <c r="W213" s="306"/>
      <c r="X213" s="306"/>
      <c r="Y213" s="306"/>
      <c r="Z213" s="306"/>
    </row>
    <row r="214" ht="14.25" customHeight="1">
      <c r="A214" s="306"/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  <c r="S214" s="306"/>
      <c r="T214" s="306"/>
      <c r="U214" s="306"/>
      <c r="V214" s="306"/>
      <c r="W214" s="306"/>
      <c r="X214" s="306"/>
      <c r="Y214" s="306"/>
      <c r="Z214" s="306"/>
    </row>
    <row r="215" ht="14.25" customHeight="1">
      <c r="A215" s="306"/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  <c r="T215" s="306"/>
      <c r="U215" s="306"/>
      <c r="V215" s="306"/>
      <c r="W215" s="306"/>
      <c r="X215" s="306"/>
      <c r="Y215" s="306"/>
      <c r="Z215" s="306"/>
    </row>
    <row r="216" ht="14.25" customHeight="1">
      <c r="A216" s="306"/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  <c r="T216" s="306"/>
      <c r="U216" s="306"/>
      <c r="V216" s="306"/>
      <c r="W216" s="306"/>
      <c r="X216" s="306"/>
      <c r="Y216" s="306"/>
      <c r="Z216" s="306"/>
    </row>
    <row r="217" ht="14.25" customHeight="1">
      <c r="A217" s="306"/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  <c r="T217" s="306"/>
      <c r="U217" s="306"/>
      <c r="V217" s="306"/>
      <c r="W217" s="306"/>
      <c r="X217" s="306"/>
      <c r="Y217" s="306"/>
      <c r="Z217" s="306"/>
    </row>
    <row r="218" ht="14.25" customHeight="1">
      <c r="A218" s="306"/>
      <c r="B218" s="306"/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  <c r="T218" s="306"/>
      <c r="U218" s="306"/>
      <c r="V218" s="306"/>
      <c r="W218" s="306"/>
      <c r="X218" s="306"/>
      <c r="Y218" s="306"/>
      <c r="Z218" s="306"/>
    </row>
    <row r="219" ht="14.25" customHeight="1">
      <c r="A219" s="306"/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</row>
    <row r="220" ht="14.25" customHeight="1">
      <c r="A220" s="306"/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</row>
    <row r="221" ht="14.25" customHeight="1">
      <c r="A221" s="306"/>
      <c r="B221" s="306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  <c r="Z221" s="306"/>
    </row>
    <row r="222" ht="14.25" customHeight="1">
      <c r="A222" s="306"/>
      <c r="B222" s="306"/>
      <c r="C222" s="306"/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  <c r="S222" s="306"/>
      <c r="T222" s="306"/>
      <c r="U222" s="306"/>
      <c r="V222" s="306"/>
      <c r="W222" s="306"/>
      <c r="X222" s="306"/>
      <c r="Y222" s="306"/>
      <c r="Z222" s="306"/>
    </row>
    <row r="223" ht="14.25" customHeight="1">
      <c r="A223" s="306"/>
      <c r="B223" s="306"/>
      <c r="C223" s="306"/>
      <c r="D223" s="306"/>
      <c r="E223" s="306"/>
      <c r="F223" s="306"/>
      <c r="G223" s="306"/>
      <c r="H223" s="306"/>
      <c r="I223" s="306"/>
      <c r="J223" s="306"/>
      <c r="K223" s="306"/>
      <c r="L223" s="306"/>
      <c r="M223" s="306"/>
      <c r="N223" s="306"/>
      <c r="O223" s="306"/>
      <c r="P223" s="306"/>
      <c r="Q223" s="306"/>
      <c r="R223" s="306"/>
      <c r="S223" s="306"/>
      <c r="T223" s="306"/>
      <c r="U223" s="306"/>
      <c r="V223" s="306"/>
      <c r="W223" s="306"/>
      <c r="X223" s="306"/>
      <c r="Y223" s="306"/>
      <c r="Z223" s="306"/>
    </row>
    <row r="224" ht="14.25" customHeight="1">
      <c r="A224" s="306"/>
      <c r="B224" s="306"/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  <c r="T224" s="306"/>
      <c r="U224" s="306"/>
      <c r="V224" s="306"/>
      <c r="W224" s="306"/>
      <c r="X224" s="306"/>
      <c r="Y224" s="306"/>
      <c r="Z224" s="306"/>
    </row>
    <row r="225" ht="14.25" customHeight="1">
      <c r="A225" s="306"/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306"/>
      <c r="O225" s="306"/>
      <c r="P225" s="306"/>
      <c r="Q225" s="306"/>
      <c r="R225" s="306"/>
      <c r="S225" s="306"/>
      <c r="T225" s="306"/>
      <c r="U225" s="306"/>
      <c r="V225" s="306"/>
      <c r="W225" s="306"/>
      <c r="X225" s="306"/>
      <c r="Y225" s="306"/>
      <c r="Z225" s="306"/>
    </row>
    <row r="226" ht="14.25" customHeight="1">
      <c r="A226" s="306"/>
      <c r="B226" s="306"/>
      <c r="C226" s="306"/>
      <c r="D226" s="306"/>
      <c r="E226" s="306"/>
      <c r="F226" s="306"/>
      <c r="G226" s="306"/>
      <c r="H226" s="306"/>
      <c r="I226" s="306"/>
      <c r="J226" s="306"/>
      <c r="K226" s="306"/>
      <c r="L226" s="306"/>
      <c r="M226" s="306"/>
      <c r="N226" s="306"/>
      <c r="O226" s="306"/>
      <c r="P226" s="306"/>
      <c r="Q226" s="306"/>
      <c r="R226" s="306"/>
      <c r="S226" s="306"/>
      <c r="T226" s="306"/>
      <c r="U226" s="306"/>
      <c r="V226" s="306"/>
      <c r="W226" s="306"/>
      <c r="X226" s="306"/>
      <c r="Y226" s="306"/>
      <c r="Z226" s="306"/>
    </row>
    <row r="227" ht="14.25" customHeight="1">
      <c r="A227" s="306"/>
      <c r="B227" s="306"/>
      <c r="C227" s="306"/>
      <c r="D227" s="306"/>
      <c r="E227" s="306"/>
      <c r="F227" s="306"/>
      <c r="G227" s="306"/>
      <c r="H227" s="306"/>
      <c r="I227" s="306"/>
      <c r="J227" s="306"/>
      <c r="K227" s="306"/>
      <c r="L227" s="306"/>
      <c r="M227" s="306"/>
      <c r="N227" s="306"/>
      <c r="O227" s="306"/>
      <c r="P227" s="306"/>
      <c r="Q227" s="306"/>
      <c r="R227" s="306"/>
      <c r="S227" s="306"/>
      <c r="T227" s="306"/>
      <c r="U227" s="306"/>
      <c r="V227" s="306"/>
      <c r="W227" s="306"/>
      <c r="X227" s="306"/>
      <c r="Y227" s="306"/>
      <c r="Z227" s="306"/>
    </row>
    <row r="228" ht="14.25" customHeight="1">
      <c r="A228" s="306"/>
      <c r="B228" s="306"/>
      <c r="C228" s="306"/>
      <c r="D228" s="306"/>
      <c r="E228" s="306"/>
      <c r="F228" s="306"/>
      <c r="G228" s="306"/>
      <c r="H228" s="306"/>
      <c r="I228" s="306"/>
      <c r="J228" s="306"/>
      <c r="K228" s="306"/>
      <c r="L228" s="306"/>
      <c r="M228" s="306"/>
      <c r="N228" s="306"/>
      <c r="O228" s="306"/>
      <c r="P228" s="306"/>
      <c r="Q228" s="306"/>
      <c r="R228" s="306"/>
      <c r="S228" s="306"/>
      <c r="T228" s="306"/>
      <c r="U228" s="306"/>
      <c r="V228" s="306"/>
      <c r="W228" s="306"/>
      <c r="X228" s="306"/>
      <c r="Y228" s="306"/>
      <c r="Z228" s="306"/>
    </row>
    <row r="229" ht="14.25" customHeight="1">
      <c r="A229" s="306"/>
      <c r="B229" s="306"/>
      <c r="C229" s="306"/>
      <c r="D229" s="306"/>
      <c r="E229" s="306"/>
      <c r="F229" s="306"/>
      <c r="G229" s="306"/>
      <c r="H229" s="306"/>
      <c r="I229" s="306"/>
      <c r="J229" s="306"/>
      <c r="K229" s="306"/>
      <c r="L229" s="306"/>
      <c r="M229" s="306"/>
      <c r="N229" s="306"/>
      <c r="O229" s="306"/>
      <c r="P229" s="306"/>
      <c r="Q229" s="306"/>
      <c r="R229" s="306"/>
      <c r="S229" s="306"/>
      <c r="T229" s="306"/>
      <c r="U229" s="306"/>
      <c r="V229" s="306"/>
      <c r="W229" s="306"/>
      <c r="X229" s="306"/>
      <c r="Y229" s="306"/>
      <c r="Z229" s="306"/>
    </row>
    <row r="230" ht="14.25" customHeight="1">
      <c r="A230" s="306"/>
      <c r="B230" s="306"/>
      <c r="C230" s="306"/>
      <c r="D230" s="306"/>
      <c r="E230" s="306"/>
      <c r="F230" s="306"/>
      <c r="G230" s="306"/>
      <c r="H230" s="306"/>
      <c r="I230" s="306"/>
      <c r="J230" s="306"/>
      <c r="K230" s="306"/>
      <c r="L230" s="306"/>
      <c r="M230" s="306"/>
      <c r="N230" s="306"/>
      <c r="O230" s="306"/>
      <c r="P230" s="306"/>
      <c r="Q230" s="306"/>
      <c r="R230" s="306"/>
      <c r="S230" s="306"/>
      <c r="T230" s="306"/>
      <c r="U230" s="306"/>
      <c r="V230" s="306"/>
      <c r="W230" s="306"/>
      <c r="X230" s="306"/>
      <c r="Y230" s="306"/>
      <c r="Z230" s="306"/>
    </row>
    <row r="231" ht="14.25" customHeight="1">
      <c r="A231" s="306"/>
      <c r="B231" s="306"/>
      <c r="C231" s="306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  <c r="S231" s="306"/>
      <c r="T231" s="306"/>
      <c r="U231" s="306"/>
      <c r="V231" s="306"/>
      <c r="W231" s="306"/>
      <c r="X231" s="306"/>
      <c r="Y231" s="306"/>
      <c r="Z231" s="306"/>
    </row>
    <row r="232" ht="14.25" customHeight="1">
      <c r="A232" s="306"/>
      <c r="B232" s="306"/>
      <c r="C232" s="306"/>
      <c r="D232" s="306"/>
      <c r="E232" s="306"/>
      <c r="F232" s="306"/>
      <c r="G232" s="306"/>
      <c r="H232" s="306"/>
      <c r="I232" s="306"/>
      <c r="J232" s="306"/>
      <c r="K232" s="306"/>
      <c r="L232" s="306"/>
      <c r="M232" s="306"/>
      <c r="N232" s="306"/>
      <c r="O232" s="306"/>
      <c r="P232" s="306"/>
      <c r="Q232" s="306"/>
      <c r="R232" s="306"/>
      <c r="S232" s="306"/>
      <c r="T232" s="306"/>
      <c r="U232" s="306"/>
      <c r="V232" s="306"/>
      <c r="W232" s="306"/>
      <c r="X232" s="306"/>
      <c r="Y232" s="306"/>
      <c r="Z232" s="306"/>
    </row>
    <row r="233" ht="14.25" customHeight="1">
      <c r="A233" s="306"/>
      <c r="B233" s="306"/>
      <c r="C233" s="306"/>
      <c r="D233" s="306"/>
      <c r="E233" s="306"/>
      <c r="F233" s="306"/>
      <c r="G233" s="306"/>
      <c r="H233" s="306"/>
      <c r="I233" s="306"/>
      <c r="J233" s="306"/>
      <c r="K233" s="306"/>
      <c r="L233" s="306"/>
      <c r="M233" s="306"/>
      <c r="N233" s="306"/>
      <c r="O233" s="306"/>
      <c r="P233" s="306"/>
      <c r="Q233" s="306"/>
      <c r="R233" s="306"/>
      <c r="S233" s="306"/>
      <c r="T233" s="306"/>
      <c r="U233" s="306"/>
      <c r="V233" s="306"/>
      <c r="W233" s="306"/>
      <c r="X233" s="306"/>
      <c r="Y233" s="306"/>
      <c r="Z233" s="306"/>
    </row>
    <row r="234" ht="14.25" customHeight="1">
      <c r="A234" s="306"/>
      <c r="B234" s="306"/>
      <c r="C234" s="306"/>
      <c r="D234" s="306"/>
      <c r="E234" s="306"/>
      <c r="F234" s="306"/>
      <c r="G234" s="306"/>
      <c r="H234" s="306"/>
      <c r="I234" s="306"/>
      <c r="J234" s="306"/>
      <c r="K234" s="306"/>
      <c r="L234" s="306"/>
      <c r="M234" s="306"/>
      <c r="N234" s="306"/>
      <c r="O234" s="306"/>
      <c r="P234" s="306"/>
      <c r="Q234" s="306"/>
      <c r="R234" s="306"/>
      <c r="S234" s="306"/>
      <c r="T234" s="306"/>
      <c r="U234" s="306"/>
      <c r="V234" s="306"/>
      <c r="W234" s="306"/>
      <c r="X234" s="306"/>
      <c r="Y234" s="306"/>
      <c r="Z234" s="306"/>
    </row>
    <row r="235" ht="14.25" customHeight="1">
      <c r="A235" s="306"/>
      <c r="B235" s="306"/>
      <c r="C235" s="306"/>
      <c r="D235" s="306"/>
      <c r="E235" s="306"/>
      <c r="F235" s="306"/>
      <c r="G235" s="306"/>
      <c r="H235" s="306"/>
      <c r="I235" s="306"/>
      <c r="J235" s="306"/>
      <c r="K235" s="306"/>
      <c r="L235" s="306"/>
      <c r="M235" s="306"/>
      <c r="N235" s="306"/>
      <c r="O235" s="306"/>
      <c r="P235" s="306"/>
      <c r="Q235" s="306"/>
      <c r="R235" s="306"/>
      <c r="S235" s="306"/>
      <c r="T235" s="306"/>
      <c r="U235" s="306"/>
      <c r="V235" s="306"/>
      <c r="W235" s="306"/>
      <c r="X235" s="306"/>
      <c r="Y235" s="306"/>
      <c r="Z235" s="306"/>
    </row>
    <row r="236" ht="14.25" customHeight="1">
      <c r="A236" s="306"/>
      <c r="B236" s="306"/>
      <c r="C236" s="306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306"/>
      <c r="O236" s="306"/>
      <c r="P236" s="306"/>
      <c r="Q236" s="306"/>
      <c r="R236" s="306"/>
      <c r="S236" s="306"/>
      <c r="T236" s="306"/>
      <c r="U236" s="306"/>
      <c r="V236" s="306"/>
      <c r="W236" s="306"/>
      <c r="X236" s="306"/>
      <c r="Y236" s="306"/>
      <c r="Z236" s="306"/>
    </row>
    <row r="237" ht="14.25" customHeight="1">
      <c r="A237" s="306"/>
      <c r="B237" s="306"/>
      <c r="C237" s="306"/>
      <c r="D237" s="306"/>
      <c r="E237" s="306"/>
      <c r="F237" s="306"/>
      <c r="G237" s="306"/>
      <c r="H237" s="306"/>
      <c r="I237" s="306"/>
      <c r="J237" s="306"/>
      <c r="K237" s="306"/>
      <c r="L237" s="306"/>
      <c r="M237" s="306"/>
      <c r="N237" s="306"/>
      <c r="O237" s="306"/>
      <c r="P237" s="306"/>
      <c r="Q237" s="306"/>
      <c r="R237" s="306"/>
      <c r="S237" s="306"/>
      <c r="T237" s="306"/>
      <c r="U237" s="306"/>
      <c r="V237" s="306"/>
      <c r="W237" s="306"/>
      <c r="X237" s="306"/>
      <c r="Y237" s="306"/>
      <c r="Z237" s="306"/>
    </row>
    <row r="238" ht="14.25" customHeight="1">
      <c r="A238" s="306"/>
      <c r="B238" s="306"/>
      <c r="C238" s="306"/>
      <c r="D238" s="306"/>
      <c r="E238" s="306"/>
      <c r="F238" s="306"/>
      <c r="G238" s="306"/>
      <c r="H238" s="306"/>
      <c r="I238" s="306"/>
      <c r="J238" s="306"/>
      <c r="K238" s="306"/>
      <c r="L238" s="306"/>
      <c r="M238" s="306"/>
      <c r="N238" s="306"/>
      <c r="O238" s="306"/>
      <c r="P238" s="306"/>
      <c r="Q238" s="306"/>
      <c r="R238" s="306"/>
      <c r="S238" s="306"/>
      <c r="T238" s="306"/>
      <c r="U238" s="306"/>
      <c r="V238" s="306"/>
      <c r="W238" s="306"/>
      <c r="X238" s="306"/>
      <c r="Y238" s="306"/>
      <c r="Z238" s="306"/>
    </row>
    <row r="239" ht="14.25" customHeight="1">
      <c r="A239" s="306"/>
      <c r="B239" s="306"/>
      <c r="C239" s="306"/>
      <c r="D239" s="306"/>
      <c r="E239" s="306"/>
      <c r="F239" s="306"/>
      <c r="G239" s="306"/>
      <c r="H239" s="306"/>
      <c r="I239" s="306"/>
      <c r="J239" s="306"/>
      <c r="K239" s="306"/>
      <c r="L239" s="306"/>
      <c r="M239" s="306"/>
      <c r="N239" s="306"/>
      <c r="O239" s="306"/>
      <c r="P239" s="306"/>
      <c r="Q239" s="306"/>
      <c r="R239" s="306"/>
      <c r="S239" s="306"/>
      <c r="T239" s="306"/>
      <c r="U239" s="306"/>
      <c r="V239" s="306"/>
      <c r="W239" s="306"/>
      <c r="X239" s="306"/>
      <c r="Y239" s="306"/>
      <c r="Z239" s="306"/>
    </row>
    <row r="240" ht="14.25" customHeight="1">
      <c r="A240" s="306"/>
      <c r="B240" s="306"/>
      <c r="C240" s="306"/>
      <c r="D240" s="306"/>
      <c r="E240" s="306"/>
      <c r="F240" s="306"/>
      <c r="G240" s="306"/>
      <c r="H240" s="306"/>
      <c r="I240" s="306"/>
      <c r="J240" s="306"/>
      <c r="K240" s="306"/>
      <c r="L240" s="306"/>
      <c r="M240" s="306"/>
      <c r="N240" s="306"/>
      <c r="O240" s="306"/>
      <c r="P240" s="306"/>
      <c r="Q240" s="306"/>
      <c r="R240" s="306"/>
      <c r="S240" s="306"/>
      <c r="T240" s="306"/>
      <c r="U240" s="306"/>
      <c r="V240" s="306"/>
      <c r="W240" s="306"/>
      <c r="X240" s="306"/>
      <c r="Y240" s="306"/>
      <c r="Z240" s="306"/>
    </row>
    <row r="241" ht="14.25" customHeight="1">
      <c r="A241" s="306"/>
      <c r="B241" s="306"/>
      <c r="C241" s="306"/>
      <c r="D241" s="306"/>
      <c r="E241" s="306"/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  <c r="X241" s="306"/>
      <c r="Y241" s="306"/>
      <c r="Z241" s="306"/>
    </row>
    <row r="242" ht="14.25" customHeight="1">
      <c r="A242" s="306"/>
      <c r="B242" s="306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  <c r="X242" s="306"/>
      <c r="Y242" s="306"/>
      <c r="Z242" s="306"/>
    </row>
    <row r="243" ht="14.25" customHeight="1">
      <c r="A243" s="306"/>
      <c r="B243" s="306"/>
      <c r="C243" s="306"/>
      <c r="D243" s="306"/>
      <c r="E243" s="306"/>
      <c r="F243" s="306"/>
      <c r="G243" s="306"/>
      <c r="H243" s="306"/>
      <c r="I243" s="306"/>
      <c r="J243" s="306"/>
      <c r="K243" s="306"/>
      <c r="L243" s="306"/>
      <c r="M243" s="306"/>
      <c r="N243" s="306"/>
      <c r="O243" s="306"/>
      <c r="P243" s="306"/>
      <c r="Q243" s="306"/>
      <c r="R243" s="306"/>
      <c r="S243" s="306"/>
      <c r="T243" s="306"/>
      <c r="U243" s="306"/>
      <c r="V243" s="306"/>
      <c r="W243" s="306"/>
      <c r="X243" s="306"/>
      <c r="Y243" s="306"/>
      <c r="Z243" s="306"/>
    </row>
    <row r="244" ht="14.25" customHeight="1">
      <c r="A244" s="306"/>
      <c r="B244" s="306"/>
      <c r="C244" s="306"/>
      <c r="D244" s="306"/>
      <c r="E244" s="306"/>
      <c r="F244" s="306"/>
      <c r="G244" s="306"/>
      <c r="H244" s="306"/>
      <c r="I244" s="306"/>
      <c r="J244" s="306"/>
      <c r="K244" s="306"/>
      <c r="L244" s="306"/>
      <c r="M244" s="306"/>
      <c r="N244" s="306"/>
      <c r="O244" s="306"/>
      <c r="P244" s="306"/>
      <c r="Q244" s="306"/>
      <c r="R244" s="306"/>
      <c r="S244" s="306"/>
      <c r="T244" s="306"/>
      <c r="U244" s="306"/>
      <c r="V244" s="306"/>
      <c r="W244" s="306"/>
      <c r="X244" s="306"/>
      <c r="Y244" s="306"/>
      <c r="Z244" s="306"/>
    </row>
    <row r="245" ht="14.25" customHeight="1">
      <c r="A245" s="306"/>
      <c r="B245" s="306"/>
      <c r="C245" s="306"/>
      <c r="D245" s="306"/>
      <c r="E245" s="306"/>
      <c r="F245" s="306"/>
      <c r="G245" s="306"/>
      <c r="H245" s="306"/>
      <c r="I245" s="306"/>
      <c r="J245" s="306"/>
      <c r="K245" s="306"/>
      <c r="L245" s="306"/>
      <c r="M245" s="306"/>
      <c r="N245" s="306"/>
      <c r="O245" s="306"/>
      <c r="P245" s="306"/>
      <c r="Q245" s="306"/>
      <c r="R245" s="306"/>
      <c r="S245" s="306"/>
      <c r="T245" s="306"/>
      <c r="U245" s="306"/>
      <c r="V245" s="306"/>
      <c r="W245" s="306"/>
      <c r="X245" s="306"/>
      <c r="Y245" s="306"/>
      <c r="Z245" s="306"/>
    </row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</sheetData>
  <printOptions/>
  <pageMargins bottom="0.75" footer="0.0" header="0.0" left="0.7" right="0.7" top="0.75"/>
  <pageSetup paperSize="9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42.86"/>
    <col customWidth="1" min="2" max="2" width="13.86"/>
    <col customWidth="1" min="3" max="7" width="15.0"/>
    <col customWidth="1" min="8" max="26" width="9.0"/>
  </cols>
  <sheetData>
    <row r="1" ht="14.25" customHeight="1">
      <c r="A1" s="320" t="s">
        <v>488</v>
      </c>
      <c r="E1" s="321" t="str">
        <f>InfoInicial!E1</f>
        <v>10</v>
      </c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ht="16.5" customHeight="1">
      <c r="A2" s="544" t="s">
        <v>766</v>
      </c>
      <c r="B2" s="423"/>
      <c r="C2" s="423"/>
      <c r="D2" s="423"/>
      <c r="E2" s="423"/>
      <c r="F2" s="423"/>
      <c r="G2" s="424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</row>
    <row r="3" ht="15.75" customHeight="1">
      <c r="A3" s="600"/>
      <c r="B3" s="532" t="s">
        <v>767</v>
      </c>
      <c r="C3" s="532"/>
      <c r="D3" s="532"/>
      <c r="E3" s="532"/>
      <c r="F3" s="532"/>
      <c r="G3" s="601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</row>
    <row r="4" ht="13.5" customHeight="1">
      <c r="A4" s="545" t="s">
        <v>591</v>
      </c>
      <c r="B4" s="515" t="s">
        <v>542</v>
      </c>
      <c r="C4" s="358" t="s">
        <v>44</v>
      </c>
      <c r="D4" s="358" t="s">
        <v>430</v>
      </c>
      <c r="E4" s="358" t="s">
        <v>431</v>
      </c>
      <c r="F4" s="358" t="s">
        <v>432</v>
      </c>
      <c r="G4" s="359" t="s">
        <v>433</v>
      </c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</row>
    <row r="5" ht="13.5" customHeight="1">
      <c r="A5" s="602" t="s">
        <v>903</v>
      </c>
      <c r="B5" s="536"/>
      <c r="C5" s="425"/>
      <c r="D5" s="425"/>
      <c r="E5" s="425"/>
      <c r="F5" s="425"/>
      <c r="G5" s="519"/>
      <c r="H5" s="587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</row>
    <row r="6" ht="12.75" customHeight="1">
      <c r="A6" s="603" t="s">
        <v>904</v>
      </c>
      <c r="B6" s="538" t="str">
        <f>'E-IVA '!B17</f>
        <v/>
      </c>
      <c r="C6" s="538" t="str">
        <f>'E-IVA '!C17</f>
        <v> $ 516,462.52 </v>
      </c>
      <c r="D6" s="538" t="str">
        <f>'E-IVA '!D17</f>
        <v> $ 645,259.21 </v>
      </c>
      <c r="E6" s="538" t="str">
        <f>'E-IVA '!E17</f>
        <v> $ 659,435.14 </v>
      </c>
      <c r="F6" s="538" t="str">
        <f>'E-IVA '!F17</f>
        <v> $ 659,803.97 </v>
      </c>
      <c r="G6" s="538" t="str">
        <f>'E-IVA '!G17</f>
        <v> $ 659,803.97 </v>
      </c>
      <c r="H6" s="587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</row>
    <row r="7" ht="12.75" customHeight="1">
      <c r="A7" s="603" t="s">
        <v>905</v>
      </c>
      <c r="B7" s="393" t="str">
        <f>'E-IVA '!B18</f>
        <v/>
      </c>
      <c r="C7" s="393" t="str">
        <f>'E-IVA '!C18</f>
        <v> $ 19,593.65 </v>
      </c>
      <c r="D7" s="393" t="str">
        <f>'E-IVA '!D18</f>
        <v> $ 21,670.38 </v>
      </c>
      <c r="E7" s="393" t="str">
        <f>'E-IVA '!E18</f>
        <v> $ 21,670.38 </v>
      </c>
      <c r="F7" s="393" t="str">
        <f>'E-IVA '!F18</f>
        <v> $ 21,670.38 </v>
      </c>
      <c r="G7" s="393" t="str">
        <f>'E-IVA '!G18</f>
        <v> $ 21,670.38 </v>
      </c>
      <c r="H7" s="587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</row>
    <row r="8" ht="12.75" customHeight="1">
      <c r="A8" s="604" t="s">
        <v>906</v>
      </c>
      <c r="B8" s="393" t="str">
        <f>'E-IVA '!B19</f>
        <v/>
      </c>
      <c r="C8" s="393" t="str">
        <f>'E-IVA '!C19</f>
        <v> $ 181,744.30 </v>
      </c>
      <c r="D8" s="393" t="str">
        <f>'E-IVA '!D19</f>
        <v> $ 222,312.11 </v>
      </c>
      <c r="E8" s="393" t="str">
        <f>'E-IVA '!E19</f>
        <v> $ 222,312.11 </v>
      </c>
      <c r="F8" s="393" t="str">
        <f>'E-IVA '!F19</f>
        <v> $ 222,312.11 </v>
      </c>
      <c r="G8" s="393" t="str">
        <f>'E-IVA '!G19</f>
        <v> $ 222,312.11 </v>
      </c>
      <c r="H8" s="587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</row>
    <row r="9" ht="12.75" customHeight="1">
      <c r="A9" s="604" t="s">
        <v>907</v>
      </c>
      <c r="B9" s="538"/>
      <c r="C9" s="588" t="str">
        <f>'F-CRes'!B10*InfoInicial!$B$3</f>
        <v> $ 1,486,941.23 </v>
      </c>
      <c r="D9" s="588" t="str">
        <f>'F-CRes'!C10*InfoInicial!$B$3</f>
        <v> $ 1,331,476.18 </v>
      </c>
      <c r="E9" s="588" t="str">
        <f>'F-CRes'!D10*InfoInicial!$B$3</f>
        <v> $ 1,176,011.13 </v>
      </c>
      <c r="F9" s="588" t="str">
        <f>'F-CRes'!E10*InfoInicial!$B$3</f>
        <v> $ 1,020,546.09 </v>
      </c>
      <c r="G9" s="588" t="str">
        <f>'F-CRes'!F10*InfoInicial!$B$3</f>
        <v> $ 865,081.04 </v>
      </c>
      <c r="H9" s="587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</row>
    <row r="10" ht="12.75" customHeight="1">
      <c r="A10" s="605" t="s">
        <v>908</v>
      </c>
      <c r="B10" s="538"/>
      <c r="C10" s="393" t="str">
        <f t="shared" ref="C10:G10" si="1">C9+C8+C7+C6</f>
        <v> $ 2,204,741.70 </v>
      </c>
      <c r="D10" s="393" t="str">
        <f t="shared" si="1"/>
        <v> $ 2,220,717.88 </v>
      </c>
      <c r="E10" s="393" t="str">
        <f t="shared" si="1"/>
        <v> $ 2,079,428.76 </v>
      </c>
      <c r="F10" s="393" t="str">
        <f t="shared" si="1"/>
        <v> $ 1,924,332.54 </v>
      </c>
      <c r="G10" s="393" t="str">
        <f t="shared" si="1"/>
        <v> $ 1,768,867.49 </v>
      </c>
      <c r="H10" s="587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</row>
    <row r="11" ht="12.75" customHeight="1">
      <c r="A11" s="605"/>
      <c r="B11" s="538"/>
      <c r="C11" s="393"/>
      <c r="D11" s="393"/>
      <c r="E11" s="393"/>
      <c r="F11" s="393"/>
      <c r="G11" s="426"/>
      <c r="H11" s="587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</row>
    <row r="12" ht="12.75" customHeight="1">
      <c r="A12" s="603" t="s">
        <v>779</v>
      </c>
      <c r="B12" s="606" t="str">
        <f t="shared" ref="B12:G12" si="2">B10</f>
        <v/>
      </c>
      <c r="C12" s="606" t="str">
        <f t="shared" si="2"/>
        <v> $2,204,741.70</v>
      </c>
      <c r="D12" s="606" t="str">
        <f t="shared" si="2"/>
        <v> $2,220,717.88</v>
      </c>
      <c r="E12" s="606" t="str">
        <f t="shared" si="2"/>
        <v> $2,079,428.76</v>
      </c>
      <c r="F12" s="606" t="str">
        <f t="shared" si="2"/>
        <v> $1,924,332.54</v>
      </c>
      <c r="G12" s="606" t="str">
        <f t="shared" si="2"/>
        <v> $1,768,867.49</v>
      </c>
      <c r="H12" s="587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</row>
    <row r="13" ht="12.75" customHeight="1">
      <c r="A13" s="603" t="s">
        <v>780</v>
      </c>
      <c r="B13" s="606"/>
      <c r="C13" s="393" t="str">
        <f>'E-IVA '!C22</f>
        <v> $ 3,560,760.00 </v>
      </c>
      <c r="D13" s="393" t="str">
        <f>'E-IVA '!D22</f>
        <v> $ 4,450,950.00 </v>
      </c>
      <c r="E13" s="393" t="str">
        <f>'E-IVA '!E22</f>
        <v> $ 4,450,950.00 </v>
      </c>
      <c r="F13" s="393" t="str">
        <f>'E-IVA '!F22</f>
        <v> $ 4,450,950.00 </v>
      </c>
      <c r="G13" s="393" t="str">
        <f>'E-IVA '!G22</f>
        <v> $ 4,450,950.00 </v>
      </c>
      <c r="H13" s="587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</row>
    <row r="14" ht="12.75" customHeight="1">
      <c r="A14" s="605" t="s">
        <v>909</v>
      </c>
      <c r="B14" s="606">
        <v>0.0</v>
      </c>
      <c r="C14" s="393" t="str">
        <f t="shared" ref="C14:G14" si="3">C13-C12</f>
        <v> $ 1,356,018.30 </v>
      </c>
      <c r="D14" s="393" t="str">
        <f t="shared" si="3"/>
        <v> $ 2,230,232.12 </v>
      </c>
      <c r="E14" s="393" t="str">
        <f t="shared" si="3"/>
        <v> $ 2,371,521.24 </v>
      </c>
      <c r="F14" s="393" t="str">
        <f t="shared" si="3"/>
        <v> $ 2,526,617.46 </v>
      </c>
      <c r="G14" s="393" t="str">
        <f t="shared" si="3"/>
        <v> $ 2,682,082.51 </v>
      </c>
      <c r="H14" s="587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</row>
    <row r="15" ht="12.75" customHeight="1">
      <c r="A15" s="603"/>
      <c r="B15" s="538"/>
      <c r="C15" s="393"/>
      <c r="D15" s="393"/>
      <c r="E15" s="393"/>
      <c r="F15" s="393"/>
      <c r="G15" s="426"/>
      <c r="H15" s="587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</row>
    <row r="16" ht="12.75" customHeight="1">
      <c r="A16" s="607" t="s">
        <v>910</v>
      </c>
      <c r="B16" s="538"/>
      <c r="C16" s="393" t="str">
        <f>'F-2 Estructura'!B9+'F-2 Estructura'!B21</f>
        <v> $ 6,441,690.78 </v>
      </c>
      <c r="D16" s="393" t="str">
        <f t="shared" ref="D16:G16" si="4">IF(C18&lt;0,0,C18)</f>
        <v> $ 5,408,744.47 </v>
      </c>
      <c r="E16" s="393" t="str">
        <f t="shared" si="4"/>
        <v> $ 3,179,831.59 </v>
      </c>
      <c r="F16" s="393" t="str">
        <f t="shared" si="4"/>
        <v> $ 808,310.35 </v>
      </c>
      <c r="G16" s="393" t="str">
        <f t="shared" si="4"/>
        <v> $ -   </v>
      </c>
      <c r="H16" s="587"/>
      <c r="I16" s="403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</row>
    <row r="17" ht="12.75" customHeight="1">
      <c r="A17" s="607" t="s">
        <v>911</v>
      </c>
      <c r="B17" s="608"/>
      <c r="C17" s="588" t="str">
        <f>'F-2 Estructura'!C9+'F-2 Estructura'!C21</f>
        <v> $ 323,071.99 </v>
      </c>
      <c r="D17" s="588" t="str">
        <f>'E-Cal Inv.'!E23</f>
        <v> $ 1,319.24 </v>
      </c>
      <c r="E17" s="588" t="str">
        <f>'E-Cal Inv.'!F23</f>
        <v> $ -   </v>
      </c>
      <c r="F17" s="588" t="str">
        <f>'E-Cal Inv.'!G23</f>
        <v> $ -   </v>
      </c>
      <c r="G17" s="590" t="str">
        <f>'E-Cal Inv.'!H23</f>
        <v> $ -   </v>
      </c>
      <c r="H17" s="587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</row>
    <row r="18" ht="12.75" customHeight="1">
      <c r="A18" s="605" t="s">
        <v>912</v>
      </c>
      <c r="B18" s="608"/>
      <c r="C18" s="393" t="str">
        <f t="shared" ref="C18:G18" si="5">IF(C17+C16-C14&lt;0,0,C17+C16-C14)</f>
        <v> $ 5,408,744.47 </v>
      </c>
      <c r="D18" s="393" t="str">
        <f t="shared" si="5"/>
        <v> $ 3,179,831.59 </v>
      </c>
      <c r="E18" s="393" t="str">
        <f t="shared" si="5"/>
        <v> $ 808,310.35 </v>
      </c>
      <c r="F18" s="393" t="str">
        <f t="shared" si="5"/>
        <v> $ -   </v>
      </c>
      <c r="G18" s="393" t="str">
        <f t="shared" si="5"/>
        <v> $ -   </v>
      </c>
      <c r="H18" s="587"/>
      <c r="J18" s="219" t="s">
        <v>913</v>
      </c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</row>
    <row r="19" ht="12.75" customHeight="1">
      <c r="A19" s="605" t="s">
        <v>914</v>
      </c>
      <c r="B19" s="606"/>
      <c r="C19" s="393" t="str">
        <f t="shared" ref="C19:G19" si="6">IF(C18&gt;0,C14,C16+C17)</f>
        <v> $ 1,356,018.30 </v>
      </c>
      <c r="D19" s="393" t="str">
        <f t="shared" si="6"/>
        <v> $ 2,230,232.12 </v>
      </c>
      <c r="E19" s="393" t="str">
        <f t="shared" si="6"/>
        <v> $ 2,371,521.24 </v>
      </c>
      <c r="F19" s="393" t="str">
        <f t="shared" si="6"/>
        <v> $ 808,310.35 </v>
      </c>
      <c r="G19" s="393" t="str">
        <f t="shared" si="6"/>
        <v> $ -   </v>
      </c>
      <c r="H19" s="587"/>
      <c r="J19" s="592" t="s">
        <v>645</v>
      </c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</row>
    <row r="20" ht="12.75" customHeight="1">
      <c r="A20" s="603"/>
      <c r="B20" s="538"/>
      <c r="C20" s="393"/>
      <c r="E20" s="393"/>
      <c r="F20" s="393"/>
      <c r="G20" s="426"/>
      <c r="H20" s="587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</row>
    <row r="21" ht="13.5" customHeight="1">
      <c r="A21" s="609" t="s">
        <v>787</v>
      </c>
      <c r="B21" s="551" t="str">
        <f>B14-B19</f>
        <v> $ -   </v>
      </c>
      <c r="C21" s="543" t="str">
        <f t="shared" ref="C21:G21" si="7">IF(C18&gt;0,0,-C18)</f>
        <v> $ -   </v>
      </c>
      <c r="D21" s="543" t="str">
        <f t="shared" si="7"/>
        <v> $ -   </v>
      </c>
      <c r="E21" s="543" t="str">
        <f t="shared" si="7"/>
        <v> $ -   </v>
      </c>
      <c r="F21" s="543" t="str">
        <f t="shared" si="7"/>
        <v> $ -   </v>
      </c>
      <c r="G21" s="543" t="str">
        <f t="shared" si="7"/>
        <v> $ -   </v>
      </c>
      <c r="H21" s="587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</row>
    <row r="22" ht="12.75" customHeight="1">
      <c r="A22" s="306"/>
      <c r="B22" s="306"/>
      <c r="C22" s="306"/>
      <c r="D22" s="306"/>
      <c r="E22" s="306"/>
      <c r="F22" s="306"/>
      <c r="G22" s="306"/>
      <c r="H22" s="587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</row>
    <row r="23" ht="12.75" customHeight="1">
      <c r="A23" s="306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</row>
    <row r="24" ht="12.75" customHeight="1">
      <c r="A24" s="306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</row>
    <row r="25" ht="12.75" customHeight="1">
      <c r="A25" s="306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</row>
    <row r="26" ht="12.75" customHeight="1">
      <c r="A26" s="306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</row>
    <row r="27" ht="12.75" customHeight="1">
      <c r="A27" s="306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</row>
    <row r="28" ht="12.75" customHeight="1">
      <c r="A28" s="306"/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</row>
    <row r="29" ht="12.75" customHeight="1">
      <c r="A29" s="306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</row>
    <row r="30" ht="12.75" customHeight="1">
      <c r="A30" s="306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</row>
    <row r="31" ht="12.75" customHeight="1">
      <c r="A31" s="306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</row>
    <row r="32" ht="12.75" customHeight="1">
      <c r="A32" s="306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</row>
    <row r="33" ht="12.75" customHeight="1">
      <c r="A33" s="306"/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</row>
    <row r="34" ht="12.75" customHeight="1">
      <c r="A34" s="306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</row>
    <row r="35" ht="12.75" customHeight="1">
      <c r="A35" s="306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</row>
    <row r="36" ht="12.75" customHeight="1">
      <c r="A36" s="306"/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</row>
    <row r="37" ht="12.75" customHeight="1">
      <c r="A37" s="30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</row>
    <row r="38" ht="12.75" customHeight="1">
      <c r="A38" s="306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</row>
    <row r="39" ht="12.75" customHeight="1">
      <c r="A39" s="306"/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</row>
    <row r="40" ht="12.75" customHeight="1">
      <c r="A40" s="306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</row>
    <row r="41" ht="12.75" customHeight="1">
      <c r="A41" s="306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</row>
    <row r="42" ht="12.75" customHeight="1">
      <c r="A42" s="306"/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</row>
    <row r="43" ht="12.75" customHeight="1">
      <c r="A43" s="306"/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</row>
    <row r="44" ht="12.75" customHeight="1">
      <c r="A44" s="306"/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</row>
    <row r="45" ht="12.75" customHeight="1">
      <c r="A45" s="306"/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</row>
    <row r="46" ht="12.75" customHeight="1">
      <c r="A46" s="306"/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</row>
    <row r="47" ht="12.75" customHeight="1">
      <c r="A47" s="306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</row>
    <row r="48" ht="12.75" customHeight="1">
      <c r="A48" s="306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</row>
    <row r="49" ht="12.75" customHeight="1">
      <c r="A49" s="306"/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</row>
    <row r="50" ht="12.75" customHeight="1">
      <c r="A50" s="306"/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</row>
    <row r="51" ht="12.75" customHeight="1">
      <c r="A51" s="306"/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</row>
    <row r="52" ht="12.75" customHeight="1">
      <c r="A52" s="306"/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</row>
    <row r="53" ht="12.75" customHeight="1">
      <c r="A53" s="306"/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</row>
    <row r="54" ht="12.75" customHeight="1">
      <c r="A54" s="306"/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</row>
    <row r="55" ht="12.75" customHeight="1">
      <c r="A55" s="306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</row>
    <row r="56" ht="12.75" customHeight="1">
      <c r="A56" s="306"/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</row>
    <row r="57" ht="12.75" customHeight="1">
      <c r="A57" s="306"/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</row>
    <row r="58" ht="12.75" customHeight="1">
      <c r="A58" s="306"/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</row>
    <row r="59" ht="12.75" customHeight="1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</row>
    <row r="60" ht="12.75" customHeight="1">
      <c r="A60" s="306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</row>
    <row r="61" ht="12.75" customHeight="1">
      <c r="A61" s="306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</row>
    <row r="62" ht="12.75" customHeigh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</row>
    <row r="63" ht="12.75" customHeight="1">
      <c r="A63" s="306"/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</row>
    <row r="64" ht="12.75" customHeight="1">
      <c r="A64" s="306"/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</row>
    <row r="65" ht="12.75" customHeight="1">
      <c r="A65" s="306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</row>
    <row r="66" ht="12.75" customHeight="1">
      <c r="A66" s="306"/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</row>
    <row r="67" ht="12.75" customHeight="1">
      <c r="A67" s="306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</row>
    <row r="68" ht="12.75" customHeight="1">
      <c r="A68" s="306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</row>
    <row r="69" ht="12.75" customHeight="1">
      <c r="A69" s="306"/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</row>
    <row r="70" ht="12.75" customHeight="1">
      <c r="A70" s="306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</row>
    <row r="71" ht="12.75" customHeight="1">
      <c r="A71" s="306"/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</row>
    <row r="72" ht="12.75" customHeight="1">
      <c r="A72" s="306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</row>
    <row r="73" ht="12.75" customHeight="1">
      <c r="A73" s="306"/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</row>
    <row r="74" ht="12.75" customHeight="1">
      <c r="A74" s="306"/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</row>
    <row r="75" ht="12.75" customHeight="1">
      <c r="A75" s="306"/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</row>
    <row r="76" ht="12.75" customHeight="1">
      <c r="A76" s="306"/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</row>
    <row r="77" ht="12.75" customHeight="1">
      <c r="A77" s="306"/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</row>
    <row r="78" ht="12.75" customHeight="1">
      <c r="A78" s="306"/>
      <c r="B78" s="306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</row>
    <row r="79" ht="12.75" customHeight="1">
      <c r="A79" s="306"/>
      <c r="B79" s="306"/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6"/>
      <c r="Z79" s="306"/>
    </row>
    <row r="80" ht="12.75" customHeight="1">
      <c r="A80" s="306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</row>
    <row r="81" ht="12.75" customHeight="1">
      <c r="A81" s="306"/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</row>
    <row r="82" ht="12.75" customHeight="1">
      <c r="A82" s="306"/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</row>
    <row r="83" ht="12.75" customHeight="1">
      <c r="A83" s="306"/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</row>
    <row r="84" ht="12.75" customHeight="1">
      <c r="A84" s="306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</row>
    <row r="85" ht="12.75" customHeight="1">
      <c r="A85" s="306"/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</row>
    <row r="86" ht="12.75" customHeight="1">
      <c r="A86" s="306"/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</row>
    <row r="87" ht="12.75" customHeight="1">
      <c r="A87" s="306"/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</row>
    <row r="88" ht="12.75" customHeight="1">
      <c r="A88" s="306"/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</row>
    <row r="89" ht="12.75" customHeight="1">
      <c r="A89" s="306"/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</row>
    <row r="90" ht="12.75" customHeight="1">
      <c r="A90" s="306"/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</row>
    <row r="91" ht="12.75" customHeight="1">
      <c r="A91" s="306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</row>
    <row r="92" ht="12.75" customHeigh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</row>
    <row r="93" ht="12.75" customHeight="1">
      <c r="A93" s="306"/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</row>
    <row r="94" ht="12.75" customHeight="1">
      <c r="A94" s="306"/>
      <c r="B94" s="306"/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</row>
    <row r="95" ht="12.75" customHeight="1">
      <c r="A95" s="306"/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</row>
    <row r="96" ht="12.75" customHeight="1">
      <c r="A96" s="306"/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</row>
    <row r="97" ht="12.75" customHeight="1">
      <c r="A97" s="306"/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</row>
    <row r="98" ht="12.75" customHeight="1">
      <c r="A98" s="306"/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</row>
    <row r="99" ht="12.75" customHeight="1">
      <c r="A99" s="306"/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</row>
    <row r="100" ht="12.75" customHeight="1">
      <c r="A100" s="306"/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</row>
    <row r="101" ht="12.75" customHeight="1">
      <c r="A101" s="306"/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</row>
    <row r="102" ht="12.75" customHeight="1">
      <c r="A102" s="306"/>
      <c r="B102" s="306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</row>
    <row r="103" ht="12.75" customHeight="1">
      <c r="A103" s="306"/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</row>
    <row r="104" ht="12.75" customHeight="1">
      <c r="A104" s="306"/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</row>
    <row r="105" ht="12.75" customHeight="1">
      <c r="A105" s="306"/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</row>
    <row r="106" ht="12.75" customHeight="1">
      <c r="A106" s="306"/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</row>
    <row r="107" ht="12.75" customHeight="1">
      <c r="A107" s="306"/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</row>
    <row r="108" ht="12.75" customHeight="1">
      <c r="A108" s="306"/>
      <c r="B108" s="306"/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306"/>
    </row>
    <row r="109" ht="12.75" customHeight="1">
      <c r="A109" s="306"/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6"/>
    </row>
    <row r="110" ht="12.75" customHeight="1">
      <c r="A110" s="306"/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</row>
    <row r="111" ht="12.75" customHeight="1">
      <c r="A111" s="306"/>
      <c r="B111" s="306"/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6"/>
      <c r="X111" s="306"/>
      <c r="Y111" s="306"/>
      <c r="Z111" s="306"/>
    </row>
    <row r="112" ht="12.75" customHeight="1">
      <c r="A112" s="306"/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</row>
    <row r="113" ht="12.75" customHeight="1">
      <c r="A113" s="306"/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</row>
    <row r="114" ht="12.75" customHeight="1">
      <c r="A114" s="306"/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</row>
    <row r="115" ht="12.75" customHeight="1">
      <c r="A115" s="306"/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  <c r="Z115" s="306"/>
    </row>
    <row r="116" ht="12.75" customHeight="1">
      <c r="A116" s="306"/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</row>
    <row r="117" ht="12.75" customHeight="1">
      <c r="A117" s="306"/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  <c r="S117" s="306"/>
      <c r="T117" s="306"/>
      <c r="U117" s="306"/>
      <c r="V117" s="306"/>
      <c r="W117" s="306"/>
      <c r="X117" s="306"/>
      <c r="Y117" s="306"/>
      <c r="Z117" s="306"/>
    </row>
    <row r="118" ht="12.75" customHeight="1">
      <c r="A118" s="306"/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R118" s="306"/>
      <c r="S118" s="306"/>
      <c r="T118" s="306"/>
      <c r="U118" s="306"/>
      <c r="V118" s="306"/>
      <c r="W118" s="306"/>
      <c r="X118" s="306"/>
      <c r="Y118" s="306"/>
      <c r="Z118" s="306"/>
    </row>
    <row r="119" ht="12.75" customHeight="1">
      <c r="A119" s="306"/>
      <c r="B119" s="306"/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</row>
    <row r="120" ht="12.75" customHeight="1">
      <c r="A120" s="306"/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</row>
    <row r="121" ht="12.75" customHeight="1">
      <c r="A121" s="306"/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</row>
    <row r="122" ht="12.75" customHeigh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  <c r="X122" s="306"/>
      <c r="Y122" s="306"/>
      <c r="Z122" s="306"/>
    </row>
    <row r="123" ht="12.75" customHeight="1">
      <c r="A123" s="306"/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</row>
    <row r="124" ht="12.75" customHeight="1">
      <c r="A124" s="306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</row>
    <row r="125" ht="12.75" customHeight="1">
      <c r="A125" s="306"/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</row>
    <row r="126" ht="12.75" customHeight="1">
      <c r="A126" s="306"/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</row>
    <row r="127" ht="12.75" customHeight="1">
      <c r="A127" s="306"/>
      <c r="B127" s="306"/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</row>
    <row r="128" ht="12.75" customHeight="1">
      <c r="A128" s="306"/>
      <c r="B128" s="306"/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</row>
    <row r="129" ht="12.75" customHeight="1">
      <c r="A129" s="306"/>
      <c r="B129" s="306"/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</row>
    <row r="130" ht="12.75" customHeight="1">
      <c r="A130" s="306"/>
      <c r="B130" s="306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</row>
    <row r="131" ht="12.75" customHeight="1">
      <c r="A131" s="306"/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</row>
    <row r="132" ht="12.75" customHeight="1">
      <c r="A132" s="306"/>
      <c r="B132" s="306"/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306"/>
    </row>
    <row r="133" ht="12.75" customHeight="1">
      <c r="A133" s="306"/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  <c r="Z133" s="306"/>
    </row>
    <row r="134" ht="12.75" customHeight="1">
      <c r="A134" s="306"/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</row>
    <row r="135" ht="12.75" customHeight="1">
      <c r="A135" s="306"/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</row>
    <row r="136" ht="12.75" customHeight="1">
      <c r="A136" s="306"/>
      <c r="B136" s="306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</row>
    <row r="137" ht="12.75" customHeight="1">
      <c r="A137" s="306"/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  <c r="Y137" s="306"/>
      <c r="Z137" s="306"/>
    </row>
    <row r="138" ht="12.75" customHeight="1">
      <c r="A138" s="306"/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</row>
    <row r="139" ht="12.75" customHeight="1">
      <c r="A139" s="306"/>
      <c r="B139" s="306"/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</row>
    <row r="140" ht="12.75" customHeight="1">
      <c r="A140" s="306"/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</row>
    <row r="141" ht="12.75" customHeight="1">
      <c r="A141" s="306"/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</row>
    <row r="142" ht="12.75" customHeight="1">
      <c r="A142" s="306"/>
      <c r="B142" s="306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</row>
    <row r="143" ht="12.75" customHeight="1">
      <c r="A143" s="306"/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6"/>
      <c r="U143" s="306"/>
      <c r="V143" s="306"/>
      <c r="W143" s="306"/>
      <c r="X143" s="306"/>
      <c r="Y143" s="306"/>
      <c r="Z143" s="306"/>
    </row>
    <row r="144" ht="12.75" customHeight="1">
      <c r="A144" s="306"/>
      <c r="B144" s="306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306"/>
    </row>
    <row r="145" ht="12.75" customHeight="1">
      <c r="A145" s="306"/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</row>
    <row r="146" ht="12.75" customHeight="1">
      <c r="A146" s="306"/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</row>
    <row r="147" ht="12.75" customHeight="1">
      <c r="A147" s="306"/>
      <c r="B147" s="306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  <c r="Z147" s="306"/>
    </row>
    <row r="148" ht="12.75" customHeight="1">
      <c r="A148" s="306"/>
      <c r="B148" s="306"/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  <c r="Z148" s="306"/>
    </row>
    <row r="149" ht="12.75" customHeight="1">
      <c r="A149" s="306"/>
      <c r="B149" s="306"/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</row>
    <row r="150" ht="12.75" customHeight="1">
      <c r="A150" s="306"/>
      <c r="B150" s="306"/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</row>
    <row r="151" ht="12.75" customHeight="1">
      <c r="A151" s="306"/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306"/>
      <c r="Y151" s="306"/>
      <c r="Z151" s="306"/>
    </row>
    <row r="152" ht="12.75" customHeight="1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</row>
    <row r="153" ht="12.75" customHeight="1">
      <c r="A153" s="306"/>
      <c r="B153" s="306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  <c r="Z153" s="306"/>
    </row>
    <row r="154" ht="12.75" customHeight="1">
      <c r="A154" s="306"/>
      <c r="B154" s="306"/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306"/>
      <c r="X154" s="306"/>
      <c r="Y154" s="306"/>
      <c r="Z154" s="306"/>
    </row>
    <row r="155" ht="12.75" customHeight="1">
      <c r="A155" s="306"/>
      <c r="B155" s="306"/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306"/>
      <c r="X155" s="306"/>
      <c r="Y155" s="306"/>
      <c r="Z155" s="306"/>
    </row>
    <row r="156" ht="12.75" customHeight="1">
      <c r="A156" s="306"/>
      <c r="B156" s="306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306"/>
      <c r="X156" s="306"/>
      <c r="Y156" s="306"/>
      <c r="Z156" s="306"/>
    </row>
    <row r="157" ht="12.75" customHeight="1">
      <c r="A157" s="306"/>
      <c r="B157" s="306"/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306"/>
    </row>
    <row r="158" ht="12.75" customHeight="1">
      <c r="A158" s="306"/>
      <c r="B158" s="306"/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</row>
    <row r="159" ht="12.75" customHeight="1">
      <c r="A159" s="306"/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</row>
    <row r="160" ht="12.75" customHeight="1">
      <c r="A160" s="306"/>
      <c r="B160" s="306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  <c r="Z160" s="306"/>
    </row>
    <row r="161" ht="12.75" customHeight="1">
      <c r="A161" s="306"/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</row>
    <row r="162" ht="12.75" customHeight="1">
      <c r="A162" s="306"/>
      <c r="B162" s="306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</row>
    <row r="163" ht="12.75" customHeight="1">
      <c r="A163" s="306"/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</row>
    <row r="164" ht="12.75" customHeight="1">
      <c r="A164" s="306"/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</row>
    <row r="165" ht="12.75" customHeight="1">
      <c r="A165" s="306"/>
      <c r="B165" s="306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</row>
    <row r="166" ht="12.75" customHeight="1">
      <c r="A166" s="306"/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</row>
    <row r="167" ht="12.75" customHeight="1">
      <c r="A167" s="306"/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</row>
    <row r="168" ht="12.75" customHeight="1">
      <c r="A168" s="306"/>
      <c r="B168" s="306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  <c r="Z168" s="306"/>
    </row>
    <row r="169" ht="12.75" customHeight="1">
      <c r="A169" s="306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6"/>
      <c r="T169" s="306"/>
      <c r="U169" s="306"/>
      <c r="V169" s="306"/>
      <c r="W169" s="306"/>
      <c r="X169" s="306"/>
      <c r="Y169" s="306"/>
      <c r="Z169" s="306"/>
    </row>
    <row r="170" ht="12.75" customHeight="1">
      <c r="A170" s="306"/>
      <c r="B170" s="306"/>
      <c r="C170" s="306"/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</row>
    <row r="171" ht="12.75" customHeight="1">
      <c r="A171" s="306"/>
      <c r="B171" s="306"/>
      <c r="C171" s="306"/>
      <c r="D171" s="306"/>
      <c r="E171" s="306"/>
      <c r="F171" s="306"/>
      <c r="G171" s="306"/>
      <c r="H171" s="306"/>
      <c r="I171" s="306"/>
      <c r="J171" s="306"/>
      <c r="K171" s="306"/>
      <c r="L171" s="306"/>
      <c r="M171" s="306"/>
      <c r="N171" s="306"/>
      <c r="O171" s="306"/>
      <c r="P171" s="306"/>
      <c r="Q171" s="306"/>
      <c r="R171" s="306"/>
      <c r="S171" s="306"/>
      <c r="T171" s="306"/>
      <c r="U171" s="306"/>
      <c r="V171" s="306"/>
      <c r="W171" s="306"/>
      <c r="X171" s="306"/>
      <c r="Y171" s="306"/>
      <c r="Z171" s="306"/>
    </row>
    <row r="172" ht="12.75" customHeight="1">
      <c r="A172" s="306"/>
      <c r="B172" s="306"/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</row>
    <row r="173" ht="12.75" customHeight="1">
      <c r="A173" s="306"/>
      <c r="B173" s="306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306"/>
      <c r="X173" s="306"/>
      <c r="Y173" s="306"/>
      <c r="Z173" s="306"/>
    </row>
    <row r="174" ht="12.75" customHeight="1">
      <c r="A174" s="306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  <c r="Z174" s="306"/>
    </row>
    <row r="175" ht="12.75" customHeight="1">
      <c r="A175" s="306"/>
      <c r="B175" s="306"/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</row>
    <row r="176" ht="12.75" customHeight="1">
      <c r="A176" s="306"/>
      <c r="B176" s="306"/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/>
      <c r="Z176" s="306"/>
    </row>
    <row r="177" ht="12.75" customHeight="1">
      <c r="A177" s="306"/>
      <c r="B177" s="306"/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306"/>
      <c r="X177" s="306"/>
      <c r="Y177" s="306"/>
      <c r="Z177" s="306"/>
    </row>
    <row r="178" ht="12.75" customHeight="1">
      <c r="A178" s="306"/>
      <c r="B178" s="306"/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306"/>
    </row>
    <row r="179" ht="12.75" customHeight="1">
      <c r="A179" s="306"/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/>
      <c r="V179" s="306"/>
      <c r="W179" s="306"/>
      <c r="X179" s="306"/>
      <c r="Y179" s="306"/>
      <c r="Z179" s="306"/>
    </row>
    <row r="180" ht="12.75" customHeight="1">
      <c r="A180" s="306"/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</row>
    <row r="181" ht="12.75" customHeight="1">
      <c r="A181" s="306"/>
      <c r="B181" s="306"/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  <c r="Y181" s="306"/>
      <c r="Z181" s="306"/>
    </row>
    <row r="182" ht="12.75" customHeigh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  <c r="Z182" s="306"/>
    </row>
    <row r="183" ht="12.75" customHeight="1">
      <c r="A183" s="306"/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</row>
    <row r="184" ht="12.75" customHeight="1">
      <c r="A184" s="306"/>
      <c r="B184" s="306"/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</row>
    <row r="185" ht="12.75" customHeight="1">
      <c r="A185" s="306"/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</row>
    <row r="186" ht="12.75" customHeight="1">
      <c r="A186" s="306"/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</row>
    <row r="187" ht="12.75" customHeight="1">
      <c r="A187" s="306"/>
      <c r="B187" s="306"/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</row>
    <row r="188" ht="12.75" customHeight="1">
      <c r="A188" s="306"/>
      <c r="B188" s="306"/>
      <c r="C188" s="306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  <c r="Z188" s="306"/>
    </row>
    <row r="189" ht="12.75" customHeight="1">
      <c r="A189" s="306"/>
      <c r="B189" s="306"/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</row>
    <row r="190" ht="12.75" customHeight="1">
      <c r="A190" s="306"/>
      <c r="B190" s="306"/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306"/>
    </row>
    <row r="191" ht="12.75" customHeight="1">
      <c r="A191" s="306"/>
      <c r="B191" s="306"/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</row>
    <row r="192" ht="12.75" customHeight="1">
      <c r="A192" s="306"/>
      <c r="B192" s="306"/>
      <c r="C192" s="306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</row>
    <row r="193" ht="12.75" customHeight="1">
      <c r="A193" s="306"/>
      <c r="B193" s="306"/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6"/>
      <c r="V193" s="306"/>
      <c r="W193" s="306"/>
      <c r="X193" s="306"/>
      <c r="Y193" s="306"/>
      <c r="Z193" s="306"/>
    </row>
    <row r="194" ht="12.75" customHeight="1">
      <c r="A194" s="306"/>
      <c r="B194" s="306"/>
      <c r="C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</row>
    <row r="195" ht="12.75" customHeight="1">
      <c r="A195" s="306"/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  <c r="Z195" s="306"/>
    </row>
    <row r="196" ht="12.75" customHeight="1">
      <c r="A196" s="306"/>
      <c r="B196" s="306"/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  <c r="Z196" s="306"/>
    </row>
    <row r="197" ht="12.75" customHeight="1">
      <c r="A197" s="306"/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  <c r="S197" s="306"/>
      <c r="T197" s="306"/>
      <c r="U197" s="306"/>
      <c r="V197" s="306"/>
      <c r="W197" s="306"/>
      <c r="X197" s="306"/>
      <c r="Y197" s="306"/>
      <c r="Z197" s="306"/>
    </row>
    <row r="198" ht="12.75" customHeight="1">
      <c r="A198" s="306"/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306"/>
    </row>
    <row r="199" ht="12.75" customHeight="1">
      <c r="A199" s="306"/>
      <c r="B199" s="306"/>
      <c r="C199" s="306"/>
      <c r="D199" s="306"/>
      <c r="E199" s="306"/>
      <c r="F199" s="306"/>
      <c r="G199" s="306"/>
      <c r="H199" s="306"/>
      <c r="I199" s="306"/>
      <c r="J199" s="306"/>
      <c r="K199" s="306"/>
      <c r="L199" s="306"/>
      <c r="M199" s="306"/>
      <c r="N199" s="306"/>
      <c r="O199" s="306"/>
      <c r="P199" s="306"/>
      <c r="Q199" s="306"/>
      <c r="R199" s="306"/>
      <c r="S199" s="306"/>
      <c r="T199" s="306"/>
      <c r="U199" s="306"/>
      <c r="V199" s="306"/>
      <c r="W199" s="306"/>
      <c r="X199" s="306"/>
      <c r="Y199" s="306"/>
      <c r="Z199" s="306"/>
    </row>
    <row r="200" ht="12.75" customHeight="1">
      <c r="A200" s="306"/>
      <c r="B200" s="306"/>
      <c r="C200" s="306"/>
      <c r="D200" s="306"/>
      <c r="E200" s="306"/>
      <c r="F200" s="306"/>
      <c r="G200" s="306"/>
      <c r="H200" s="306"/>
      <c r="I200" s="306"/>
      <c r="J200" s="306"/>
      <c r="K200" s="306"/>
      <c r="L200" s="306"/>
      <c r="M200" s="306"/>
      <c r="N200" s="306"/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  <c r="Z200" s="306"/>
    </row>
    <row r="201" ht="12.75" customHeight="1">
      <c r="A201" s="306"/>
      <c r="B201" s="306"/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  <c r="Z201" s="306"/>
    </row>
    <row r="202" ht="12.75" customHeight="1">
      <c r="A202" s="306"/>
      <c r="B202" s="306"/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  <c r="T202" s="306"/>
      <c r="U202" s="306"/>
      <c r="V202" s="306"/>
      <c r="W202" s="306"/>
      <c r="X202" s="306"/>
      <c r="Y202" s="306"/>
      <c r="Z202" s="306"/>
    </row>
    <row r="203" ht="12.75" customHeight="1">
      <c r="A203" s="306"/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306"/>
    </row>
    <row r="204" ht="12.75" customHeight="1">
      <c r="A204" s="306"/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</row>
    <row r="205" ht="12.75" customHeight="1">
      <c r="A205" s="306"/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</row>
    <row r="206" ht="12.75" customHeight="1">
      <c r="A206" s="306"/>
      <c r="B206" s="306"/>
      <c r="C206" s="306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  <c r="T206" s="306"/>
      <c r="U206" s="306"/>
      <c r="V206" s="306"/>
      <c r="W206" s="306"/>
      <c r="X206" s="306"/>
      <c r="Y206" s="306"/>
      <c r="Z206" s="306"/>
    </row>
    <row r="207" ht="12.75" customHeight="1">
      <c r="A207" s="306"/>
      <c r="B207" s="306"/>
      <c r="C207" s="306"/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  <c r="S207" s="306"/>
      <c r="T207" s="306"/>
      <c r="U207" s="306"/>
      <c r="V207" s="306"/>
      <c r="W207" s="306"/>
      <c r="X207" s="306"/>
      <c r="Y207" s="306"/>
      <c r="Z207" s="306"/>
    </row>
    <row r="208" ht="12.75" customHeight="1">
      <c r="A208" s="306"/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  <c r="T208" s="306"/>
      <c r="U208" s="306"/>
      <c r="V208" s="306"/>
      <c r="W208" s="306"/>
      <c r="X208" s="306"/>
      <c r="Y208" s="306"/>
      <c r="Z208" s="306"/>
    </row>
    <row r="209" ht="12.75" customHeight="1">
      <c r="A209" s="306"/>
      <c r="B209" s="306"/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  <c r="T209" s="306"/>
      <c r="U209" s="306"/>
      <c r="V209" s="306"/>
      <c r="W209" s="306"/>
      <c r="X209" s="306"/>
      <c r="Y209" s="306"/>
      <c r="Z209" s="306"/>
    </row>
    <row r="210" ht="12.75" customHeight="1">
      <c r="A210" s="306"/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/>
      <c r="Y210" s="306"/>
      <c r="Z210" s="306"/>
    </row>
    <row r="211" ht="12.75" customHeight="1">
      <c r="A211" s="306"/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  <c r="X211" s="306"/>
      <c r="Y211" s="306"/>
      <c r="Z211" s="306"/>
    </row>
    <row r="212" ht="12.75" customHeight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  <c r="X212" s="306"/>
      <c r="Y212" s="306"/>
      <c r="Z212" s="306"/>
    </row>
    <row r="213" ht="12.75" customHeight="1">
      <c r="A213" s="306"/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  <c r="T213" s="306"/>
      <c r="U213" s="306"/>
      <c r="V213" s="306"/>
      <c r="W213" s="306"/>
      <c r="X213" s="306"/>
      <c r="Y213" s="306"/>
      <c r="Z213" s="306"/>
    </row>
    <row r="214" ht="12.75" customHeight="1">
      <c r="A214" s="306"/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  <c r="S214" s="306"/>
      <c r="T214" s="306"/>
      <c r="U214" s="306"/>
      <c r="V214" s="306"/>
      <c r="W214" s="306"/>
      <c r="X214" s="306"/>
      <c r="Y214" s="306"/>
      <c r="Z214" s="306"/>
    </row>
    <row r="215" ht="12.75" customHeight="1">
      <c r="A215" s="306"/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  <c r="T215" s="306"/>
      <c r="U215" s="306"/>
      <c r="V215" s="306"/>
      <c r="W215" s="306"/>
      <c r="X215" s="306"/>
      <c r="Y215" s="306"/>
      <c r="Z215" s="306"/>
    </row>
    <row r="216" ht="12.75" customHeight="1">
      <c r="A216" s="306"/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  <c r="T216" s="306"/>
      <c r="U216" s="306"/>
      <c r="V216" s="306"/>
      <c r="W216" s="306"/>
      <c r="X216" s="306"/>
      <c r="Y216" s="306"/>
      <c r="Z216" s="306"/>
    </row>
    <row r="217" ht="12.75" customHeight="1">
      <c r="A217" s="306"/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  <c r="T217" s="306"/>
      <c r="U217" s="306"/>
      <c r="V217" s="306"/>
      <c r="W217" s="306"/>
      <c r="X217" s="306"/>
      <c r="Y217" s="306"/>
      <c r="Z217" s="306"/>
    </row>
    <row r="218" ht="12.75" customHeight="1">
      <c r="A218" s="306"/>
      <c r="B218" s="306"/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  <c r="T218" s="306"/>
      <c r="U218" s="306"/>
      <c r="V218" s="306"/>
      <c r="W218" s="306"/>
      <c r="X218" s="306"/>
      <c r="Y218" s="306"/>
      <c r="Z218" s="306"/>
    </row>
    <row r="219" ht="12.75" customHeight="1">
      <c r="A219" s="306"/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</row>
    <row r="220" ht="12.75" customHeight="1">
      <c r="A220" s="306"/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</row>
    <row r="221" ht="12.75" customHeight="1">
      <c r="A221" s="306"/>
      <c r="B221" s="306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  <c r="Z221" s="306"/>
    </row>
  </sheetData>
  <mergeCells count="1">
    <mergeCell ref="I16:I19"/>
  </mergeCells>
  <printOptions/>
  <pageMargins bottom="0.75" footer="0.0" header="0.0" left="0.7" right="0.7" top="0.75"/>
  <pageSetup paperSize="9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37.57"/>
    <col customWidth="1" min="2" max="6" width="15.29"/>
    <col customWidth="1" min="7" max="7" width="15.43"/>
    <col customWidth="1" min="8" max="26" width="9.0"/>
  </cols>
  <sheetData>
    <row r="1" ht="14.25" customHeight="1">
      <c r="A1" s="320" t="s">
        <v>488</v>
      </c>
      <c r="E1" s="321" t="str">
        <f>InfoInicial!E1</f>
        <v>10</v>
      </c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ht="13.5" customHeigh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</row>
    <row r="3" ht="16.5" customHeight="1">
      <c r="A3" s="400" t="s">
        <v>915</v>
      </c>
      <c r="B3" s="401"/>
      <c r="C3" s="401"/>
      <c r="D3" s="401"/>
      <c r="E3" s="401"/>
      <c r="F3" s="401"/>
      <c r="G3" s="402"/>
      <c r="H3" s="587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</row>
    <row r="4" ht="13.5" customHeight="1">
      <c r="A4" s="428"/>
      <c r="B4" s="610" t="s">
        <v>542</v>
      </c>
      <c r="C4" s="610" t="s">
        <v>44</v>
      </c>
      <c r="D4" s="610" t="s">
        <v>430</v>
      </c>
      <c r="E4" s="610" t="s">
        <v>431</v>
      </c>
      <c r="F4" s="610" t="s">
        <v>432</v>
      </c>
      <c r="G4" s="611" t="s">
        <v>433</v>
      </c>
      <c r="H4" s="587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</row>
    <row r="5" ht="14.25" customHeight="1">
      <c r="A5" s="377" t="s">
        <v>916</v>
      </c>
      <c r="B5" s="612" t="str">
        <f t="shared" ref="B5:G5" si="1">SUM(B6:B11)</f>
        <v>  680,107.26 </v>
      </c>
      <c r="C5" s="612" t="str">
        <f t="shared" si="1"/>
        <v>  4,442,356.08 </v>
      </c>
      <c r="D5" s="612" t="str">
        <f t="shared" si="1"/>
        <v>  4,574,747.54 </v>
      </c>
      <c r="E5" s="612" t="str">
        <f t="shared" si="1"/>
        <v>  6,606,629.39 </v>
      </c>
      <c r="F5" s="612" t="str">
        <f t="shared" si="1"/>
        <v>  8,098,679.65 </v>
      </c>
      <c r="G5" s="612" t="str">
        <f t="shared" si="1"/>
        <v>  8,384,134.60 </v>
      </c>
      <c r="H5" s="587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</row>
    <row r="6" ht="14.25" customHeight="1">
      <c r="A6" s="362" t="s">
        <v>917</v>
      </c>
      <c r="B6" s="393"/>
      <c r="C6" s="393"/>
      <c r="D6" s="393"/>
      <c r="E6" s="393"/>
      <c r="F6" s="393"/>
      <c r="G6" s="426"/>
      <c r="H6" s="587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</row>
    <row r="7" ht="14.25" customHeight="1">
      <c r="A7" s="364" t="s">
        <v>918</v>
      </c>
      <c r="B7" s="613" t="str">
        <f>'E-InvAT'!B6</f>
        <v>  339,120.00 </v>
      </c>
      <c r="C7" s="613" t="str">
        <f>'E-InvAT'!C6</f>
        <v>  423,900.00 </v>
      </c>
      <c r="D7" s="613" t="str">
        <f>'E-InvAT'!D6</f>
        <v>  423,900.00 </v>
      </c>
      <c r="E7" s="613" t="str">
        <f>'E-InvAT'!E6</f>
        <v>  423,900.00 </v>
      </c>
      <c r="F7" s="613" t="str">
        <f>'E-InvAT'!F6</f>
        <v>  423,900.00 </v>
      </c>
      <c r="G7" s="613" t="str">
        <f>'E-InvAT'!G6</f>
        <v>  423,900.00 </v>
      </c>
      <c r="H7" s="587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</row>
    <row r="8" ht="14.25" customHeight="1">
      <c r="A8" s="364" t="s">
        <v>919</v>
      </c>
      <c r="B8" s="393" t="str">
        <f>'F- CFyU'!B6</f>
        <v> - </v>
      </c>
      <c r="C8" s="393" t="str">
        <f>'F- CFyU'!C6</f>
        <v> $ -   </v>
      </c>
      <c r="D8" s="393" t="str">
        <f>'F- CFyU'!D6</f>
        <v> $ -   </v>
      </c>
      <c r="E8" s="393" t="str">
        <f>'F- CFyU'!E6</f>
        <v> $ 2,121,449.31 </v>
      </c>
      <c r="F8" s="393" t="str">
        <f>'F- CFyU'!F6</f>
        <v> $ 5,177,007.12 </v>
      </c>
      <c r="G8" s="393" t="str">
        <f>'F- CFyU'!G6</f>
        <v> $ 6,270,772.60 </v>
      </c>
      <c r="H8" s="587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</row>
    <row r="9" ht="14.25" customHeight="1">
      <c r="A9" s="362" t="s">
        <v>920</v>
      </c>
      <c r="B9" s="613" t="str">
        <f>'E-Cal Inv.'!C12</f>
        <v/>
      </c>
      <c r="C9" s="613" t="str">
        <f>'E-Cal Inv.'!D12</f>
        <v>  971,729.19 </v>
      </c>
      <c r="D9" s="613" t="str">
        <f>'E-Cal Inv.'!E12</f>
        <v>  231,127.83 </v>
      </c>
      <c r="E9" s="613" t="str">
        <f>'E-Cal Inv.'!F12</f>
        <v>  296.83 </v>
      </c>
      <c r="F9" s="613" t="str">
        <f>'E-Cal Inv.'!G12</f>
        <v>  0.18 </v>
      </c>
      <c r="G9" s="613" t="str">
        <f>'E-Cal Inv.'!H12</f>
        <v>  0.00 </v>
      </c>
      <c r="H9" s="587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</row>
    <row r="10" ht="14.25" customHeight="1">
      <c r="A10" s="362" t="s">
        <v>921</v>
      </c>
      <c r="B10" s="393" t="str">
        <f>'E-InvAT'!B10+'E-InvAT'!B11+'E-InvAT'!B12+'E-InvAT'!B13</f>
        <v> $ 340,987.26 </v>
      </c>
      <c r="C10" s="393" t="str">
        <f>'E-InvAT'!C10+'E-InvAT'!C11+'E-InvAT'!C12+'E-InvAT'!C13</f>
        <v> $ 1,690,708.58 </v>
      </c>
      <c r="D10" s="393" t="str">
        <f>'E-InvAT'!D10+'E-InvAT'!D11+'E-InvAT'!D12+'E-InvAT'!D13</f>
        <v> $ 1,689,487.59 </v>
      </c>
      <c r="E10" s="393" t="str">
        <f>'E-InvAT'!E10+'E-InvAT'!E11+'E-InvAT'!E12+'E-InvAT'!E13</f>
        <v> $ 1,689,462.00 </v>
      </c>
      <c r="F10" s="393" t="str">
        <f>'E-InvAT'!F10+'E-InvAT'!F11+'E-InvAT'!F12+'E-InvAT'!F13</f>
        <v> $ 1,689,462.00 </v>
      </c>
      <c r="G10" s="393" t="str">
        <f>'E-InvAT'!G10+'E-InvAT'!G11+'E-InvAT'!G12+'E-InvAT'!G13</f>
        <v> $ 1,689,462.00 </v>
      </c>
      <c r="H10" s="587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</row>
    <row r="11" ht="14.25" customHeight="1">
      <c r="A11" s="362" t="s">
        <v>922</v>
      </c>
      <c r="B11" s="614" t="str">
        <f>'F-IVA'!B19</f>
        <v/>
      </c>
      <c r="C11" s="614" t="str">
        <f>'F-IVA'!C19</f>
        <v>  1,356,018.30 </v>
      </c>
      <c r="D11" s="614" t="str">
        <f>'F-IVA'!D19</f>
        <v>  2,230,232.12 </v>
      </c>
      <c r="E11" s="614" t="str">
        <f>'F-IVA'!E19</f>
        <v>  2,371,521.24 </v>
      </c>
      <c r="F11" s="614" t="str">
        <f>'F-IVA'!F19</f>
        <v>  808,310.35 </v>
      </c>
      <c r="G11" s="614" t="str">
        <f>'F-IVA'!G19</f>
        <v>  -   </v>
      </c>
      <c r="H11" s="587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</row>
    <row r="12" ht="14.25" customHeight="1">
      <c r="A12" s="362" t="s">
        <v>923</v>
      </c>
      <c r="B12" s="481" t="str">
        <f t="shared" ref="B12:G12" si="2">B17+B22+B23</f>
        <v>  30,333,730.76 </v>
      </c>
      <c r="C12" s="481" t="str">
        <f t="shared" si="2"/>
        <v>  33,187,262.47 </v>
      </c>
      <c r="D12" s="481" t="str">
        <f t="shared" si="2"/>
        <v>  28,770,625.45 </v>
      </c>
      <c r="E12" s="481" t="str">
        <f t="shared" si="2"/>
        <v>  23,888,308.08 </v>
      </c>
      <c r="F12" s="481" t="str">
        <f t="shared" si="2"/>
        <v>  20,569,201.59 </v>
      </c>
      <c r="G12" s="481" t="str">
        <f t="shared" si="2"/>
        <v>  18,058,405.46 </v>
      </c>
      <c r="H12" s="587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</row>
    <row r="13" ht="14.25" customHeight="1">
      <c r="A13" s="362" t="s">
        <v>924</v>
      </c>
      <c r="B13" s="481"/>
      <c r="C13" s="481"/>
      <c r="D13" s="481"/>
      <c r="E13" s="481"/>
      <c r="F13" s="481"/>
      <c r="G13" s="615"/>
      <c r="H13" s="587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</row>
    <row r="14" ht="14.25" customHeight="1">
      <c r="A14" s="364" t="s">
        <v>925</v>
      </c>
      <c r="B14" s="588" t="str">
        <f>'E-Inv AF y Am'!B32-'E-Inv AF y Am'!B27+'F-Cred'!G21+'F-Cred'!I21</f>
        <v> $ 2,571,658.30 </v>
      </c>
      <c r="C14" s="588" t="str">
        <f t="shared" ref="C14:G14" si="3">B17</f>
        <v> $ 2,571,658.30 </v>
      </c>
      <c r="D14" s="588" t="str">
        <f t="shared" si="3"/>
        <v> $ 2,280,250.93 </v>
      </c>
      <c r="E14" s="588" t="str">
        <f t="shared" si="3"/>
        <v> $ 1,710,188.20 </v>
      </c>
      <c r="F14" s="588" t="str">
        <f t="shared" si="3"/>
        <v> $ 1,140,125.46 </v>
      </c>
      <c r="G14" s="588" t="str">
        <f t="shared" si="3"/>
        <v> $ 570,062.73 </v>
      </c>
      <c r="H14" s="587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</row>
    <row r="15" ht="14.25" customHeight="1">
      <c r="A15" s="364" t="s">
        <v>926</v>
      </c>
      <c r="B15" s="616">
        <v>0.0</v>
      </c>
      <c r="C15" s="616" t="str">
        <f>'E-Inv AF y Am'!C27</f>
        <v>  278,655.36 </v>
      </c>
      <c r="D15" s="616">
        <v>0.0</v>
      </c>
      <c r="E15" s="616">
        <v>0.0</v>
      </c>
      <c r="F15" s="616">
        <v>0.0</v>
      </c>
      <c r="G15" s="616">
        <v>0.0</v>
      </c>
      <c r="H15" s="587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</row>
    <row r="16" ht="14.25" customHeight="1">
      <c r="A16" s="364" t="s">
        <v>927</v>
      </c>
      <c r="B16" s="588">
        <v>0.0</v>
      </c>
      <c r="C16" s="588" t="str">
        <f>'E-Inv AF y Am'!D54+('F-Cred'!G21+'F-Cred'!I21)/5</f>
        <v> $ 570,062.73 </v>
      </c>
      <c r="D16" s="588" t="str">
        <f>C16</f>
        <v> $ 570,062.73 </v>
      </c>
      <c r="E16" s="588" t="str">
        <f>C16</f>
        <v> $ 570,062.73 </v>
      </c>
      <c r="F16" s="588" t="str">
        <f>C16</f>
        <v> $ 570,062.73 </v>
      </c>
      <c r="G16" s="590" t="str">
        <f>C16</f>
        <v> $ 570,062.73 </v>
      </c>
      <c r="H16" s="587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</row>
    <row r="17" ht="14.25" customHeight="1">
      <c r="A17" s="364" t="s">
        <v>928</v>
      </c>
      <c r="B17" s="588" t="str">
        <f>B14</f>
        <v> $ 2,571,658.30 </v>
      </c>
      <c r="C17" s="588" t="str">
        <f t="shared" ref="C17:G17" si="4">C14+C15-C16</f>
        <v> $ 2,280,250.93 </v>
      </c>
      <c r="D17" s="588" t="str">
        <f t="shared" si="4"/>
        <v> $ 1,710,188.20 </v>
      </c>
      <c r="E17" s="588" t="str">
        <f t="shared" si="4"/>
        <v> $ 1,140,125.46 </v>
      </c>
      <c r="F17" s="588" t="str">
        <f t="shared" si="4"/>
        <v> $ 570,062.73 </v>
      </c>
      <c r="G17" s="588" t="str">
        <f t="shared" si="4"/>
        <v> $ -   </v>
      </c>
      <c r="H17" s="587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</row>
    <row r="18" ht="14.25" customHeight="1">
      <c r="A18" s="362" t="s">
        <v>580</v>
      </c>
      <c r="B18" s="613"/>
      <c r="C18" s="613"/>
      <c r="D18" s="613"/>
      <c r="E18" s="613"/>
      <c r="F18" s="613"/>
      <c r="G18" s="617"/>
      <c r="H18" s="587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</row>
    <row r="19" ht="14.25" customHeight="1">
      <c r="A19" s="364" t="s">
        <v>925</v>
      </c>
      <c r="B19" s="588" t="str">
        <f>'E-Inv AF y Am'!B52</f>
        <v> $ 27,762,072.46 </v>
      </c>
      <c r="C19" s="588" t="str">
        <f t="shared" ref="C19:G19" si="5">B22</f>
        <v> $ 27,762,072.46 </v>
      </c>
      <c r="D19" s="588" t="str">
        <f t="shared" si="5"/>
        <v> $ 25,821,339.06 </v>
      </c>
      <c r="E19" s="588" t="str">
        <f t="shared" si="5"/>
        <v> $ 23,880,605.66 </v>
      </c>
      <c r="F19" s="588" t="str">
        <f t="shared" si="5"/>
        <v> $ 21,939,872.26 </v>
      </c>
      <c r="G19" s="588" t="str">
        <f t="shared" si="5"/>
        <v> $ 19,999,138.86 </v>
      </c>
      <c r="H19" s="587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</row>
    <row r="20" ht="14.25" customHeight="1">
      <c r="A20" s="364" t="s">
        <v>929</v>
      </c>
      <c r="B20" s="588">
        <v>0.0</v>
      </c>
      <c r="C20" s="588">
        <v>0.0</v>
      </c>
      <c r="D20" s="588">
        <v>0.0</v>
      </c>
      <c r="E20" s="588">
        <v>0.0</v>
      </c>
      <c r="F20" s="588">
        <v>0.0</v>
      </c>
      <c r="G20" s="588">
        <v>0.0</v>
      </c>
      <c r="H20" s="587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</row>
    <row r="21" ht="14.25" customHeight="1">
      <c r="A21" s="364" t="s">
        <v>930</v>
      </c>
      <c r="B21" s="588">
        <v>0.0</v>
      </c>
      <c r="C21" s="588" t="str">
        <f>'E-Inv AF y Am'!D52</f>
        <v> $ 1,940,733.40 </v>
      </c>
      <c r="D21" s="588" t="str">
        <f>C21</f>
        <v> $ 1,940,733.40 </v>
      </c>
      <c r="E21" s="588" t="str">
        <f>C21</f>
        <v> $ 1,940,733.40 </v>
      </c>
      <c r="F21" s="588" t="str">
        <f>C21</f>
        <v> $ 1,940,733.40 </v>
      </c>
      <c r="G21" s="590" t="str">
        <f>C21</f>
        <v> $ 1,940,733.40 </v>
      </c>
      <c r="H21" s="587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</row>
    <row r="22" ht="14.25" customHeight="1">
      <c r="A22" s="364" t="s">
        <v>928</v>
      </c>
      <c r="B22" s="616" t="str">
        <f t="shared" ref="B22:G22" si="6">B19+B20-B21</f>
        <v>  27,762,072.46 </v>
      </c>
      <c r="C22" s="616" t="str">
        <f t="shared" si="6"/>
        <v>  25,821,339.06 </v>
      </c>
      <c r="D22" s="616" t="str">
        <f t="shared" si="6"/>
        <v>  23,880,605.66 </v>
      </c>
      <c r="E22" s="616" t="str">
        <f t="shared" si="6"/>
        <v>  21,939,872.26 </v>
      </c>
      <c r="F22" s="616" t="str">
        <f t="shared" si="6"/>
        <v>  19,999,138.86 </v>
      </c>
      <c r="G22" s="618" t="str">
        <f t="shared" si="6"/>
        <v>  18,058,405.46 </v>
      </c>
      <c r="H22" s="587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</row>
    <row r="23" ht="14.25" customHeight="1">
      <c r="A23" s="362" t="s">
        <v>931</v>
      </c>
      <c r="B23" s="616" t="str">
        <f>'F-IVA'!B18-'F-IVA'!B17</f>
        <v>  -   </v>
      </c>
      <c r="C23" s="616" t="str">
        <f>'F-IVA'!C18-'F-IVA'!C17</f>
        <v>  5,085,672.48 </v>
      </c>
      <c r="D23" s="616" t="str">
        <f>'F-IVA'!D18</f>
        <v>  3,179,831.59 </v>
      </c>
      <c r="E23" s="616" t="str">
        <f>'F-IVA'!E18-'F-IVA'!E17</f>
        <v>  808,310.35 </v>
      </c>
      <c r="F23" s="616" t="str">
        <f>'F-IVA'!F18-'F-IVA'!F17</f>
        <v>  -   </v>
      </c>
      <c r="G23" s="616" t="str">
        <f>'F-IVA'!G18-'F-IVA'!G17</f>
        <v>  -   </v>
      </c>
      <c r="H23" s="587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</row>
    <row r="24" ht="14.25" customHeight="1">
      <c r="A24" s="362" t="s">
        <v>932</v>
      </c>
      <c r="B24" s="613" t="str">
        <f t="shared" ref="B24:G24" si="7">B12+B5</f>
        <v>  31,013,838.02 </v>
      </c>
      <c r="C24" s="613" t="str">
        <f t="shared" si="7"/>
        <v>  37,629,618.55 </v>
      </c>
      <c r="D24" s="613" t="str">
        <f t="shared" si="7"/>
        <v>  33,345,372.99 </v>
      </c>
      <c r="E24" s="613" t="str">
        <f t="shared" si="7"/>
        <v>  30,494,937.46 </v>
      </c>
      <c r="F24" s="613" t="str">
        <f t="shared" si="7"/>
        <v>  28,667,881.24 </v>
      </c>
      <c r="G24" s="613" t="str">
        <f t="shared" si="7"/>
        <v>  26,442,540.06 </v>
      </c>
      <c r="H24" s="587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</row>
    <row r="25" ht="14.25" customHeight="1">
      <c r="A25" s="362" t="s">
        <v>933</v>
      </c>
      <c r="B25" s="613" t="str">
        <f t="shared" ref="B25:G25" si="8">B26+B27</f>
        <v>  3,365,044.32 </v>
      </c>
      <c r="C25" s="613" t="str">
        <f t="shared" si="8"/>
        <v>  3,365,044.32 </v>
      </c>
      <c r="D25" s="613" t="str">
        <f t="shared" si="8"/>
        <v>  3,365,044.32 </v>
      </c>
      <c r="E25" s="613" t="str">
        <f t="shared" si="8"/>
        <v>  3,365,044.32 </v>
      </c>
      <c r="F25" s="613" t="str">
        <f t="shared" si="8"/>
        <v>  3,365,044.32 </v>
      </c>
      <c r="G25" s="613" t="str">
        <f t="shared" si="8"/>
        <v>  -   </v>
      </c>
      <c r="H25" s="587"/>
      <c r="I25" s="306"/>
      <c r="J25" s="306"/>
      <c r="K25" s="306"/>
      <c r="L25" s="306" t="str">
        <f>SUM('F-Balance'!B35:G35)=SUM('F-Balance'!B24:G24)</f>
        <v>TRUE</v>
      </c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</row>
    <row r="26" ht="14.25" customHeight="1">
      <c r="A26" s="362" t="s">
        <v>934</v>
      </c>
      <c r="B26" s="616">
        <v>0.0</v>
      </c>
      <c r="C26" s="616">
        <v>0.0</v>
      </c>
      <c r="D26" s="616">
        <v>0.0</v>
      </c>
      <c r="E26" s="616">
        <v>0.0</v>
      </c>
      <c r="F26" s="616">
        <v>0.0</v>
      </c>
      <c r="G26" s="616">
        <v>0.0</v>
      </c>
      <c r="H26" s="587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</row>
    <row r="27" ht="14.25" customHeight="1">
      <c r="A27" s="362" t="s">
        <v>935</v>
      </c>
      <c r="B27" s="588" t="str">
        <f>'F-Cred'!E24</f>
        <v> $ 3,365,044.32 </v>
      </c>
      <c r="C27" s="588" t="str">
        <f>'F-Cred'!E24</f>
        <v> $ 3,365,044.32 </v>
      </c>
      <c r="D27" s="588" t="str">
        <f>'F-Cred'!E28</f>
        <v> $ 3,365,044.32 </v>
      </c>
      <c r="E27" s="588" t="str">
        <f>'F-Cred'!E30</f>
        <v> $ 3,365,044.32 </v>
      </c>
      <c r="F27" s="588" t="str">
        <f>'F-Cred'!E32</f>
        <v> $ 3,365,044.32 </v>
      </c>
      <c r="G27" s="590"/>
      <c r="H27" s="587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</row>
    <row r="28" ht="14.25" customHeight="1">
      <c r="A28" s="362" t="s">
        <v>936</v>
      </c>
      <c r="B28" s="393" t="str">
        <f t="shared" ref="B28:G28" si="9">B29</f>
        <v> $ 13,460,177.28 </v>
      </c>
      <c r="C28" s="393" t="str">
        <f t="shared" si="9"/>
        <v> $ 10,095,132.96 </v>
      </c>
      <c r="D28" s="393" t="str">
        <f t="shared" si="9"/>
        <v> $ 6,730,088.64 </v>
      </c>
      <c r="E28" s="393" t="str">
        <f t="shared" si="9"/>
        <v> $ 3,365,044.32 </v>
      </c>
      <c r="F28" s="393" t="str">
        <f t="shared" si="9"/>
        <v> $ -   </v>
      </c>
      <c r="G28" s="393" t="str">
        <f t="shared" si="9"/>
        <v> $ -   </v>
      </c>
      <c r="H28" s="587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</row>
    <row r="29" ht="14.25" customHeight="1">
      <c r="A29" s="362" t="s">
        <v>935</v>
      </c>
      <c r="B29" s="616" t="str">
        <f>'F-Cred'!E54-B27</f>
        <v>  13,460,177.28 </v>
      </c>
      <c r="C29" s="616" t="str">
        <f t="shared" ref="C29:G29" si="10">B29-C27</f>
        <v>  10,095,132.96 </v>
      </c>
      <c r="D29" s="616" t="str">
        <f t="shared" si="10"/>
        <v>  6,730,088.64 </v>
      </c>
      <c r="E29" s="616" t="str">
        <f t="shared" si="10"/>
        <v>  3,365,044.32 </v>
      </c>
      <c r="F29" s="616" t="str">
        <f t="shared" si="10"/>
        <v>  -   </v>
      </c>
      <c r="G29" s="616" t="str">
        <f t="shared" si="10"/>
        <v>  -   </v>
      </c>
      <c r="H29" s="587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</row>
    <row r="30" ht="14.25" customHeight="1">
      <c r="A30" s="362" t="s">
        <v>937</v>
      </c>
      <c r="B30" s="393" t="str">
        <f t="shared" ref="B30:G30" si="11">B25+B28</f>
        <v> $ 16,825,221.60 </v>
      </c>
      <c r="C30" s="393" t="str">
        <f t="shared" si="11"/>
        <v> $ 13,460,177.28 </v>
      </c>
      <c r="D30" s="393" t="str">
        <f t="shared" si="11"/>
        <v> $ 10,095,132.96 </v>
      </c>
      <c r="E30" s="393" t="str">
        <f t="shared" si="11"/>
        <v> $ 6,730,088.64 </v>
      </c>
      <c r="F30" s="393" t="str">
        <f t="shared" si="11"/>
        <v> $ 3,365,044.32 </v>
      </c>
      <c r="G30" s="393" t="str">
        <f t="shared" si="11"/>
        <v> $ -   </v>
      </c>
      <c r="H30" s="587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</row>
    <row r="31" ht="14.25" customHeight="1">
      <c r="A31" s="362" t="s">
        <v>938</v>
      </c>
      <c r="B31" s="393" t="str">
        <f t="shared" ref="B31:G31" si="12">B24-B30</f>
        <v> $ 14,188,616.42 </v>
      </c>
      <c r="C31" s="393" t="str">
        <f t="shared" si="12"/>
        <v> $ 24,169,441.27 </v>
      </c>
      <c r="D31" s="393" t="str">
        <f t="shared" si="12"/>
        <v> $ 23,250,240.03 </v>
      </c>
      <c r="E31" s="393" t="str">
        <f t="shared" si="12"/>
        <v> $ 23,764,848.82 </v>
      </c>
      <c r="F31" s="393" t="str">
        <f t="shared" si="12"/>
        <v> $ 25,302,836.92 </v>
      </c>
      <c r="G31" s="393" t="str">
        <f t="shared" si="12"/>
        <v> $ 26,442,540.06 </v>
      </c>
      <c r="H31" s="587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</row>
    <row r="32" ht="14.25" customHeight="1">
      <c r="A32" s="362" t="s">
        <v>939</v>
      </c>
      <c r="B32" s="588" t="str">
        <f>'F- CFyU'!B7</f>
        <v> $ 20,630,307.21 </v>
      </c>
      <c r="C32" s="588" t="str">
        <f>'F-Cred'!F8</f>
        <v> $ 19,467,240.85 </v>
      </c>
      <c r="D32" s="588" t="str">
        <f t="shared" ref="D32:G32" si="13">C32</f>
        <v> $ 19,467,240.85 </v>
      </c>
      <c r="E32" s="588" t="str">
        <f t="shared" si="13"/>
        <v> $ 19,467,240.85 </v>
      </c>
      <c r="F32" s="588" t="str">
        <f t="shared" si="13"/>
        <v> $ 19,467,240.85 </v>
      </c>
      <c r="G32" s="588" t="str">
        <f t="shared" si="13"/>
        <v> $ 19,467,240.85 </v>
      </c>
      <c r="H32" s="587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</row>
    <row r="33" ht="14.25" customHeight="1">
      <c r="A33" s="362" t="s">
        <v>940</v>
      </c>
      <c r="B33" s="616">
        <v>0.0</v>
      </c>
      <c r="C33" s="616" t="str">
        <f>'F-CRes'!B14</f>
        <v>  (1,807,291.43)</v>
      </c>
      <c r="D33" s="616" t="str">
        <f>'F-CRes'!C14</f>
        <v>  757,470.16 </v>
      </c>
      <c r="E33" s="616" t="str">
        <f>'F-CRes'!D14</f>
        <v>  1,201,754.73 </v>
      </c>
      <c r="F33" s="616" t="str">
        <f>'F-CRes'!E14</f>
        <v>  1,644,459.96 </v>
      </c>
      <c r="G33" s="618" t="str">
        <f>'F-CRes'!F14</f>
        <v>  2,087,165.19 </v>
      </c>
      <c r="H33" s="306"/>
      <c r="I33" s="619" t="str">
        <f>SUM(C33:G33)</f>
        <v>  3,883,558.61 </v>
      </c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</row>
    <row r="34" ht="14.25" customHeight="1">
      <c r="A34" s="362" t="s">
        <v>941</v>
      </c>
      <c r="B34" s="588">
        <v>0.0</v>
      </c>
      <c r="C34" s="588">
        <v>0.0</v>
      </c>
      <c r="D34" s="588" t="str">
        <f t="shared" ref="D34:G34" si="14">C33+C34</f>
        <v> $ (1,807,291.43)</v>
      </c>
      <c r="E34" s="588" t="str">
        <f t="shared" si="14"/>
        <v> $ (1,049,821.27)</v>
      </c>
      <c r="F34" s="588" t="str">
        <f t="shared" si="14"/>
        <v> $ 151,933.46 </v>
      </c>
      <c r="G34" s="590" t="str">
        <f t="shared" si="14"/>
        <v> $ 1,796,393.42 </v>
      </c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</row>
    <row r="35" ht="14.25" customHeight="1">
      <c r="A35" s="375" t="s">
        <v>942</v>
      </c>
      <c r="B35" s="370" t="str">
        <f t="shared" ref="B35:G35" si="15">B31+B30</f>
        <v> $ 31,013,838.02 </v>
      </c>
      <c r="C35" s="370" t="str">
        <f t="shared" si="15"/>
        <v> $ 37,629,618.55 </v>
      </c>
      <c r="D35" s="370" t="str">
        <f t="shared" si="15"/>
        <v> $ 33,345,372.99 </v>
      </c>
      <c r="E35" s="370" t="str">
        <f t="shared" si="15"/>
        <v> $ 30,494,937.46 </v>
      </c>
      <c r="F35" s="370" t="str">
        <f t="shared" si="15"/>
        <v> $ 28,667,881.24 </v>
      </c>
      <c r="G35" s="370" t="str">
        <f t="shared" si="15"/>
        <v> $ 26,442,540.06 </v>
      </c>
      <c r="H35" s="306"/>
      <c r="I35" s="298" t="str">
        <f>G34+G33</f>
        <v> $ 3,883,558.61 </v>
      </c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</row>
    <row r="36" ht="12.75" customHeight="1">
      <c r="A36" s="306"/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</row>
    <row r="37" ht="12.75" customHeight="1">
      <c r="A37" s="30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</row>
    <row r="38" ht="14.25" customHeight="1">
      <c r="A38" s="620" t="s">
        <v>943</v>
      </c>
      <c r="B38" s="558" t="str">
        <f t="shared" ref="B38:G38" si="16">IF(B24=B35,"OK","MAL")</f>
        <v>OK</v>
      </c>
      <c r="C38" s="558" t="str">
        <f t="shared" si="16"/>
        <v>OK</v>
      </c>
      <c r="D38" s="558" t="str">
        <f t="shared" si="16"/>
        <v>OK</v>
      </c>
      <c r="E38" s="558" t="str">
        <f t="shared" si="16"/>
        <v>OK</v>
      </c>
      <c r="F38" s="558" t="str">
        <f t="shared" si="16"/>
        <v>OK</v>
      </c>
      <c r="G38" s="558" t="str">
        <f t="shared" si="16"/>
        <v>OK</v>
      </c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</row>
    <row r="39" ht="12.75" customHeight="1">
      <c r="A39" s="306"/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</row>
    <row r="40" ht="12.75" customHeight="1">
      <c r="A40" s="306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</row>
    <row r="41" ht="12.75" customHeight="1">
      <c r="A41" s="306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</row>
    <row r="42" ht="12.75" customHeight="1">
      <c r="A42" s="306"/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</row>
    <row r="43" ht="12.75" customHeight="1">
      <c r="A43" s="306"/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</row>
    <row r="44" ht="12.75" customHeight="1">
      <c r="A44" s="306"/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</row>
    <row r="45" ht="12.75" customHeight="1">
      <c r="A45" s="306"/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</row>
    <row r="46" ht="12.75" customHeight="1">
      <c r="A46" s="306"/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</row>
    <row r="47" ht="12.75" customHeight="1">
      <c r="A47" s="306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</row>
    <row r="48" ht="12.75" customHeight="1">
      <c r="A48" s="306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</row>
    <row r="49" ht="12.75" customHeight="1">
      <c r="A49" s="306"/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</row>
    <row r="50" ht="12.75" customHeight="1">
      <c r="A50" s="306"/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</row>
    <row r="51" ht="12.75" customHeight="1">
      <c r="A51" s="306"/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</row>
    <row r="52" ht="12.75" customHeight="1">
      <c r="A52" s="306"/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</row>
    <row r="53" ht="12.75" customHeight="1">
      <c r="A53" s="306"/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</row>
    <row r="54" ht="12.75" customHeight="1">
      <c r="A54" s="306"/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</row>
    <row r="55" ht="12.75" customHeight="1">
      <c r="A55" s="306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</row>
    <row r="56" ht="12.75" customHeight="1">
      <c r="A56" s="306"/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</row>
    <row r="57" ht="12.75" customHeight="1">
      <c r="A57" s="306"/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</row>
    <row r="58" ht="12.75" customHeight="1">
      <c r="A58" s="306"/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</row>
    <row r="59" ht="12.75" customHeight="1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</row>
    <row r="60" ht="12.75" customHeight="1">
      <c r="A60" s="306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</row>
    <row r="61" ht="12.75" customHeight="1">
      <c r="A61" s="306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</row>
    <row r="62" ht="12.75" customHeigh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</row>
    <row r="63" ht="12.75" customHeight="1">
      <c r="A63" s="306"/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</row>
    <row r="64" ht="12.75" customHeight="1">
      <c r="A64" s="306"/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</row>
    <row r="65" ht="12.75" customHeight="1">
      <c r="A65" s="306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</row>
    <row r="66" ht="12.75" customHeight="1">
      <c r="A66" s="306"/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</row>
    <row r="67" ht="12.75" customHeight="1">
      <c r="A67" s="306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</row>
    <row r="68" ht="12.75" customHeight="1">
      <c r="A68" s="306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</row>
    <row r="69" ht="12.75" customHeight="1">
      <c r="A69" s="306"/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</row>
    <row r="70" ht="12.75" customHeight="1">
      <c r="A70" s="306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</row>
    <row r="71" ht="12.75" customHeight="1">
      <c r="A71" s="306"/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</row>
    <row r="72" ht="12.75" customHeight="1">
      <c r="A72" s="306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</row>
    <row r="73" ht="12.75" customHeight="1">
      <c r="A73" s="306"/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</row>
    <row r="74" ht="12.75" customHeight="1">
      <c r="A74" s="306"/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</row>
    <row r="75" ht="12.75" customHeight="1">
      <c r="A75" s="306"/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</row>
    <row r="76" ht="12.75" customHeight="1">
      <c r="A76" s="306"/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</row>
    <row r="77" ht="12.75" customHeight="1">
      <c r="A77" s="306"/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</row>
    <row r="78" ht="12.75" customHeight="1">
      <c r="A78" s="306"/>
      <c r="B78" s="306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</row>
    <row r="79" ht="12.75" customHeight="1">
      <c r="A79" s="306"/>
      <c r="B79" s="306"/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6"/>
      <c r="Z79" s="306"/>
    </row>
    <row r="80" ht="12.75" customHeight="1">
      <c r="A80" s="306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</row>
    <row r="81" ht="12.75" customHeight="1">
      <c r="A81" s="306"/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</row>
    <row r="82" ht="12.75" customHeight="1">
      <c r="A82" s="306"/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</row>
    <row r="83" ht="12.75" customHeight="1">
      <c r="A83" s="306"/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</row>
    <row r="84" ht="12.75" customHeight="1">
      <c r="A84" s="306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</row>
    <row r="85" ht="12.75" customHeight="1">
      <c r="A85" s="306"/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</row>
    <row r="86" ht="12.75" customHeight="1">
      <c r="A86" s="306"/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</row>
    <row r="87" ht="12.75" customHeight="1">
      <c r="A87" s="306"/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</row>
    <row r="88" ht="12.75" customHeight="1">
      <c r="A88" s="306"/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</row>
    <row r="89" ht="12.75" customHeight="1">
      <c r="A89" s="306"/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</row>
    <row r="90" ht="12.75" customHeight="1">
      <c r="A90" s="306"/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</row>
    <row r="91" ht="12.75" customHeight="1">
      <c r="A91" s="306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</row>
    <row r="92" ht="12.75" customHeigh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</row>
    <row r="93" ht="12.75" customHeight="1">
      <c r="A93" s="306"/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</row>
    <row r="94" ht="12.75" customHeight="1">
      <c r="A94" s="306"/>
      <c r="B94" s="306"/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</row>
    <row r="95" ht="12.75" customHeight="1">
      <c r="A95" s="306"/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</row>
    <row r="96" ht="12.75" customHeight="1">
      <c r="A96" s="306"/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</row>
    <row r="97" ht="12.75" customHeight="1">
      <c r="A97" s="306"/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</row>
    <row r="98" ht="12.75" customHeight="1">
      <c r="A98" s="306"/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</row>
    <row r="99" ht="12.75" customHeight="1">
      <c r="A99" s="306"/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</row>
    <row r="100" ht="12.75" customHeight="1">
      <c r="A100" s="306"/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</row>
    <row r="101" ht="12.75" customHeight="1">
      <c r="A101" s="306"/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</row>
    <row r="102" ht="12.75" customHeight="1">
      <c r="A102" s="306"/>
      <c r="B102" s="306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</row>
    <row r="103" ht="12.75" customHeight="1">
      <c r="A103" s="306"/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</row>
    <row r="104" ht="12.75" customHeight="1">
      <c r="A104" s="306"/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</row>
    <row r="105" ht="12.75" customHeight="1">
      <c r="A105" s="306"/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</row>
    <row r="106" ht="12.75" customHeight="1">
      <c r="A106" s="306"/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</row>
    <row r="107" ht="12.75" customHeight="1">
      <c r="A107" s="306"/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</row>
    <row r="108" ht="12.75" customHeight="1">
      <c r="A108" s="306"/>
      <c r="B108" s="306"/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306"/>
    </row>
    <row r="109" ht="12.75" customHeight="1">
      <c r="A109" s="306"/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6"/>
    </row>
    <row r="110" ht="12.75" customHeight="1">
      <c r="A110" s="306"/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</row>
    <row r="111" ht="12.75" customHeight="1">
      <c r="A111" s="306"/>
      <c r="B111" s="306"/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6"/>
      <c r="X111" s="306"/>
      <c r="Y111" s="306"/>
      <c r="Z111" s="306"/>
    </row>
    <row r="112" ht="12.75" customHeight="1">
      <c r="A112" s="306"/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</row>
    <row r="113" ht="12.75" customHeight="1">
      <c r="A113" s="306"/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</row>
    <row r="114" ht="12.75" customHeight="1">
      <c r="A114" s="306"/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</row>
    <row r="115" ht="12.75" customHeight="1">
      <c r="A115" s="306"/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  <c r="Z115" s="306"/>
    </row>
    <row r="116" ht="12.75" customHeight="1">
      <c r="A116" s="306"/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</row>
    <row r="117" ht="12.75" customHeight="1">
      <c r="A117" s="306"/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  <c r="S117" s="306"/>
      <c r="T117" s="306"/>
      <c r="U117" s="306"/>
      <c r="V117" s="306"/>
      <c r="W117" s="306"/>
      <c r="X117" s="306"/>
      <c r="Y117" s="306"/>
      <c r="Z117" s="306"/>
    </row>
    <row r="118" ht="12.75" customHeight="1">
      <c r="A118" s="306"/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R118" s="306"/>
      <c r="S118" s="306"/>
      <c r="T118" s="306"/>
      <c r="U118" s="306"/>
      <c r="V118" s="306"/>
      <c r="W118" s="306"/>
      <c r="X118" s="306"/>
      <c r="Y118" s="306"/>
      <c r="Z118" s="306"/>
    </row>
    <row r="119" ht="12.75" customHeight="1">
      <c r="A119" s="306"/>
      <c r="B119" s="306"/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</row>
    <row r="120" ht="12.75" customHeight="1">
      <c r="A120" s="306"/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</row>
    <row r="121" ht="12.75" customHeight="1">
      <c r="A121" s="306"/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</row>
    <row r="122" ht="12.75" customHeigh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  <c r="X122" s="306"/>
      <c r="Y122" s="306"/>
      <c r="Z122" s="306"/>
    </row>
    <row r="123" ht="12.75" customHeight="1">
      <c r="A123" s="306"/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</row>
    <row r="124" ht="12.75" customHeight="1">
      <c r="A124" s="306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</row>
    <row r="125" ht="12.75" customHeight="1">
      <c r="A125" s="306"/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</row>
    <row r="126" ht="12.75" customHeight="1">
      <c r="A126" s="306"/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</row>
    <row r="127" ht="12.75" customHeight="1">
      <c r="A127" s="306"/>
      <c r="B127" s="306"/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</row>
    <row r="128" ht="12.75" customHeight="1">
      <c r="A128" s="306"/>
      <c r="B128" s="306"/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</row>
    <row r="129" ht="12.75" customHeight="1">
      <c r="A129" s="306"/>
      <c r="B129" s="306"/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</row>
    <row r="130" ht="12.75" customHeight="1">
      <c r="A130" s="306"/>
      <c r="B130" s="306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</row>
    <row r="131" ht="12.75" customHeight="1">
      <c r="A131" s="306"/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</row>
    <row r="132" ht="12.75" customHeight="1">
      <c r="A132" s="306"/>
      <c r="B132" s="306"/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306"/>
    </row>
    <row r="133" ht="12.75" customHeight="1">
      <c r="A133" s="306"/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  <c r="Z133" s="306"/>
    </row>
    <row r="134" ht="12.75" customHeight="1">
      <c r="A134" s="306"/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</row>
    <row r="135" ht="12.75" customHeight="1">
      <c r="A135" s="306"/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</row>
    <row r="136" ht="12.75" customHeight="1">
      <c r="A136" s="306"/>
      <c r="B136" s="306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</row>
    <row r="137" ht="12.75" customHeight="1">
      <c r="A137" s="306"/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  <c r="Y137" s="306"/>
      <c r="Z137" s="306"/>
    </row>
    <row r="138" ht="12.75" customHeight="1">
      <c r="A138" s="306"/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</row>
    <row r="139" ht="12.75" customHeight="1">
      <c r="A139" s="306"/>
      <c r="B139" s="306"/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</row>
    <row r="140" ht="12.75" customHeight="1">
      <c r="A140" s="306"/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</row>
    <row r="141" ht="12.75" customHeight="1">
      <c r="A141" s="306"/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</row>
    <row r="142" ht="12.75" customHeight="1">
      <c r="A142" s="306"/>
      <c r="B142" s="306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</row>
    <row r="143" ht="12.75" customHeight="1">
      <c r="A143" s="306"/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6"/>
      <c r="U143" s="306"/>
      <c r="V143" s="306"/>
      <c r="W143" s="306"/>
      <c r="X143" s="306"/>
      <c r="Y143" s="306"/>
      <c r="Z143" s="306"/>
    </row>
    <row r="144" ht="12.75" customHeight="1">
      <c r="A144" s="306"/>
      <c r="B144" s="306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306"/>
    </row>
    <row r="145" ht="12.75" customHeight="1">
      <c r="A145" s="306"/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</row>
    <row r="146" ht="12.75" customHeight="1">
      <c r="A146" s="306"/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</row>
    <row r="147" ht="12.75" customHeight="1">
      <c r="A147" s="306"/>
      <c r="B147" s="306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  <c r="Z147" s="306"/>
    </row>
    <row r="148" ht="12.75" customHeight="1">
      <c r="A148" s="306"/>
      <c r="B148" s="306"/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  <c r="Z148" s="306"/>
    </row>
    <row r="149" ht="12.75" customHeight="1">
      <c r="A149" s="306"/>
      <c r="B149" s="306"/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</row>
    <row r="150" ht="12.75" customHeight="1">
      <c r="A150" s="306"/>
      <c r="B150" s="306"/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</row>
    <row r="151" ht="12.75" customHeight="1">
      <c r="A151" s="306"/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306"/>
      <c r="Y151" s="306"/>
      <c r="Z151" s="306"/>
    </row>
    <row r="152" ht="12.75" customHeight="1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</row>
    <row r="153" ht="12.75" customHeight="1">
      <c r="A153" s="306"/>
      <c r="B153" s="306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  <c r="Z153" s="306"/>
    </row>
    <row r="154" ht="12.75" customHeight="1">
      <c r="A154" s="306"/>
      <c r="B154" s="306"/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306"/>
      <c r="X154" s="306"/>
      <c r="Y154" s="306"/>
      <c r="Z154" s="306"/>
    </row>
    <row r="155" ht="12.75" customHeight="1">
      <c r="A155" s="306"/>
      <c r="B155" s="306"/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306"/>
      <c r="X155" s="306"/>
      <c r="Y155" s="306"/>
      <c r="Z155" s="306"/>
    </row>
    <row r="156" ht="12.75" customHeight="1">
      <c r="A156" s="306"/>
      <c r="B156" s="306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306"/>
      <c r="X156" s="306"/>
      <c r="Y156" s="306"/>
      <c r="Z156" s="306"/>
    </row>
    <row r="157" ht="12.75" customHeight="1">
      <c r="A157" s="306"/>
      <c r="B157" s="306"/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306"/>
    </row>
    <row r="158" ht="12.75" customHeight="1">
      <c r="A158" s="306"/>
      <c r="B158" s="306"/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</row>
    <row r="159" ht="12.75" customHeight="1">
      <c r="A159" s="306"/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</row>
    <row r="160" ht="12.75" customHeight="1">
      <c r="A160" s="306"/>
      <c r="B160" s="306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  <c r="Z160" s="306"/>
    </row>
    <row r="161" ht="12.75" customHeight="1">
      <c r="A161" s="306"/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</row>
    <row r="162" ht="12.75" customHeight="1">
      <c r="A162" s="306"/>
      <c r="B162" s="306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</row>
    <row r="163" ht="12.75" customHeight="1">
      <c r="A163" s="306"/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</row>
    <row r="164" ht="12.75" customHeight="1">
      <c r="A164" s="306"/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</row>
    <row r="165" ht="12.75" customHeight="1">
      <c r="A165" s="306"/>
      <c r="B165" s="306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</row>
    <row r="166" ht="12.75" customHeight="1">
      <c r="A166" s="306"/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</row>
    <row r="167" ht="12.75" customHeight="1">
      <c r="A167" s="306"/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</row>
    <row r="168" ht="12.75" customHeight="1">
      <c r="A168" s="306"/>
      <c r="B168" s="306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  <c r="Z168" s="306"/>
    </row>
    <row r="169" ht="12.75" customHeight="1">
      <c r="A169" s="306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6"/>
      <c r="T169" s="306"/>
      <c r="U169" s="306"/>
      <c r="V169" s="306"/>
      <c r="W169" s="306"/>
      <c r="X169" s="306"/>
      <c r="Y169" s="306"/>
      <c r="Z169" s="306"/>
    </row>
    <row r="170" ht="12.75" customHeight="1">
      <c r="A170" s="306"/>
      <c r="B170" s="306"/>
      <c r="C170" s="306"/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</row>
    <row r="171" ht="12.75" customHeight="1">
      <c r="A171" s="306"/>
      <c r="B171" s="306"/>
      <c r="C171" s="306"/>
      <c r="D171" s="306"/>
      <c r="E171" s="306"/>
      <c r="F171" s="306"/>
      <c r="G171" s="306"/>
      <c r="H171" s="306"/>
      <c r="I171" s="306"/>
      <c r="J171" s="306"/>
      <c r="K171" s="306"/>
      <c r="L171" s="306"/>
      <c r="M171" s="306"/>
      <c r="N171" s="306"/>
      <c r="O171" s="306"/>
      <c r="P171" s="306"/>
      <c r="Q171" s="306"/>
      <c r="R171" s="306"/>
      <c r="S171" s="306"/>
      <c r="T171" s="306"/>
      <c r="U171" s="306"/>
      <c r="V171" s="306"/>
      <c r="W171" s="306"/>
      <c r="X171" s="306"/>
      <c r="Y171" s="306"/>
      <c r="Z171" s="306"/>
    </row>
    <row r="172" ht="12.75" customHeight="1">
      <c r="A172" s="306"/>
      <c r="B172" s="306"/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</row>
    <row r="173" ht="12.75" customHeight="1">
      <c r="A173" s="306"/>
      <c r="B173" s="306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306"/>
      <c r="X173" s="306"/>
      <c r="Y173" s="306"/>
      <c r="Z173" s="306"/>
    </row>
    <row r="174" ht="12.75" customHeight="1">
      <c r="A174" s="306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  <c r="Z174" s="306"/>
    </row>
    <row r="175" ht="12.75" customHeight="1">
      <c r="A175" s="306"/>
      <c r="B175" s="306"/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</row>
    <row r="176" ht="12.75" customHeight="1">
      <c r="A176" s="306"/>
      <c r="B176" s="306"/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/>
      <c r="Z176" s="306"/>
    </row>
    <row r="177" ht="12.75" customHeight="1">
      <c r="A177" s="306"/>
      <c r="B177" s="306"/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306"/>
      <c r="X177" s="306"/>
      <c r="Y177" s="306"/>
      <c r="Z177" s="306"/>
    </row>
    <row r="178" ht="12.75" customHeight="1">
      <c r="A178" s="306"/>
      <c r="B178" s="306"/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306"/>
    </row>
    <row r="179" ht="12.75" customHeight="1">
      <c r="A179" s="306"/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/>
      <c r="V179" s="306"/>
      <c r="W179" s="306"/>
      <c r="X179" s="306"/>
      <c r="Y179" s="306"/>
      <c r="Z179" s="306"/>
    </row>
    <row r="180" ht="12.75" customHeight="1">
      <c r="A180" s="306"/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</row>
    <row r="181" ht="12.75" customHeight="1">
      <c r="A181" s="306"/>
      <c r="B181" s="306"/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  <c r="Y181" s="306"/>
      <c r="Z181" s="306"/>
    </row>
    <row r="182" ht="12.75" customHeigh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  <c r="Z182" s="306"/>
    </row>
    <row r="183" ht="12.75" customHeight="1">
      <c r="A183" s="306"/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</row>
    <row r="184" ht="12.75" customHeight="1">
      <c r="A184" s="306"/>
      <c r="B184" s="306"/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</row>
    <row r="185" ht="12.75" customHeight="1">
      <c r="A185" s="306"/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</row>
    <row r="186" ht="12.75" customHeight="1">
      <c r="A186" s="306"/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</row>
    <row r="187" ht="12.75" customHeight="1">
      <c r="A187" s="306"/>
      <c r="B187" s="306"/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</row>
    <row r="188" ht="12.75" customHeight="1">
      <c r="A188" s="306"/>
      <c r="B188" s="306"/>
      <c r="C188" s="306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  <c r="Z188" s="306"/>
    </row>
    <row r="189" ht="12.75" customHeight="1">
      <c r="A189" s="306"/>
      <c r="B189" s="306"/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</row>
    <row r="190" ht="12.75" customHeight="1">
      <c r="A190" s="306"/>
      <c r="B190" s="306"/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306"/>
    </row>
    <row r="191" ht="12.75" customHeight="1">
      <c r="A191" s="306"/>
      <c r="B191" s="306"/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</row>
    <row r="192" ht="12.75" customHeight="1">
      <c r="A192" s="306"/>
      <c r="B192" s="306"/>
      <c r="C192" s="306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</row>
    <row r="193" ht="12.75" customHeight="1">
      <c r="A193" s="306"/>
      <c r="B193" s="306"/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6"/>
      <c r="V193" s="306"/>
      <c r="W193" s="306"/>
      <c r="X193" s="306"/>
      <c r="Y193" s="306"/>
      <c r="Z193" s="306"/>
    </row>
    <row r="194" ht="12.75" customHeight="1">
      <c r="A194" s="306"/>
      <c r="B194" s="306"/>
      <c r="C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</row>
    <row r="195" ht="12.75" customHeight="1">
      <c r="A195" s="306"/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  <c r="Z195" s="306"/>
    </row>
    <row r="196" ht="12.75" customHeight="1">
      <c r="A196" s="306"/>
      <c r="B196" s="306"/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  <c r="Z196" s="306"/>
    </row>
    <row r="197" ht="12.75" customHeight="1">
      <c r="A197" s="306"/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  <c r="S197" s="306"/>
      <c r="T197" s="306"/>
      <c r="U197" s="306"/>
      <c r="V197" s="306"/>
      <c r="W197" s="306"/>
      <c r="X197" s="306"/>
      <c r="Y197" s="306"/>
      <c r="Z197" s="306"/>
    </row>
    <row r="198" ht="12.75" customHeight="1">
      <c r="A198" s="306"/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306"/>
    </row>
    <row r="199" ht="12.75" customHeight="1">
      <c r="A199" s="306"/>
      <c r="B199" s="306"/>
      <c r="C199" s="306"/>
      <c r="D199" s="306"/>
      <c r="E199" s="306"/>
      <c r="F199" s="306"/>
      <c r="G199" s="306"/>
      <c r="H199" s="306"/>
      <c r="I199" s="306"/>
      <c r="J199" s="306"/>
      <c r="K199" s="306"/>
      <c r="L199" s="306"/>
      <c r="M199" s="306"/>
      <c r="N199" s="306"/>
      <c r="O199" s="306"/>
      <c r="P199" s="306"/>
      <c r="Q199" s="306"/>
      <c r="R199" s="306"/>
      <c r="S199" s="306"/>
      <c r="T199" s="306"/>
      <c r="U199" s="306"/>
      <c r="V199" s="306"/>
      <c r="W199" s="306"/>
      <c r="X199" s="306"/>
      <c r="Y199" s="306"/>
      <c r="Z199" s="306"/>
    </row>
    <row r="200" ht="12.75" customHeight="1">
      <c r="A200" s="306"/>
      <c r="B200" s="306"/>
      <c r="C200" s="306"/>
      <c r="D200" s="306"/>
      <c r="E200" s="306"/>
      <c r="F200" s="306"/>
      <c r="G200" s="306"/>
      <c r="H200" s="306"/>
      <c r="I200" s="306"/>
      <c r="J200" s="306"/>
      <c r="K200" s="306"/>
      <c r="L200" s="306"/>
      <c r="M200" s="306"/>
      <c r="N200" s="306"/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  <c r="Z200" s="306"/>
    </row>
    <row r="201" ht="12.75" customHeight="1">
      <c r="A201" s="306"/>
      <c r="B201" s="306"/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  <c r="Z201" s="306"/>
    </row>
    <row r="202" ht="12.75" customHeight="1">
      <c r="A202" s="306"/>
      <c r="B202" s="306"/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  <c r="T202" s="306"/>
      <c r="U202" s="306"/>
      <c r="V202" s="306"/>
      <c r="W202" s="306"/>
      <c r="X202" s="306"/>
      <c r="Y202" s="306"/>
      <c r="Z202" s="306"/>
    </row>
    <row r="203" ht="12.75" customHeight="1">
      <c r="A203" s="306"/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306"/>
    </row>
    <row r="204" ht="12.75" customHeight="1">
      <c r="A204" s="306"/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</row>
    <row r="205" ht="12.75" customHeight="1">
      <c r="A205" s="306"/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</row>
    <row r="206" ht="12.75" customHeight="1">
      <c r="A206" s="306"/>
      <c r="B206" s="306"/>
      <c r="C206" s="306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  <c r="T206" s="306"/>
      <c r="U206" s="306"/>
      <c r="V206" s="306"/>
      <c r="W206" s="306"/>
      <c r="X206" s="306"/>
      <c r="Y206" s="306"/>
      <c r="Z206" s="306"/>
    </row>
    <row r="207" ht="12.75" customHeight="1">
      <c r="A207" s="306"/>
      <c r="B207" s="306"/>
      <c r="C207" s="306"/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  <c r="S207" s="306"/>
      <c r="T207" s="306"/>
      <c r="U207" s="306"/>
      <c r="V207" s="306"/>
      <c r="W207" s="306"/>
      <c r="X207" s="306"/>
      <c r="Y207" s="306"/>
      <c r="Z207" s="306"/>
    </row>
    <row r="208" ht="12.75" customHeight="1">
      <c r="A208" s="306"/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  <c r="T208" s="306"/>
      <c r="U208" s="306"/>
      <c r="V208" s="306"/>
      <c r="W208" s="306"/>
      <c r="X208" s="306"/>
      <c r="Y208" s="306"/>
      <c r="Z208" s="306"/>
    </row>
    <row r="209" ht="12.75" customHeight="1">
      <c r="A209" s="306"/>
      <c r="B209" s="306"/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  <c r="T209" s="306"/>
      <c r="U209" s="306"/>
      <c r="V209" s="306"/>
      <c r="W209" s="306"/>
      <c r="X209" s="306"/>
      <c r="Y209" s="306"/>
      <c r="Z209" s="306"/>
    </row>
    <row r="210" ht="12.75" customHeight="1">
      <c r="A210" s="306"/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/>
      <c r="Y210" s="306"/>
      <c r="Z210" s="306"/>
    </row>
    <row r="211" ht="12.75" customHeight="1">
      <c r="A211" s="306"/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  <c r="X211" s="306"/>
      <c r="Y211" s="306"/>
      <c r="Z211" s="306"/>
    </row>
    <row r="212" ht="12.75" customHeight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  <c r="X212" s="306"/>
      <c r="Y212" s="306"/>
      <c r="Z212" s="306"/>
    </row>
    <row r="213" ht="12.75" customHeight="1">
      <c r="A213" s="306"/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  <c r="T213" s="306"/>
      <c r="U213" s="306"/>
      <c r="V213" s="306"/>
      <c r="W213" s="306"/>
      <c r="X213" s="306"/>
      <c r="Y213" s="306"/>
      <c r="Z213" s="306"/>
    </row>
    <row r="214" ht="12.75" customHeight="1">
      <c r="A214" s="306"/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  <c r="S214" s="306"/>
      <c r="T214" s="306"/>
      <c r="U214" s="306"/>
      <c r="V214" s="306"/>
      <c r="W214" s="306"/>
      <c r="X214" s="306"/>
      <c r="Y214" s="306"/>
      <c r="Z214" s="306"/>
    </row>
    <row r="215" ht="12.75" customHeight="1">
      <c r="A215" s="306"/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  <c r="T215" s="306"/>
      <c r="U215" s="306"/>
      <c r="V215" s="306"/>
      <c r="W215" s="306"/>
      <c r="X215" s="306"/>
      <c r="Y215" s="306"/>
      <c r="Z215" s="306"/>
    </row>
    <row r="216" ht="12.75" customHeight="1">
      <c r="A216" s="306"/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  <c r="T216" s="306"/>
      <c r="U216" s="306"/>
      <c r="V216" s="306"/>
      <c r="W216" s="306"/>
      <c r="X216" s="306"/>
      <c r="Y216" s="306"/>
      <c r="Z216" s="306"/>
    </row>
    <row r="217" ht="12.75" customHeight="1">
      <c r="A217" s="306"/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  <c r="T217" s="306"/>
      <c r="U217" s="306"/>
      <c r="V217" s="306"/>
      <c r="W217" s="306"/>
      <c r="X217" s="306"/>
      <c r="Y217" s="306"/>
      <c r="Z217" s="306"/>
    </row>
    <row r="218" ht="12.75" customHeight="1">
      <c r="A218" s="306"/>
      <c r="B218" s="306"/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  <c r="T218" s="306"/>
      <c r="U218" s="306"/>
      <c r="V218" s="306"/>
      <c r="W218" s="306"/>
      <c r="X218" s="306"/>
      <c r="Y218" s="306"/>
      <c r="Z218" s="306"/>
    </row>
    <row r="219" ht="12.75" customHeight="1">
      <c r="A219" s="306"/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</row>
    <row r="220" ht="12.75" customHeight="1">
      <c r="A220" s="306"/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</row>
    <row r="221" ht="12.75" customHeight="1">
      <c r="A221" s="306"/>
      <c r="B221" s="306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  <c r="Z221" s="306"/>
    </row>
    <row r="222" ht="12.75" customHeight="1">
      <c r="A222" s="306"/>
      <c r="B222" s="306"/>
      <c r="C222" s="306"/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  <c r="S222" s="306"/>
      <c r="T222" s="306"/>
      <c r="U222" s="306"/>
      <c r="V222" s="306"/>
      <c r="W222" s="306"/>
      <c r="X222" s="306"/>
      <c r="Y222" s="306"/>
      <c r="Z222" s="306"/>
    </row>
    <row r="223" ht="12.75" customHeight="1">
      <c r="A223" s="306"/>
      <c r="B223" s="306"/>
      <c r="C223" s="306"/>
      <c r="D223" s="306"/>
      <c r="E223" s="306"/>
      <c r="F223" s="306"/>
      <c r="G223" s="306"/>
      <c r="H223" s="306"/>
      <c r="I223" s="306"/>
      <c r="J223" s="306"/>
      <c r="K223" s="306"/>
      <c r="L223" s="306"/>
      <c r="M223" s="306"/>
      <c r="N223" s="306"/>
      <c r="O223" s="306"/>
      <c r="P223" s="306"/>
      <c r="Q223" s="306"/>
      <c r="R223" s="306"/>
      <c r="S223" s="306"/>
      <c r="T223" s="306"/>
      <c r="U223" s="306"/>
      <c r="V223" s="306"/>
      <c r="W223" s="306"/>
      <c r="X223" s="306"/>
      <c r="Y223" s="306"/>
      <c r="Z223" s="306"/>
    </row>
    <row r="224" ht="12.75" customHeight="1">
      <c r="A224" s="306"/>
      <c r="B224" s="306"/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  <c r="T224" s="306"/>
      <c r="U224" s="306"/>
      <c r="V224" s="306"/>
      <c r="W224" s="306"/>
      <c r="X224" s="306"/>
      <c r="Y224" s="306"/>
      <c r="Z224" s="306"/>
    </row>
    <row r="225" ht="12.75" customHeight="1">
      <c r="A225" s="306"/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306"/>
      <c r="O225" s="306"/>
      <c r="P225" s="306"/>
      <c r="Q225" s="306"/>
      <c r="R225" s="306"/>
      <c r="S225" s="306"/>
      <c r="T225" s="306"/>
      <c r="U225" s="306"/>
      <c r="V225" s="306"/>
      <c r="W225" s="306"/>
      <c r="X225" s="306"/>
      <c r="Y225" s="306"/>
      <c r="Z225" s="306"/>
    </row>
    <row r="226" ht="12.75" customHeight="1">
      <c r="A226" s="306"/>
      <c r="B226" s="306"/>
      <c r="C226" s="306"/>
      <c r="D226" s="306"/>
      <c r="E226" s="306"/>
      <c r="F226" s="306"/>
      <c r="G226" s="306"/>
      <c r="H226" s="306"/>
      <c r="I226" s="306"/>
      <c r="J226" s="306"/>
      <c r="K226" s="306"/>
      <c r="L226" s="306"/>
      <c r="M226" s="306"/>
      <c r="N226" s="306"/>
      <c r="O226" s="306"/>
      <c r="P226" s="306"/>
      <c r="Q226" s="306"/>
      <c r="R226" s="306"/>
      <c r="S226" s="306"/>
      <c r="T226" s="306"/>
      <c r="U226" s="306"/>
      <c r="V226" s="306"/>
      <c r="W226" s="306"/>
      <c r="X226" s="306"/>
      <c r="Y226" s="306"/>
      <c r="Z226" s="306"/>
    </row>
    <row r="227" ht="12.75" customHeight="1">
      <c r="A227" s="306"/>
      <c r="B227" s="306"/>
      <c r="C227" s="306"/>
      <c r="D227" s="306"/>
      <c r="E227" s="306"/>
      <c r="F227" s="306"/>
      <c r="G227" s="306"/>
      <c r="H227" s="306"/>
      <c r="I227" s="306"/>
      <c r="J227" s="306"/>
      <c r="K227" s="306"/>
      <c r="L227" s="306"/>
      <c r="M227" s="306"/>
      <c r="N227" s="306"/>
      <c r="O227" s="306"/>
      <c r="P227" s="306"/>
      <c r="Q227" s="306"/>
      <c r="R227" s="306"/>
      <c r="S227" s="306"/>
      <c r="T227" s="306"/>
      <c r="U227" s="306"/>
      <c r="V227" s="306"/>
      <c r="W227" s="306"/>
      <c r="X227" s="306"/>
      <c r="Y227" s="306"/>
      <c r="Z227" s="306"/>
    </row>
    <row r="228" ht="12.75" customHeight="1">
      <c r="A228" s="306"/>
      <c r="B228" s="306"/>
      <c r="C228" s="306"/>
      <c r="D228" s="306"/>
      <c r="E228" s="306"/>
      <c r="F228" s="306"/>
      <c r="G228" s="306"/>
      <c r="H228" s="306"/>
      <c r="I228" s="306"/>
      <c r="J228" s="306"/>
      <c r="K228" s="306"/>
      <c r="L228" s="306"/>
      <c r="M228" s="306"/>
      <c r="N228" s="306"/>
      <c r="O228" s="306"/>
      <c r="P228" s="306"/>
      <c r="Q228" s="306"/>
      <c r="R228" s="306"/>
      <c r="S228" s="306"/>
      <c r="T228" s="306"/>
      <c r="U228" s="306"/>
      <c r="V228" s="306"/>
      <c r="W228" s="306"/>
      <c r="X228" s="306"/>
      <c r="Y228" s="306"/>
      <c r="Z228" s="306"/>
    </row>
    <row r="229" ht="12.75" customHeight="1">
      <c r="A229" s="306"/>
      <c r="B229" s="306"/>
      <c r="C229" s="306"/>
      <c r="D229" s="306"/>
      <c r="E229" s="306"/>
      <c r="F229" s="306"/>
      <c r="G229" s="306"/>
      <c r="H229" s="306"/>
      <c r="I229" s="306"/>
      <c r="J229" s="306"/>
      <c r="K229" s="306"/>
      <c r="L229" s="306"/>
      <c r="M229" s="306"/>
      <c r="N229" s="306"/>
      <c r="O229" s="306"/>
      <c r="P229" s="306"/>
      <c r="Q229" s="306"/>
      <c r="R229" s="306"/>
      <c r="S229" s="306"/>
      <c r="T229" s="306"/>
      <c r="U229" s="306"/>
      <c r="V229" s="306"/>
      <c r="W229" s="306"/>
      <c r="X229" s="306"/>
      <c r="Y229" s="306"/>
      <c r="Z229" s="306"/>
    </row>
    <row r="230" ht="12.75" customHeight="1">
      <c r="A230" s="306"/>
      <c r="B230" s="306"/>
      <c r="C230" s="306"/>
      <c r="D230" s="306"/>
      <c r="E230" s="306"/>
      <c r="F230" s="306"/>
      <c r="G230" s="306"/>
      <c r="H230" s="306"/>
      <c r="I230" s="306"/>
      <c r="J230" s="306"/>
      <c r="K230" s="306"/>
      <c r="L230" s="306"/>
      <c r="M230" s="306"/>
      <c r="N230" s="306"/>
      <c r="O230" s="306"/>
      <c r="P230" s="306"/>
      <c r="Q230" s="306"/>
      <c r="R230" s="306"/>
      <c r="S230" s="306"/>
      <c r="T230" s="306"/>
      <c r="U230" s="306"/>
      <c r="V230" s="306"/>
      <c r="W230" s="306"/>
      <c r="X230" s="306"/>
      <c r="Y230" s="306"/>
      <c r="Z230" s="306"/>
    </row>
    <row r="231" ht="12.75" customHeight="1">
      <c r="A231" s="306"/>
      <c r="B231" s="306"/>
      <c r="C231" s="306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  <c r="S231" s="306"/>
      <c r="T231" s="306"/>
      <c r="U231" s="306"/>
      <c r="V231" s="306"/>
      <c r="W231" s="306"/>
      <c r="X231" s="306"/>
      <c r="Y231" s="306"/>
      <c r="Z231" s="306"/>
    </row>
    <row r="232" ht="12.75" customHeight="1">
      <c r="A232" s="306"/>
      <c r="B232" s="306"/>
      <c r="C232" s="306"/>
      <c r="D232" s="306"/>
      <c r="E232" s="306"/>
      <c r="F232" s="306"/>
      <c r="G232" s="306"/>
      <c r="H232" s="306"/>
      <c r="I232" s="306"/>
      <c r="J232" s="306"/>
      <c r="K232" s="306"/>
      <c r="L232" s="306"/>
      <c r="M232" s="306"/>
      <c r="N232" s="306"/>
      <c r="O232" s="306"/>
      <c r="P232" s="306"/>
      <c r="Q232" s="306"/>
      <c r="R232" s="306"/>
      <c r="S232" s="306"/>
      <c r="T232" s="306"/>
      <c r="U232" s="306"/>
      <c r="V232" s="306"/>
      <c r="W232" s="306"/>
      <c r="X232" s="306"/>
      <c r="Y232" s="306"/>
      <c r="Z232" s="306"/>
    </row>
    <row r="233" ht="12.75" customHeight="1">
      <c r="A233" s="306"/>
      <c r="B233" s="306"/>
      <c r="C233" s="306"/>
      <c r="D233" s="306"/>
      <c r="E233" s="306"/>
      <c r="F233" s="306"/>
      <c r="G233" s="306"/>
      <c r="H233" s="306"/>
      <c r="I233" s="306"/>
      <c r="J233" s="306"/>
      <c r="K233" s="306"/>
      <c r="L233" s="306"/>
      <c r="M233" s="306"/>
      <c r="N233" s="306"/>
      <c r="O233" s="306"/>
      <c r="P233" s="306"/>
      <c r="Q233" s="306"/>
      <c r="R233" s="306"/>
      <c r="S233" s="306"/>
      <c r="T233" s="306"/>
      <c r="U233" s="306"/>
      <c r="V233" s="306"/>
      <c r="W233" s="306"/>
      <c r="X233" s="306"/>
      <c r="Y233" s="306"/>
      <c r="Z233" s="306"/>
    </row>
    <row r="234" ht="12.75" customHeight="1">
      <c r="A234" s="306"/>
      <c r="B234" s="306"/>
      <c r="C234" s="306"/>
      <c r="D234" s="306"/>
      <c r="E234" s="306"/>
      <c r="F234" s="306"/>
      <c r="G234" s="306"/>
      <c r="H234" s="306"/>
      <c r="I234" s="306"/>
      <c r="J234" s="306"/>
      <c r="K234" s="306"/>
      <c r="L234" s="306"/>
      <c r="M234" s="306"/>
      <c r="N234" s="306"/>
      <c r="O234" s="306"/>
      <c r="P234" s="306"/>
      <c r="Q234" s="306"/>
      <c r="R234" s="306"/>
      <c r="S234" s="306"/>
      <c r="T234" s="306"/>
      <c r="U234" s="306"/>
      <c r="V234" s="306"/>
      <c r="W234" s="306"/>
      <c r="X234" s="306"/>
      <c r="Y234" s="306"/>
      <c r="Z234" s="306"/>
    </row>
    <row r="235" ht="12.75" customHeight="1">
      <c r="A235" s="306"/>
      <c r="B235" s="306"/>
      <c r="C235" s="306"/>
      <c r="D235" s="306"/>
      <c r="E235" s="306"/>
      <c r="F235" s="306"/>
      <c r="G235" s="306"/>
      <c r="H235" s="306"/>
      <c r="I235" s="306"/>
      <c r="J235" s="306"/>
      <c r="K235" s="306"/>
      <c r="L235" s="306"/>
      <c r="M235" s="306"/>
      <c r="N235" s="306"/>
      <c r="O235" s="306"/>
      <c r="P235" s="306"/>
      <c r="Q235" s="306"/>
      <c r="R235" s="306"/>
      <c r="S235" s="306"/>
      <c r="T235" s="306"/>
      <c r="U235" s="306"/>
      <c r="V235" s="306"/>
      <c r="W235" s="306"/>
      <c r="X235" s="306"/>
      <c r="Y235" s="306"/>
      <c r="Z235" s="306"/>
    </row>
    <row r="236" ht="12.75" customHeight="1">
      <c r="A236" s="306"/>
      <c r="B236" s="306"/>
      <c r="C236" s="306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306"/>
      <c r="O236" s="306"/>
      <c r="P236" s="306"/>
      <c r="Q236" s="306"/>
      <c r="R236" s="306"/>
      <c r="S236" s="306"/>
      <c r="T236" s="306"/>
      <c r="U236" s="306"/>
      <c r="V236" s="306"/>
      <c r="W236" s="306"/>
      <c r="X236" s="306"/>
      <c r="Y236" s="306"/>
      <c r="Z236" s="306"/>
    </row>
    <row r="237" ht="12.75" customHeight="1">
      <c r="A237" s="306"/>
      <c r="B237" s="306"/>
      <c r="C237" s="306"/>
      <c r="D237" s="306"/>
      <c r="E237" s="306"/>
      <c r="F237" s="306"/>
      <c r="G237" s="306"/>
      <c r="H237" s="306"/>
      <c r="I237" s="306"/>
      <c r="J237" s="306"/>
      <c r="K237" s="306"/>
      <c r="L237" s="306"/>
      <c r="M237" s="306"/>
      <c r="N237" s="306"/>
      <c r="O237" s="306"/>
      <c r="P237" s="306"/>
      <c r="Q237" s="306"/>
      <c r="R237" s="306"/>
      <c r="S237" s="306"/>
      <c r="T237" s="306"/>
      <c r="U237" s="306"/>
      <c r="V237" s="306"/>
      <c r="W237" s="306"/>
      <c r="X237" s="306"/>
      <c r="Y237" s="306"/>
      <c r="Z237" s="306"/>
    </row>
    <row r="238" ht="12.75" customHeight="1">
      <c r="A238" s="306"/>
      <c r="B238" s="306"/>
      <c r="C238" s="306"/>
      <c r="D238" s="306"/>
      <c r="E238" s="306"/>
      <c r="F238" s="306"/>
      <c r="G238" s="306"/>
      <c r="H238" s="306"/>
      <c r="I238" s="306"/>
      <c r="J238" s="306"/>
      <c r="K238" s="306"/>
      <c r="L238" s="306"/>
      <c r="M238" s="306"/>
      <c r="N238" s="306"/>
      <c r="O238" s="306"/>
      <c r="P238" s="306"/>
      <c r="Q238" s="306"/>
      <c r="R238" s="306"/>
      <c r="S238" s="306"/>
      <c r="T238" s="306"/>
      <c r="U238" s="306"/>
      <c r="V238" s="306"/>
      <c r="W238" s="306"/>
      <c r="X238" s="306"/>
      <c r="Y238" s="306"/>
      <c r="Z238" s="306"/>
    </row>
  </sheetData>
  <conditionalFormatting sqref="B38">
    <cfRule type="cellIs" dxfId="1" priority="1" operator="equal">
      <formula>"OK"</formula>
    </cfRule>
  </conditionalFormatting>
  <conditionalFormatting sqref="B38">
    <cfRule type="cellIs" dxfId="2" priority="2" operator="equal">
      <formula>"MAL"</formula>
    </cfRule>
  </conditionalFormatting>
  <conditionalFormatting sqref="C38">
    <cfRule type="cellIs" dxfId="1" priority="3" operator="equal">
      <formula>"OK"</formula>
    </cfRule>
  </conditionalFormatting>
  <conditionalFormatting sqref="C38">
    <cfRule type="cellIs" dxfId="2" priority="4" operator="equal">
      <formula>"MAL"</formula>
    </cfRule>
  </conditionalFormatting>
  <conditionalFormatting sqref="D38">
    <cfRule type="cellIs" dxfId="1" priority="5" operator="equal">
      <formula>"OK"</formula>
    </cfRule>
  </conditionalFormatting>
  <conditionalFormatting sqref="D38">
    <cfRule type="cellIs" dxfId="2" priority="6" operator="equal">
      <formula>"MAL"</formula>
    </cfRule>
  </conditionalFormatting>
  <conditionalFormatting sqref="E38">
    <cfRule type="cellIs" dxfId="1" priority="7" operator="equal">
      <formula>"OK"</formula>
    </cfRule>
  </conditionalFormatting>
  <conditionalFormatting sqref="E38">
    <cfRule type="cellIs" dxfId="2" priority="8" operator="equal">
      <formula>"MAL"</formula>
    </cfRule>
  </conditionalFormatting>
  <conditionalFormatting sqref="F38">
    <cfRule type="cellIs" dxfId="1" priority="9" operator="equal">
      <formula>"OK"</formula>
    </cfRule>
  </conditionalFormatting>
  <conditionalFormatting sqref="F38">
    <cfRule type="cellIs" dxfId="2" priority="10" operator="equal">
      <formula>"MAL"</formula>
    </cfRule>
  </conditionalFormatting>
  <conditionalFormatting sqref="G38">
    <cfRule type="cellIs" dxfId="1" priority="11" operator="equal">
      <formula>"OK"</formula>
    </cfRule>
  </conditionalFormatting>
  <conditionalFormatting sqref="G38">
    <cfRule type="cellIs" dxfId="2" priority="12" operator="equal">
      <formula>"MAL"</formula>
    </cfRule>
  </conditionalFormatting>
  <printOptions/>
  <pageMargins bottom="0.75" footer="0.0" header="0.0" left="0.7" right="0.7" top="0.75"/>
  <pageSetup paperSize="9"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pageSetUpPr/>
  </sheetPr>
  <sheetViews>
    <sheetView showGridLines="0" workbookViewId="0"/>
  </sheetViews>
  <sheetFormatPr customHeight="1" defaultColWidth="14.43" defaultRowHeight="15.0"/>
  <cols>
    <col customWidth="1" min="1" max="1" width="11.43"/>
    <col customWidth="1" min="2" max="2" width="11.86"/>
    <col customWidth="1" min="3" max="3" width="11.43"/>
    <col customWidth="1" min="4" max="4" width="12.57"/>
    <col customWidth="1" min="5" max="6" width="11.43"/>
    <col customWidth="1" min="7" max="7" width="14.57"/>
    <col customWidth="1" min="8" max="8" width="8.57"/>
    <col customWidth="1" min="9" max="9" width="11.43"/>
    <col customWidth="1" min="10" max="10" width="12.0"/>
    <col customWidth="1" min="11" max="11" width="18.57"/>
  </cols>
  <sheetData>
    <row r="1">
      <c r="D1" s="1" t="s">
        <v>23</v>
      </c>
    </row>
    <row r="3">
      <c r="B3" s="2" t="s">
        <v>24</v>
      </c>
      <c r="C3" s="3"/>
      <c r="D3" s="4"/>
      <c r="E3" s="8" t="s">
        <v>25</v>
      </c>
      <c r="F3" s="8"/>
    </row>
    <row r="5">
      <c r="B5" s="33" t="s">
        <v>26</v>
      </c>
      <c r="C5" s="3"/>
      <c r="D5" s="4"/>
      <c r="E5" s="6">
        <v>5.0</v>
      </c>
      <c r="F5" s="6" t="s">
        <v>27</v>
      </c>
    </row>
    <row r="6">
      <c r="B6" s="34"/>
      <c r="C6" s="34"/>
      <c r="D6" s="34"/>
      <c r="E6" s="34"/>
      <c r="F6" s="34"/>
    </row>
    <row r="7">
      <c r="B7" s="2" t="s">
        <v>28</v>
      </c>
      <c r="C7" s="3"/>
      <c r="D7" s="4"/>
      <c r="E7" s="30">
        <v>73.0</v>
      </c>
      <c r="F7" s="6" t="s">
        <v>29</v>
      </c>
    </row>
    <row r="11">
      <c r="B11" s="35" t="s">
        <v>30</v>
      </c>
      <c r="C11" s="36"/>
      <c r="D11" s="36"/>
      <c r="E11" s="36"/>
      <c r="F11" s="36"/>
      <c r="G11" s="37"/>
      <c r="H11" s="18">
        <v>101.60523483656486</v>
      </c>
      <c r="I11" s="38" t="s">
        <v>18</v>
      </c>
      <c r="J11" s="17"/>
      <c r="K11" s="38"/>
      <c r="M11" t="s">
        <v>31</v>
      </c>
      <c r="P11" t="e">
        <v>#REF!</v>
      </c>
    </row>
    <row r="12">
      <c r="B12" s="39" t="s">
        <v>32</v>
      </c>
      <c r="C12" s="36"/>
      <c r="D12" s="36"/>
      <c r="E12" s="36"/>
      <c r="F12" s="36"/>
      <c r="G12" s="37"/>
      <c r="H12" s="17">
        <v>1072.791630964394</v>
      </c>
      <c r="I12" s="38" t="s">
        <v>18</v>
      </c>
      <c r="J12" s="17"/>
      <c r="K12" s="38"/>
    </row>
    <row r="13">
      <c r="B13" s="35" t="s">
        <v>33</v>
      </c>
      <c r="C13" s="36"/>
      <c r="D13" s="36"/>
      <c r="E13" s="36"/>
      <c r="F13" s="36"/>
      <c r="G13" s="37"/>
      <c r="H13" s="18">
        <v>1174.396865800959</v>
      </c>
      <c r="I13" s="38" t="s">
        <v>18</v>
      </c>
      <c r="J13" s="17"/>
      <c r="K13" s="38"/>
      <c r="M13" t="s">
        <v>34</v>
      </c>
      <c r="P13" t="str">
        <f>'DIM TECNICO - Balance Anual - M'!F33*'DIM TECNICO - Evolución de la P'!H17</f>
        <v>16.37789971</v>
      </c>
    </row>
    <row r="14">
      <c r="B14" s="35" t="s">
        <v>35</v>
      </c>
      <c r="C14" s="36"/>
      <c r="D14" s="36"/>
      <c r="E14" s="36"/>
      <c r="F14" s="36"/>
      <c r="G14" s="37"/>
      <c r="H14" s="18">
        <v>935.4856854166666</v>
      </c>
      <c r="I14" s="38" t="s">
        <v>18</v>
      </c>
      <c r="J14" s="17"/>
      <c r="K14" s="38"/>
    </row>
    <row r="15">
      <c r="B15" s="35" t="s">
        <v>36</v>
      </c>
      <c r="C15" s="36"/>
      <c r="D15" s="36"/>
      <c r="E15" s="36"/>
      <c r="F15" s="36"/>
      <c r="G15" s="37"/>
      <c r="H15" s="18">
        <v>238.91118038429238</v>
      </c>
      <c r="I15" s="38" t="s">
        <v>18</v>
      </c>
      <c r="J15" s="18"/>
      <c r="K15" s="38"/>
      <c r="M15" t="s">
        <v>37</v>
      </c>
      <c r="P15" t="e">
        <v>#REF!</v>
      </c>
    </row>
    <row r="18">
      <c r="B18" s="40" t="s">
        <v>38</v>
      </c>
      <c r="J18" s="41">
        <v>20.769657534246573</v>
      </c>
      <c r="K18" s="34" t="s">
        <v>18</v>
      </c>
    </row>
    <row r="20">
      <c r="B20" s="42" t="s">
        <v>39</v>
      </c>
      <c r="C20" s="3"/>
      <c r="D20" s="3"/>
      <c r="E20" s="4"/>
    </row>
    <row r="21" ht="15.75" customHeight="1">
      <c r="B21" s="43" t="s">
        <v>40</v>
      </c>
      <c r="C21" s="44"/>
      <c r="D21" s="44"/>
      <c r="E21" s="45"/>
      <c r="F21" s="18">
        <v>16.778410270671756</v>
      </c>
      <c r="G21" s="38" t="s">
        <v>18</v>
      </c>
    </row>
    <row r="22" ht="15.75" customHeight="1">
      <c r="B22" s="46" t="s">
        <v>41</v>
      </c>
      <c r="C22" s="36"/>
      <c r="D22" s="36"/>
      <c r="E22" s="37"/>
      <c r="F22" s="18">
        <v>3.9912472635748166</v>
      </c>
      <c r="G22" s="38" t="s">
        <v>18</v>
      </c>
    </row>
    <row r="23" ht="15.75" customHeight="1">
      <c r="B23" s="46" t="s">
        <v>42</v>
      </c>
      <c r="C23" s="36"/>
      <c r="D23" s="36"/>
      <c r="E23" s="37"/>
      <c r="F23" s="38">
        <v>0.0</v>
      </c>
      <c r="G23" s="38" t="s">
        <v>18</v>
      </c>
    </row>
    <row r="24" ht="15.75" customHeight="1">
      <c r="B24" s="47" t="s">
        <v>43</v>
      </c>
      <c r="C24" s="36"/>
      <c r="D24" s="36"/>
      <c r="E24" s="37"/>
      <c r="F24" s="18">
        <v>20.769657534246573</v>
      </c>
      <c r="G24" s="38" t="s">
        <v>18</v>
      </c>
    </row>
    <row r="25" ht="15.75" customHeight="1"/>
    <row r="26" ht="15.75" customHeight="1">
      <c r="B26" s="42" t="s">
        <v>44</v>
      </c>
      <c r="C26" s="3"/>
      <c r="D26" s="3"/>
      <c r="E26" s="4"/>
    </row>
    <row r="27" ht="15.75" customHeight="1">
      <c r="B27" s="46" t="s">
        <v>45</v>
      </c>
      <c r="C27" s="36"/>
      <c r="D27" s="37"/>
      <c r="E27" s="18">
        <v>1174.396865800959</v>
      </c>
      <c r="F27" s="38" t="s">
        <v>18</v>
      </c>
      <c r="G27" s="18"/>
      <c r="H27" s="38"/>
    </row>
    <row r="28" ht="15.75" customHeight="1">
      <c r="B28" s="46" t="s">
        <v>46</v>
      </c>
      <c r="C28" s="36"/>
      <c r="D28" s="37"/>
      <c r="E28" s="18">
        <v>20.769657534246573</v>
      </c>
      <c r="F28" s="38" t="s">
        <v>18</v>
      </c>
      <c r="G28" s="18"/>
      <c r="H28" s="38"/>
    </row>
    <row r="29" ht="15.75" customHeight="1">
      <c r="B29" s="46" t="s">
        <v>47</v>
      </c>
      <c r="C29" s="36"/>
      <c r="D29" s="37"/>
      <c r="E29" s="18">
        <v>1195.1665233352055</v>
      </c>
      <c r="F29" s="38" t="s">
        <v>18</v>
      </c>
      <c r="G29" s="18"/>
      <c r="H29" s="38"/>
    </row>
    <row r="30" ht="15.75" customHeight="1"/>
    <row r="31" ht="15.75" customHeight="1">
      <c r="B31" s="42" t="s">
        <v>48</v>
      </c>
      <c r="C31" s="3"/>
      <c r="D31" s="3"/>
      <c r="E31" s="4"/>
    </row>
    <row r="32" ht="15.75" customHeight="1">
      <c r="B32" s="46" t="s">
        <v>49</v>
      </c>
      <c r="C32" s="36"/>
      <c r="D32" s="37"/>
      <c r="E32" s="18">
        <v>1430.388841285859</v>
      </c>
      <c r="F32" s="38" t="s">
        <v>18</v>
      </c>
      <c r="G32" s="18"/>
      <c r="H32" s="38"/>
    </row>
    <row r="33" ht="15.75" customHeight="1">
      <c r="B33" s="46" t="s">
        <v>50</v>
      </c>
      <c r="C33" s="36"/>
      <c r="D33" s="37"/>
      <c r="E33" s="38">
        <v>1155.5149999999999</v>
      </c>
      <c r="F33" s="38" t="s">
        <v>18</v>
      </c>
      <c r="G33" s="38"/>
      <c r="H33" s="38"/>
    </row>
    <row r="34" ht="15.75" customHeight="1">
      <c r="B34" s="46" t="s">
        <v>51</v>
      </c>
      <c r="C34" s="36"/>
      <c r="D34" s="37"/>
      <c r="E34" s="38">
        <v>274.87384128585904</v>
      </c>
      <c r="F34" s="38" t="s">
        <v>18</v>
      </c>
      <c r="G34" s="18"/>
      <c r="H34" s="38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</sheetData>
  <mergeCells count="21">
    <mergeCell ref="B27:D27"/>
    <mergeCell ref="B26:E26"/>
    <mergeCell ref="B23:E23"/>
    <mergeCell ref="B21:E21"/>
    <mergeCell ref="B22:E22"/>
    <mergeCell ref="B28:D28"/>
    <mergeCell ref="B29:D29"/>
    <mergeCell ref="B24:E24"/>
    <mergeCell ref="B20:E20"/>
    <mergeCell ref="B13:G13"/>
    <mergeCell ref="B11:G11"/>
    <mergeCell ref="B12:G12"/>
    <mergeCell ref="B3:D3"/>
    <mergeCell ref="B5:D5"/>
    <mergeCell ref="B14:G14"/>
    <mergeCell ref="B15:G15"/>
    <mergeCell ref="B7:D7"/>
    <mergeCell ref="B32:D32"/>
    <mergeCell ref="B34:D34"/>
    <mergeCell ref="B33:D33"/>
    <mergeCell ref="B31:E31"/>
  </mergeCells>
  <printOptions/>
  <pageMargins bottom="0.75" footer="0.0" header="0.0" left="0.7" right="0.7" top="0.75"/>
  <pageSetup orientation="landscape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40.86"/>
    <col customWidth="1" min="2" max="3" width="15.29"/>
    <col customWidth="1" min="4" max="4" width="37.14"/>
    <col customWidth="1" min="5" max="6" width="15.29"/>
    <col customWidth="1" min="7" max="7" width="16.43"/>
    <col customWidth="1" min="8" max="8" width="16.57"/>
    <col customWidth="1" min="9" max="9" width="17.29"/>
    <col customWidth="1" min="10" max="10" width="15.29"/>
    <col customWidth="1" min="11" max="11" width="20.14"/>
    <col customWidth="1" min="12" max="14" width="11.29"/>
    <col customWidth="1" min="15" max="26" width="9.0"/>
  </cols>
  <sheetData>
    <row r="1" ht="14.25" customHeight="1">
      <c r="A1" s="320" t="s">
        <v>488</v>
      </c>
      <c r="E1" s="321" t="str">
        <f>InfoInicial!E1</f>
        <v>10</v>
      </c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ht="13.5" customHeigh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</row>
    <row r="3" ht="16.5" customHeight="1">
      <c r="A3" s="478" t="s">
        <v>944</v>
      </c>
      <c r="B3" s="479"/>
      <c r="C3" s="479"/>
      <c r="D3" s="479"/>
      <c r="E3" s="479"/>
      <c r="F3" s="479"/>
      <c r="G3" s="621"/>
      <c r="H3" s="480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</row>
    <row r="4" ht="12.75" customHeight="1">
      <c r="A4" s="443"/>
      <c r="B4" s="408" t="s">
        <v>542</v>
      </c>
      <c r="C4" s="408" t="s">
        <v>44</v>
      </c>
      <c r="D4" s="408" t="s">
        <v>430</v>
      </c>
      <c r="E4" s="408" t="s">
        <v>431</v>
      </c>
      <c r="F4" s="408" t="s">
        <v>432</v>
      </c>
      <c r="G4" s="405" t="s">
        <v>433</v>
      </c>
      <c r="H4" s="438" t="s">
        <v>282</v>
      </c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</row>
    <row r="5" ht="14.25" customHeight="1">
      <c r="A5" s="622" t="s">
        <v>945</v>
      </c>
      <c r="B5" s="481" t="str">
        <f t="shared" ref="B5:H5" si="1">SUM(B6:B11)</f>
        <v>  37,455,528.81 </v>
      </c>
      <c r="C5" s="481" t="str">
        <f t="shared" si="1"/>
        <v>  22,710,907.69 </v>
      </c>
      <c r="D5" s="481" t="str">
        <f t="shared" si="1"/>
        <v>  23,425,232.12 </v>
      </c>
      <c r="E5" s="481" t="str">
        <f t="shared" si="1"/>
        <v>  25,687,970.56 </v>
      </c>
      <c r="F5" s="481" t="str">
        <f t="shared" si="1"/>
        <v>  27,180,317.47 </v>
      </c>
      <c r="G5" s="481" t="str">
        <f t="shared" si="1"/>
        <v>  27,465,772.60 </v>
      </c>
      <c r="H5" s="482" t="str">
        <f t="shared" si="1"/>
        <v>  163,925,729.24 </v>
      </c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</row>
    <row r="6" ht="14.25" customHeight="1">
      <c r="A6" s="623" t="s">
        <v>946</v>
      </c>
      <c r="B6" s="393" t="s">
        <v>240</v>
      </c>
      <c r="C6" s="393">
        <v>0.0</v>
      </c>
      <c r="D6" s="393" t="str">
        <f t="shared" ref="D6:G6" si="2">C27</f>
        <v> $ -   </v>
      </c>
      <c r="E6" s="393" t="str">
        <f t="shared" si="2"/>
        <v> $ 2,121,449.31 </v>
      </c>
      <c r="F6" s="393" t="str">
        <f t="shared" si="2"/>
        <v> $ 5,177,007.12 </v>
      </c>
      <c r="G6" s="393" t="str">
        <f t="shared" si="2"/>
        <v> $ 6,270,772.60 </v>
      </c>
      <c r="H6" s="444" t="str">
        <f t="shared" ref="H6:H11" si="3">SUM(B6:G6)</f>
        <v> $ 13,569,229.03 </v>
      </c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</row>
    <row r="7" ht="14.25" customHeight="1">
      <c r="A7" s="623" t="s">
        <v>947</v>
      </c>
      <c r="B7" s="613" t="str">
        <f>'F-2 Estructura'!B31</f>
        <v>  20,630,307.21 </v>
      </c>
      <c r="C7" s="613" t="str">
        <f>'F-2 Estructura'!C31-C30</f>
        <v>  3,071,176.80 </v>
      </c>
      <c r="D7" s="613">
        <v>0.0</v>
      </c>
      <c r="E7" s="613">
        <v>0.0</v>
      </c>
      <c r="F7" s="613">
        <v>0.0</v>
      </c>
      <c r="G7" s="613">
        <v>0.0</v>
      </c>
      <c r="H7" s="444" t="str">
        <f t="shared" si="3"/>
        <v> $ 23,701,484.01 </v>
      </c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</row>
    <row r="8" ht="14.25" customHeight="1">
      <c r="A8" s="623" t="s">
        <v>948</v>
      </c>
      <c r="B8" s="393" t="str">
        <f>'F-2 Estructura'!B29</f>
        <v> $ -   </v>
      </c>
      <c r="C8" s="393" t="str">
        <f>'F-2 Estructura'!C29</f>
        <v> $ 1,327,712.59 </v>
      </c>
      <c r="D8" s="393">
        <v>0.0</v>
      </c>
      <c r="E8" s="393">
        <v>0.0</v>
      </c>
      <c r="F8" s="393">
        <v>0.0</v>
      </c>
      <c r="G8" s="393">
        <v>0.0</v>
      </c>
      <c r="H8" s="444" t="str">
        <f t="shared" si="3"/>
        <v> $ 1,327,712.59 </v>
      </c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</row>
    <row r="9" ht="14.25" customHeight="1">
      <c r="A9" s="623" t="s">
        <v>949</v>
      </c>
      <c r="B9" s="613" t="str">
        <f>'F-2 Estructura'!B30</f>
        <v>  16,825,221.60 </v>
      </c>
      <c r="C9" s="613" t="str">
        <f>'F-2 Estructura'!C30</f>
        <v>  -   </v>
      </c>
      <c r="D9" s="613">
        <v>0.0</v>
      </c>
      <c r="E9" s="613">
        <v>0.0</v>
      </c>
      <c r="F9" s="613">
        <v>0.0</v>
      </c>
      <c r="G9" s="613">
        <v>0.0</v>
      </c>
      <c r="H9" s="444" t="str">
        <f t="shared" si="3"/>
        <v> $ 16,825,221.60 </v>
      </c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</row>
    <row r="10" ht="14.25" customHeight="1">
      <c r="A10" s="623" t="s">
        <v>950</v>
      </c>
      <c r="B10" s="393">
        <v>0.0</v>
      </c>
      <c r="C10" s="393" t="str">
        <f>'F-CRes'!B4</f>
        <v> $ 16,956,000.00 </v>
      </c>
      <c r="D10" s="393" t="str">
        <f>'F-CRes'!C4</f>
        <v> $ 21,195,000.00 </v>
      </c>
      <c r="E10" s="393" t="str">
        <f>'F-CRes'!D4</f>
        <v> $ 21,195,000.00 </v>
      </c>
      <c r="F10" s="393" t="str">
        <f>'F-CRes'!E4</f>
        <v> $ 21,195,000.00 </v>
      </c>
      <c r="G10" s="393" t="str">
        <f>'F-CRes'!F4</f>
        <v> $ 21,195,000.00 </v>
      </c>
      <c r="H10" s="444" t="str">
        <f t="shared" si="3"/>
        <v> $ 101,736,000.00 </v>
      </c>
      <c r="I10" s="298" t="str">
        <f>H10-'F-CRes'!G4</f>
        <v> $ -   </v>
      </c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</row>
    <row r="11" ht="14.25" customHeight="1">
      <c r="A11" s="623" t="s">
        <v>951</v>
      </c>
      <c r="B11" s="481" t="str">
        <f>'F-IVA'!B19</f>
        <v/>
      </c>
      <c r="C11" s="481" t="str">
        <f>'F-IVA'!C19</f>
        <v>  1,356,018.30 </v>
      </c>
      <c r="D11" s="481" t="str">
        <f>'F-IVA'!D19</f>
        <v>  2,230,232.12 </v>
      </c>
      <c r="E11" s="481" t="str">
        <f>'F-IVA'!E19</f>
        <v>  2,371,521.24 </v>
      </c>
      <c r="F11" s="481" t="str">
        <f>'F-IVA'!F19</f>
        <v>  808,310.35 </v>
      </c>
      <c r="G11" s="481" t="str">
        <f>'F-IVA'!G19</f>
        <v>  -   </v>
      </c>
      <c r="H11" s="444" t="str">
        <f t="shared" si="3"/>
        <v> $ 6,766,082.01 </v>
      </c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</row>
    <row r="12" ht="14.25" customHeight="1">
      <c r="A12" s="623"/>
      <c r="B12" s="393"/>
      <c r="C12" s="393"/>
      <c r="D12" s="393"/>
      <c r="E12" s="393"/>
      <c r="F12" s="393"/>
      <c r="G12" s="522"/>
      <c r="H12" s="444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</row>
    <row r="13" ht="14.25" customHeight="1">
      <c r="A13" s="622" t="s">
        <v>952</v>
      </c>
      <c r="B13" s="393" t="str">
        <f t="shared" ref="B13:H13" si="4">SUM(B14:B22)</f>
        <v> $ 37,455,528.81 </v>
      </c>
      <c r="C13" s="393" t="str">
        <f t="shared" si="4"/>
        <v> $ 25,558,208.26 </v>
      </c>
      <c r="D13" s="393" t="str">
        <f t="shared" si="4"/>
        <v> $ 24,151,083.37 </v>
      </c>
      <c r="E13" s="393" t="str">
        <f t="shared" si="4"/>
        <v> $ 23,358,264.00 </v>
      </c>
      <c r="F13" s="393" t="str">
        <f t="shared" si="4"/>
        <v> $ 22,915,584.36 </v>
      </c>
      <c r="G13" s="393" t="str">
        <f t="shared" si="4"/>
        <v> $ 22,472,879.13 </v>
      </c>
      <c r="H13" s="444" t="str">
        <f t="shared" si="4"/>
        <v> $ 155,911,547.91 </v>
      </c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</row>
    <row r="14" ht="14.25" customHeight="1">
      <c r="A14" s="623" t="s">
        <v>953</v>
      </c>
      <c r="B14" s="613" t="str">
        <f>'E-Cal Inv.'!B8+'E-Cal Inv.'!C8+'F-Cred'!G21+'F-Cred'!I21</f>
        <v>  30,333,730.76 </v>
      </c>
      <c r="C14" s="613" t="str">
        <f>'E-Cal Inv.'!D8</f>
        <v>  278,655.36 </v>
      </c>
      <c r="D14" s="613">
        <v>0.0</v>
      </c>
      <c r="E14" s="613">
        <v>0.0</v>
      </c>
      <c r="F14" s="613">
        <v>0.0</v>
      </c>
      <c r="G14" s="613">
        <v>0.0</v>
      </c>
      <c r="H14" s="624" t="str">
        <f t="shared" ref="H14:H22" si="5">SUM(B14:G14)</f>
        <v>  30,612,386.12 </v>
      </c>
      <c r="I14" s="619" t="str">
        <f>H14-H25</f>
        <v>  18,058,405.46 </v>
      </c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</row>
    <row r="15" ht="14.25" customHeight="1">
      <c r="A15" s="623" t="s">
        <v>598</v>
      </c>
      <c r="B15" s="393" t="str">
        <f>'E-InvAT'!B24</f>
        <v> $ 680,107.26 </v>
      </c>
      <c r="C15" s="393" t="str">
        <f>'E-InvAT'!C24</f>
        <v> $ 2,828,145.16 </v>
      </c>
      <c r="D15" s="393" t="str">
        <f>'E-InvAT'!D24</f>
        <v> $ 347,189.96 </v>
      </c>
      <c r="E15" s="393" t="str">
        <f>'E-InvAT'!E24</f>
        <v> $ (25.59)</v>
      </c>
      <c r="F15" s="393" t="str">
        <f>'E-InvAT'!F24</f>
        <v> $ -   </v>
      </c>
      <c r="G15" s="393" t="str">
        <f>'E-InvAT'!G24</f>
        <v> $ -   </v>
      </c>
      <c r="H15" s="624" t="str">
        <f t="shared" si="5"/>
        <v>  3,855,416.79 </v>
      </c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</row>
    <row r="16" ht="14.25" customHeight="1">
      <c r="A16" s="623" t="s">
        <v>954</v>
      </c>
      <c r="B16" s="625">
        <v>0.0</v>
      </c>
      <c r="C16" s="625" t="str">
        <f>'F-CRes'!B5+'F-CRes'!B8+'F-CRes'!B9+'F-CRes'!B10</f>
        <v> $ 18,763,291.4316 </v>
      </c>
      <c r="D16" s="625" t="str">
        <f>'F-CRes'!C5+'F-CRes'!C8+'F-CRes'!C9+'F-CRes'!C10</f>
        <v> $ 19,928,327.4973 </v>
      </c>
      <c r="E16" s="625" t="str">
        <f>'F-CRes'!D5+'F-CRes'!D8+'F-CRes'!D9+'F-CRes'!D10</f>
        <v> $ 19,185,376.7018 </v>
      </c>
      <c r="F16" s="625" t="str">
        <f>'F-CRes'!E5+'F-CRes'!E8+'F-CRes'!E9+'F-CRes'!E10</f>
        <v> $ 18,445,066.9514 </v>
      </c>
      <c r="G16" s="625" t="str">
        <f>'F-CRes'!F5+'F-CRes'!F8+'F-CRes'!F9+'F-CRes'!F10</f>
        <v> $ 17,704,757.2010 </v>
      </c>
      <c r="H16" s="626" t="str">
        <f t="shared" si="5"/>
        <v>  94,026,819.78321 </v>
      </c>
      <c r="I16" s="627" t="str">
        <f>H16-'F-CRes'!G5-'F-CRes'!G8-'F-CRes'!G9-'F-CRes'!G10</f>
        <v>  (0.0000000111759)</v>
      </c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</row>
    <row r="17" ht="14.25" customHeight="1">
      <c r="A17" s="623" t="s">
        <v>955</v>
      </c>
      <c r="B17" s="393">
        <v>0.0</v>
      </c>
      <c r="C17" s="393" t="str">
        <f>'F-CRes'!B13</f>
        <v> $ -   </v>
      </c>
      <c r="D17" s="393" t="str">
        <f>'F-CRes'!C13</f>
        <v> $ 407,868.55 </v>
      </c>
      <c r="E17" s="393" t="str">
        <f>'F-CRes'!D13</f>
        <v> $ 647,098.70 </v>
      </c>
      <c r="F17" s="393" t="str">
        <f>'F-CRes'!E13</f>
        <v> $ 885,478.44 </v>
      </c>
      <c r="G17" s="393" t="str">
        <f>'F-CRes'!F13</f>
        <v> $ 1,123,858.18 </v>
      </c>
      <c r="H17" s="624" t="str">
        <f t="shared" si="5"/>
        <v>  3,064,303.87 </v>
      </c>
      <c r="I17" s="619" t="str">
        <f>H17-'F-CRes'!G13</f>
        <v>  -   </v>
      </c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</row>
    <row r="18" ht="14.25" customHeight="1">
      <c r="A18" s="623" t="s">
        <v>956</v>
      </c>
      <c r="B18" s="616"/>
      <c r="C18" s="616" t="str">
        <f>'F-Cred'!$E24</f>
        <v>  3,365,044.32 </v>
      </c>
      <c r="D18" s="616" t="str">
        <f>'F-Cred'!$E28</f>
        <v>  3,365,044.32 </v>
      </c>
      <c r="E18" s="616" t="str">
        <f>'F-Cred'!$E26</f>
        <v>  3,365,044.32 </v>
      </c>
      <c r="F18" s="616" t="str">
        <f>'F-Cred'!$E30</f>
        <v>  3,365,044.32 </v>
      </c>
      <c r="G18" s="616" t="str">
        <f>'F-Cred'!$E32</f>
        <v>  3,365,044.32 </v>
      </c>
      <c r="H18" s="624" t="str">
        <f t="shared" si="5"/>
        <v>  16,825,221.60 </v>
      </c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</row>
    <row r="19" ht="14.25" customHeight="1">
      <c r="A19" s="623" t="s">
        <v>957</v>
      </c>
      <c r="B19" s="393">
        <v>0.0</v>
      </c>
      <c r="C19" s="393" t="str">
        <f>'F-CRes'!B12</f>
        <v> $ -   </v>
      </c>
      <c r="D19" s="393" t="str">
        <f>'F-CRes'!C12</f>
        <v> $ 101,333.80 </v>
      </c>
      <c r="E19" s="393" t="str">
        <f>'F-CRes'!D12</f>
        <v> $ 160,769.86 </v>
      </c>
      <c r="F19" s="393" t="str">
        <f>'F-CRes'!E12</f>
        <v> $ 219,994.64 </v>
      </c>
      <c r="G19" s="393" t="str">
        <f>'F-CRes'!F12</f>
        <v> $ 279,219.42 </v>
      </c>
      <c r="H19" s="624" t="str">
        <f t="shared" si="5"/>
        <v>  761,317.73 </v>
      </c>
      <c r="I19" s="619" t="str">
        <f>H19-'F-CRes'!G12</f>
        <v>  -   </v>
      </c>
      <c r="J19" s="298" t="str">
        <f>H7-H8+H14+H15</f>
        <v> $ 56,841,574.34 </v>
      </c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</row>
    <row r="20" ht="14.25" customHeight="1">
      <c r="A20" s="623" t="s">
        <v>958</v>
      </c>
      <c r="B20" s="613">
        <v>0.0</v>
      </c>
      <c r="C20" s="613">
        <v>0.0</v>
      </c>
      <c r="D20" s="613">
        <v>0.0</v>
      </c>
      <c r="E20" s="613">
        <v>0.0</v>
      </c>
      <c r="F20" s="613">
        <v>0.0</v>
      </c>
      <c r="G20" s="613">
        <v>0.0</v>
      </c>
      <c r="H20" s="624" t="str">
        <f t="shared" si="5"/>
        <v>  -   </v>
      </c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</row>
    <row r="21" ht="14.25" customHeight="1">
      <c r="A21" s="623" t="s">
        <v>959</v>
      </c>
      <c r="B21" s="393" t="str">
        <f>'F-2 Estructura'!B9+'F-2 Estructura'!B21</f>
        <v> $ 6,441,690.78 </v>
      </c>
      <c r="C21" s="393" t="str">
        <f>'F-2 Estructura'!C9+'F-2 Estructura'!C21</f>
        <v> $ 323,071.99 </v>
      </c>
      <c r="D21" s="393" t="str">
        <f>'F-IVA'!D17</f>
        <v> $ 1,319.24 </v>
      </c>
      <c r="E21" s="393" t="str">
        <f>'F-IVA'!E17</f>
        <v> $ -   </v>
      </c>
      <c r="F21" s="393" t="str">
        <f>'F-IVA'!F17</f>
        <v> $ -   </v>
      </c>
      <c r="G21" s="393" t="str">
        <f>'F-IVA'!G17</f>
        <v> $ -   </v>
      </c>
      <c r="H21" s="624" t="str">
        <f t="shared" si="5"/>
        <v>  6,766,082.01 </v>
      </c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</row>
    <row r="22" ht="14.25" customHeight="1">
      <c r="A22" s="623" t="s">
        <v>960</v>
      </c>
      <c r="B22" s="481"/>
      <c r="C22" s="481"/>
      <c r="D22" s="481"/>
      <c r="E22" s="481"/>
      <c r="F22" s="481"/>
      <c r="G22" s="628"/>
      <c r="H22" s="624" t="str">
        <f t="shared" si="5"/>
        <v>  -   </v>
      </c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</row>
    <row r="23" ht="14.25" customHeight="1">
      <c r="A23" s="623"/>
      <c r="B23" s="393"/>
      <c r="C23" s="393"/>
      <c r="D23" s="393"/>
      <c r="E23" s="393"/>
      <c r="F23" s="393"/>
      <c r="G23" s="522"/>
      <c r="H23" s="444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</row>
    <row r="24" ht="14.25" customHeight="1">
      <c r="A24" s="622" t="s">
        <v>961</v>
      </c>
      <c r="B24" s="393" t="str">
        <f t="shared" ref="B24:H24" si="6">B5-B13</f>
        <v> $ 0.00 </v>
      </c>
      <c r="C24" s="393" t="str">
        <f t="shared" si="6"/>
        <v> $ (2,847,300.56)</v>
      </c>
      <c r="D24" s="393" t="str">
        <f t="shared" si="6"/>
        <v> $ (725,851.25)</v>
      </c>
      <c r="E24" s="393" t="str">
        <f t="shared" si="6"/>
        <v> $ 2,329,706.56 </v>
      </c>
      <c r="F24" s="393" t="str">
        <f t="shared" si="6"/>
        <v> $ 4,264,733.11 </v>
      </c>
      <c r="G24" s="393" t="str">
        <f t="shared" si="6"/>
        <v> $ 4,992,893.47 </v>
      </c>
      <c r="H24" s="444" t="str">
        <f t="shared" si="6"/>
        <v> $ 8,014,181.33 </v>
      </c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</row>
    <row r="25" ht="14.25" customHeight="1">
      <c r="A25" s="622" t="s">
        <v>962</v>
      </c>
      <c r="B25" s="588">
        <v>0.0</v>
      </c>
      <c r="C25" s="588" t="str">
        <f>'E-Inv AF y Am'!D57+('F-Cred'!G21+'F-Cred'!I21)/3</f>
        <v> $ 2,847,300.56 </v>
      </c>
      <c r="D25" s="588" t="str">
        <f t="shared" ref="D25:E25" si="7">C25</f>
        <v> $ 2,847,300.56 </v>
      </c>
      <c r="E25" s="588" t="str">
        <f t="shared" si="7"/>
        <v> $ 2,847,300.56 </v>
      </c>
      <c r="F25" s="588" t="str">
        <f>'E-Inv AF y Am'!E57</f>
        <v> $ 2,006,039.48 </v>
      </c>
      <c r="G25" s="595" t="str">
        <f>F25</f>
        <v> $ 2,006,039.48 </v>
      </c>
      <c r="H25" s="629" t="str">
        <f>SUM(B25:G25)</f>
        <v> $ 12,553,980.66 </v>
      </c>
      <c r="I25" s="630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</row>
    <row r="26" ht="14.25" customHeight="1">
      <c r="A26" s="622"/>
      <c r="B26" s="393"/>
      <c r="C26" s="393"/>
      <c r="D26" s="393"/>
      <c r="E26" s="393"/>
      <c r="F26" s="393"/>
      <c r="G26" s="522"/>
      <c r="H26" s="444"/>
      <c r="I26" s="306"/>
      <c r="J26" s="631" t="str">
        <f>'F- CFyU'!H10-'F- CFyU'!H16-'F- CFyU'!H19-'F- CFyU'!H17</f>
        <v> $ 3,883,558.614 </v>
      </c>
      <c r="K26" s="631" t="str">
        <f>H10-H16-H17-H19</f>
        <v> $ 3,883,558.614 </v>
      </c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</row>
    <row r="27" ht="14.25" customHeight="1">
      <c r="A27" s="622" t="s">
        <v>963</v>
      </c>
      <c r="B27" s="392">
        <v>0.0</v>
      </c>
      <c r="C27" s="392" t="str">
        <f t="shared" ref="C27:G27" si="8">C24+C25</f>
        <v> $ -   </v>
      </c>
      <c r="D27" s="392" t="str">
        <f t="shared" si="8"/>
        <v> $ 2,121,449.31 </v>
      </c>
      <c r="E27" s="392" t="str">
        <f t="shared" si="8"/>
        <v> $ 5,177,007.12 </v>
      </c>
      <c r="F27" s="392" t="str">
        <f t="shared" si="8"/>
        <v> $ 6,270,772.60 </v>
      </c>
      <c r="G27" s="392" t="str">
        <f t="shared" si="8"/>
        <v> $ 6,998,932.95 </v>
      </c>
      <c r="H27" s="490" t="str">
        <f>G27</f>
        <v> $ 6,998,932.95 </v>
      </c>
      <c r="I27" s="306"/>
      <c r="J27" s="306"/>
      <c r="K27" s="632" t="str">
        <f>K26-J26</f>
        <v> $ -  .000000000000 </v>
      </c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</row>
    <row r="28" ht="14.25" customHeight="1">
      <c r="A28" s="446" t="s">
        <v>964</v>
      </c>
      <c r="B28" s="633" t="str">
        <f>B27</f>
        <v> $ -   </v>
      </c>
      <c r="C28" s="633" t="str">
        <f t="shared" ref="C28:G28" si="9">C27-C6</f>
        <v> $ -   </v>
      </c>
      <c r="D28" s="633" t="str">
        <f t="shared" si="9"/>
        <v> $ 2,121,449.31 </v>
      </c>
      <c r="E28" s="633" t="str">
        <f t="shared" si="9"/>
        <v> $ 3,055,557.81 </v>
      </c>
      <c r="F28" s="633" t="str">
        <f t="shared" si="9"/>
        <v> $ 1,093,765.48 </v>
      </c>
      <c r="G28" s="633" t="str">
        <f t="shared" si="9"/>
        <v> $ 728,160.36 </v>
      </c>
      <c r="H28" s="513" t="str">
        <f>SUM(B28:G28)</f>
        <v> $ 6,998,932.95 </v>
      </c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</row>
    <row r="29" ht="12.75" customHeight="1">
      <c r="A29" s="306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</row>
    <row r="30" ht="12.75" customHeight="1">
      <c r="A30" s="306"/>
      <c r="B30" s="306"/>
      <c r="C30" s="306">
        <v>-1078568.0267762132</v>
      </c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</row>
    <row r="31" ht="12.75" customHeight="1">
      <c r="A31" s="306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</row>
    <row r="32" ht="12.75" customHeight="1">
      <c r="A32" s="306"/>
      <c r="B32" s="306"/>
      <c r="C32" s="306"/>
      <c r="D32" s="634" t="str">
        <f>'F- CFyU'!H28-'F- CFyU'!H7-'F- CFyU'!H8+'F- CFyU'!H14-'F- CFyU'!H25+'F- CFyU'!H15</f>
        <v> $ 3,883,558.61415023 </v>
      </c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</row>
    <row r="33" ht="12.75" customHeight="1">
      <c r="A33" s="306"/>
      <c r="B33" s="306"/>
      <c r="C33" s="635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</row>
    <row r="34" ht="12.75" customHeight="1">
      <c r="A34" s="306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</row>
    <row r="35" ht="12.75" customHeight="1">
      <c r="A35" s="306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</row>
    <row r="36" ht="12.75" customHeight="1">
      <c r="A36" s="306"/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</row>
    <row r="37" ht="12.75" customHeight="1">
      <c r="A37" s="30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</row>
    <row r="38" ht="12.75" customHeight="1">
      <c r="A38" s="306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</row>
    <row r="39" ht="12.75" customHeight="1">
      <c r="A39" s="306"/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</row>
    <row r="40" ht="12.75" customHeight="1">
      <c r="A40" s="306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</row>
    <row r="41" ht="12.75" customHeight="1">
      <c r="A41" s="306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</row>
    <row r="42" ht="12.75" customHeight="1">
      <c r="A42" s="306"/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</row>
    <row r="43" ht="12.75" customHeight="1">
      <c r="A43" s="306"/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</row>
    <row r="44" ht="12.75" customHeight="1">
      <c r="A44" s="306"/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</row>
    <row r="45" ht="12.75" customHeight="1">
      <c r="A45" s="306"/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</row>
    <row r="46" ht="12.75" customHeight="1">
      <c r="A46" s="306"/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</row>
    <row r="47" ht="12.75" customHeight="1">
      <c r="A47" s="306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</row>
    <row r="48" ht="12.75" customHeight="1">
      <c r="A48" s="306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</row>
    <row r="49" ht="12.75" customHeight="1">
      <c r="A49" s="306"/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</row>
    <row r="50" ht="12.75" customHeight="1">
      <c r="A50" s="306"/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</row>
    <row r="51" ht="12.75" customHeight="1">
      <c r="A51" s="306"/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</row>
    <row r="52" ht="12.75" customHeight="1">
      <c r="A52" s="306"/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</row>
    <row r="53" ht="12.75" customHeight="1">
      <c r="A53" s="306"/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</row>
    <row r="54" ht="12.75" customHeight="1">
      <c r="A54" s="306"/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</row>
    <row r="55" ht="12.75" customHeight="1">
      <c r="A55" s="306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</row>
    <row r="56" ht="12.75" customHeight="1">
      <c r="A56" s="306"/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</row>
    <row r="57" ht="12.75" customHeight="1">
      <c r="A57" s="306"/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</row>
    <row r="58" ht="12.75" customHeight="1">
      <c r="A58" s="306"/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</row>
    <row r="59" ht="12.75" customHeight="1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</row>
    <row r="60" ht="12.75" customHeight="1">
      <c r="A60" s="306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</row>
    <row r="61" ht="12.75" customHeight="1">
      <c r="A61" s="306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</row>
    <row r="62" ht="12.75" customHeigh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</row>
    <row r="63" ht="12.75" customHeight="1">
      <c r="A63" s="306"/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</row>
    <row r="64" ht="12.75" customHeight="1">
      <c r="A64" s="306"/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</row>
    <row r="65" ht="12.75" customHeight="1">
      <c r="A65" s="306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</row>
    <row r="66" ht="12.75" customHeight="1">
      <c r="A66" s="306"/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</row>
    <row r="67" ht="12.75" customHeight="1">
      <c r="A67" s="306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</row>
    <row r="68" ht="12.75" customHeight="1">
      <c r="A68" s="306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</row>
    <row r="69" ht="12.75" customHeight="1">
      <c r="A69" s="306"/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</row>
    <row r="70" ht="12.75" customHeight="1">
      <c r="A70" s="306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</row>
    <row r="71" ht="12.75" customHeight="1">
      <c r="A71" s="306"/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</row>
    <row r="72" ht="12.75" customHeight="1">
      <c r="A72" s="306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</row>
    <row r="73" ht="12.75" customHeight="1">
      <c r="A73" s="306"/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</row>
    <row r="74" ht="12.75" customHeight="1">
      <c r="A74" s="306"/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</row>
    <row r="75" ht="12.75" customHeight="1">
      <c r="A75" s="306"/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</row>
    <row r="76" ht="12.75" customHeight="1">
      <c r="A76" s="306"/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</row>
    <row r="77" ht="12.75" customHeight="1">
      <c r="A77" s="306"/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</row>
    <row r="78" ht="12.75" customHeight="1">
      <c r="A78" s="306"/>
      <c r="B78" s="306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</row>
    <row r="79" ht="12.75" customHeight="1">
      <c r="A79" s="306"/>
      <c r="B79" s="306"/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6"/>
      <c r="Z79" s="306"/>
    </row>
    <row r="80" ht="12.75" customHeight="1">
      <c r="A80" s="306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</row>
    <row r="81" ht="12.75" customHeight="1">
      <c r="A81" s="306"/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</row>
    <row r="82" ht="12.75" customHeight="1">
      <c r="A82" s="306"/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</row>
    <row r="83" ht="12.75" customHeight="1">
      <c r="A83" s="306"/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</row>
    <row r="84" ht="12.75" customHeight="1">
      <c r="A84" s="306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</row>
    <row r="85" ht="12.75" customHeight="1">
      <c r="A85" s="306"/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</row>
    <row r="86" ht="12.75" customHeight="1">
      <c r="A86" s="306"/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</row>
    <row r="87" ht="12.75" customHeight="1">
      <c r="A87" s="306"/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</row>
    <row r="88" ht="12.75" customHeight="1">
      <c r="A88" s="306"/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</row>
    <row r="89" ht="12.75" customHeight="1">
      <c r="A89" s="306"/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</row>
    <row r="90" ht="12.75" customHeight="1">
      <c r="A90" s="306"/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</row>
    <row r="91" ht="12.75" customHeight="1">
      <c r="A91" s="306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</row>
    <row r="92" ht="12.75" customHeigh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</row>
    <row r="93" ht="12.75" customHeight="1">
      <c r="A93" s="306"/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</row>
    <row r="94" ht="12.75" customHeight="1">
      <c r="A94" s="306"/>
      <c r="B94" s="306"/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</row>
    <row r="95" ht="12.75" customHeight="1">
      <c r="A95" s="306"/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</row>
    <row r="96" ht="12.75" customHeight="1">
      <c r="A96" s="306"/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</row>
    <row r="97" ht="12.75" customHeight="1">
      <c r="A97" s="306"/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</row>
    <row r="98" ht="12.75" customHeight="1">
      <c r="A98" s="306"/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</row>
    <row r="99" ht="12.75" customHeight="1">
      <c r="A99" s="306"/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</row>
    <row r="100" ht="12.75" customHeight="1">
      <c r="A100" s="306"/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</row>
    <row r="101" ht="12.75" customHeight="1">
      <c r="A101" s="306"/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</row>
    <row r="102" ht="12.75" customHeight="1">
      <c r="A102" s="306"/>
      <c r="B102" s="306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</row>
    <row r="103" ht="12.75" customHeight="1">
      <c r="A103" s="306"/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</row>
    <row r="104" ht="12.75" customHeight="1">
      <c r="A104" s="306"/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</row>
    <row r="105" ht="12.75" customHeight="1">
      <c r="A105" s="306"/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</row>
    <row r="106" ht="12.75" customHeight="1">
      <c r="A106" s="306"/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</row>
    <row r="107" ht="12.75" customHeight="1">
      <c r="A107" s="306"/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</row>
    <row r="108" ht="12.75" customHeight="1">
      <c r="A108" s="306"/>
      <c r="B108" s="306"/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306"/>
    </row>
    <row r="109" ht="12.75" customHeight="1">
      <c r="A109" s="306"/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6"/>
    </row>
    <row r="110" ht="12.75" customHeight="1">
      <c r="A110" s="306"/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</row>
    <row r="111" ht="12.75" customHeight="1">
      <c r="A111" s="306"/>
      <c r="B111" s="306"/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6"/>
      <c r="X111" s="306"/>
      <c r="Y111" s="306"/>
      <c r="Z111" s="306"/>
    </row>
    <row r="112" ht="12.75" customHeight="1">
      <c r="A112" s="306"/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</row>
    <row r="113" ht="12.75" customHeight="1">
      <c r="A113" s="306"/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</row>
    <row r="114" ht="12.75" customHeight="1">
      <c r="A114" s="306"/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</row>
    <row r="115" ht="12.75" customHeight="1">
      <c r="A115" s="306"/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  <c r="Z115" s="306"/>
    </row>
    <row r="116" ht="12.75" customHeight="1">
      <c r="A116" s="306"/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</row>
    <row r="117" ht="12.75" customHeight="1">
      <c r="A117" s="306"/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  <c r="S117" s="306"/>
      <c r="T117" s="306"/>
      <c r="U117" s="306"/>
      <c r="V117" s="306"/>
      <c r="W117" s="306"/>
      <c r="X117" s="306"/>
      <c r="Y117" s="306"/>
      <c r="Z117" s="306"/>
    </row>
    <row r="118" ht="12.75" customHeight="1">
      <c r="A118" s="306"/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R118" s="306"/>
      <c r="S118" s="306"/>
      <c r="T118" s="306"/>
      <c r="U118" s="306"/>
      <c r="V118" s="306"/>
      <c r="W118" s="306"/>
      <c r="X118" s="306"/>
      <c r="Y118" s="306"/>
      <c r="Z118" s="306"/>
    </row>
    <row r="119" ht="12.75" customHeight="1">
      <c r="A119" s="306"/>
      <c r="B119" s="306"/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</row>
    <row r="120" ht="12.75" customHeight="1">
      <c r="A120" s="306"/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</row>
    <row r="121" ht="12.75" customHeight="1">
      <c r="A121" s="306"/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</row>
    <row r="122" ht="12.75" customHeigh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  <c r="X122" s="306"/>
      <c r="Y122" s="306"/>
      <c r="Z122" s="306"/>
    </row>
    <row r="123" ht="12.75" customHeight="1">
      <c r="A123" s="306"/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</row>
    <row r="124" ht="12.75" customHeight="1">
      <c r="A124" s="306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</row>
    <row r="125" ht="12.75" customHeight="1">
      <c r="A125" s="306"/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</row>
    <row r="126" ht="12.75" customHeight="1">
      <c r="A126" s="306"/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</row>
    <row r="127" ht="12.75" customHeight="1">
      <c r="A127" s="306"/>
      <c r="B127" s="306"/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</row>
    <row r="128" ht="12.75" customHeight="1">
      <c r="A128" s="306"/>
      <c r="B128" s="306"/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</row>
    <row r="129" ht="12.75" customHeight="1">
      <c r="A129" s="306"/>
      <c r="B129" s="306"/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</row>
    <row r="130" ht="12.75" customHeight="1">
      <c r="A130" s="306"/>
      <c r="B130" s="306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</row>
    <row r="131" ht="12.75" customHeight="1">
      <c r="A131" s="306"/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</row>
    <row r="132" ht="12.75" customHeight="1">
      <c r="A132" s="306"/>
      <c r="B132" s="306"/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306"/>
    </row>
    <row r="133" ht="12.75" customHeight="1">
      <c r="A133" s="306"/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  <c r="Z133" s="306"/>
    </row>
    <row r="134" ht="12.75" customHeight="1">
      <c r="A134" s="306"/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</row>
    <row r="135" ht="12.75" customHeight="1">
      <c r="A135" s="306"/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</row>
    <row r="136" ht="12.75" customHeight="1">
      <c r="A136" s="306"/>
      <c r="B136" s="306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</row>
    <row r="137" ht="12.75" customHeight="1">
      <c r="A137" s="306"/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  <c r="Y137" s="306"/>
      <c r="Z137" s="306"/>
    </row>
    <row r="138" ht="12.75" customHeight="1">
      <c r="A138" s="306"/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</row>
    <row r="139" ht="12.75" customHeight="1">
      <c r="A139" s="306"/>
      <c r="B139" s="306"/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</row>
    <row r="140" ht="12.75" customHeight="1">
      <c r="A140" s="306"/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</row>
    <row r="141" ht="12.75" customHeight="1">
      <c r="A141" s="306"/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</row>
    <row r="142" ht="12.75" customHeight="1">
      <c r="A142" s="306"/>
      <c r="B142" s="306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</row>
    <row r="143" ht="12.75" customHeight="1">
      <c r="A143" s="306"/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6"/>
      <c r="U143" s="306"/>
      <c r="V143" s="306"/>
      <c r="W143" s="306"/>
      <c r="X143" s="306"/>
      <c r="Y143" s="306"/>
      <c r="Z143" s="306"/>
    </row>
    <row r="144" ht="12.75" customHeight="1">
      <c r="A144" s="306"/>
      <c r="B144" s="306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306"/>
    </row>
    <row r="145" ht="12.75" customHeight="1">
      <c r="A145" s="306"/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</row>
    <row r="146" ht="12.75" customHeight="1">
      <c r="A146" s="306"/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</row>
    <row r="147" ht="12.75" customHeight="1">
      <c r="A147" s="306"/>
      <c r="B147" s="306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  <c r="Z147" s="306"/>
    </row>
    <row r="148" ht="12.75" customHeight="1">
      <c r="A148" s="306"/>
      <c r="B148" s="306"/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  <c r="Z148" s="306"/>
    </row>
    <row r="149" ht="12.75" customHeight="1">
      <c r="A149" s="306"/>
      <c r="B149" s="306"/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</row>
    <row r="150" ht="12.75" customHeight="1">
      <c r="A150" s="306"/>
      <c r="B150" s="306"/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</row>
    <row r="151" ht="12.75" customHeight="1">
      <c r="A151" s="306"/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306"/>
      <c r="Y151" s="306"/>
      <c r="Z151" s="306"/>
    </row>
    <row r="152" ht="12.75" customHeight="1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</row>
    <row r="153" ht="12.75" customHeight="1">
      <c r="A153" s="306"/>
      <c r="B153" s="306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  <c r="Z153" s="306"/>
    </row>
    <row r="154" ht="12.75" customHeight="1">
      <c r="A154" s="306"/>
      <c r="B154" s="306"/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306"/>
      <c r="X154" s="306"/>
      <c r="Y154" s="306"/>
      <c r="Z154" s="306"/>
    </row>
    <row r="155" ht="12.75" customHeight="1">
      <c r="A155" s="306"/>
      <c r="B155" s="306"/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306"/>
      <c r="X155" s="306"/>
      <c r="Y155" s="306"/>
      <c r="Z155" s="306"/>
    </row>
    <row r="156" ht="12.75" customHeight="1">
      <c r="A156" s="306"/>
      <c r="B156" s="306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306"/>
      <c r="X156" s="306"/>
      <c r="Y156" s="306"/>
      <c r="Z156" s="306"/>
    </row>
    <row r="157" ht="12.75" customHeight="1">
      <c r="A157" s="306"/>
      <c r="B157" s="306"/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306"/>
    </row>
    <row r="158" ht="12.75" customHeight="1">
      <c r="A158" s="306"/>
      <c r="B158" s="306"/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</row>
    <row r="159" ht="12.75" customHeight="1">
      <c r="A159" s="306"/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</row>
    <row r="160" ht="12.75" customHeight="1">
      <c r="A160" s="306"/>
      <c r="B160" s="306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  <c r="Z160" s="306"/>
    </row>
    <row r="161" ht="12.75" customHeight="1">
      <c r="A161" s="306"/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</row>
    <row r="162" ht="12.75" customHeight="1">
      <c r="A162" s="306"/>
      <c r="B162" s="306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</row>
    <row r="163" ht="12.75" customHeight="1">
      <c r="A163" s="306"/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</row>
    <row r="164" ht="12.75" customHeight="1">
      <c r="A164" s="306"/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</row>
    <row r="165" ht="12.75" customHeight="1">
      <c r="A165" s="306"/>
      <c r="B165" s="306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</row>
    <row r="166" ht="12.75" customHeight="1">
      <c r="A166" s="306"/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</row>
    <row r="167" ht="12.75" customHeight="1">
      <c r="A167" s="306"/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</row>
    <row r="168" ht="12.75" customHeight="1">
      <c r="A168" s="306"/>
      <c r="B168" s="306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  <c r="Z168" s="306"/>
    </row>
    <row r="169" ht="12.75" customHeight="1">
      <c r="A169" s="306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6"/>
      <c r="T169" s="306"/>
      <c r="U169" s="306"/>
      <c r="V169" s="306"/>
      <c r="W169" s="306"/>
      <c r="X169" s="306"/>
      <c r="Y169" s="306"/>
      <c r="Z169" s="306"/>
    </row>
    <row r="170" ht="12.75" customHeight="1">
      <c r="A170" s="306"/>
      <c r="B170" s="306"/>
      <c r="C170" s="306"/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</row>
    <row r="171" ht="12.75" customHeight="1">
      <c r="A171" s="306"/>
      <c r="B171" s="306"/>
      <c r="C171" s="306"/>
      <c r="D171" s="306"/>
      <c r="E171" s="306"/>
      <c r="F171" s="306"/>
      <c r="G171" s="306"/>
      <c r="H171" s="306"/>
      <c r="I171" s="306"/>
      <c r="J171" s="306"/>
      <c r="K171" s="306"/>
      <c r="L171" s="306"/>
      <c r="M171" s="306"/>
      <c r="N171" s="306"/>
      <c r="O171" s="306"/>
      <c r="P171" s="306"/>
      <c r="Q171" s="306"/>
      <c r="R171" s="306"/>
      <c r="S171" s="306"/>
      <c r="T171" s="306"/>
      <c r="U171" s="306"/>
      <c r="V171" s="306"/>
      <c r="W171" s="306"/>
      <c r="X171" s="306"/>
      <c r="Y171" s="306"/>
      <c r="Z171" s="306"/>
    </row>
    <row r="172" ht="12.75" customHeight="1">
      <c r="A172" s="306"/>
      <c r="B172" s="306"/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</row>
    <row r="173" ht="12.75" customHeight="1">
      <c r="A173" s="306"/>
      <c r="B173" s="306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306"/>
      <c r="X173" s="306"/>
      <c r="Y173" s="306"/>
      <c r="Z173" s="306"/>
    </row>
    <row r="174" ht="12.75" customHeight="1">
      <c r="A174" s="306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  <c r="Z174" s="306"/>
    </row>
    <row r="175" ht="12.75" customHeight="1">
      <c r="A175" s="306"/>
      <c r="B175" s="306"/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</row>
    <row r="176" ht="12.75" customHeight="1">
      <c r="A176" s="306"/>
      <c r="B176" s="306"/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/>
      <c r="Z176" s="306"/>
    </row>
    <row r="177" ht="12.75" customHeight="1">
      <c r="A177" s="306"/>
      <c r="B177" s="306"/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306"/>
      <c r="X177" s="306"/>
      <c r="Y177" s="306"/>
      <c r="Z177" s="306"/>
    </row>
    <row r="178" ht="12.75" customHeight="1">
      <c r="A178" s="306"/>
      <c r="B178" s="306"/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306"/>
    </row>
    <row r="179" ht="12.75" customHeight="1">
      <c r="A179" s="306"/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/>
      <c r="V179" s="306"/>
      <c r="W179" s="306"/>
      <c r="X179" s="306"/>
      <c r="Y179" s="306"/>
      <c r="Z179" s="306"/>
    </row>
    <row r="180" ht="12.75" customHeight="1">
      <c r="A180" s="306"/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</row>
    <row r="181" ht="12.75" customHeight="1">
      <c r="A181" s="306"/>
      <c r="B181" s="306"/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  <c r="Y181" s="306"/>
      <c r="Z181" s="306"/>
    </row>
    <row r="182" ht="12.75" customHeigh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  <c r="Z182" s="306"/>
    </row>
    <row r="183" ht="12.75" customHeight="1">
      <c r="A183" s="306"/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</row>
    <row r="184" ht="12.75" customHeight="1">
      <c r="A184" s="306"/>
      <c r="B184" s="306"/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</row>
    <row r="185" ht="12.75" customHeight="1">
      <c r="A185" s="306"/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</row>
    <row r="186" ht="12.75" customHeight="1">
      <c r="A186" s="306"/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</row>
    <row r="187" ht="12.75" customHeight="1">
      <c r="A187" s="306"/>
      <c r="B187" s="306"/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</row>
    <row r="188" ht="12.75" customHeight="1">
      <c r="A188" s="306"/>
      <c r="B188" s="306"/>
      <c r="C188" s="306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  <c r="Z188" s="306"/>
    </row>
    <row r="189" ht="12.75" customHeight="1">
      <c r="A189" s="306"/>
      <c r="B189" s="306"/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</row>
    <row r="190" ht="12.75" customHeight="1">
      <c r="A190" s="306"/>
      <c r="B190" s="306"/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306"/>
    </row>
    <row r="191" ht="12.75" customHeight="1">
      <c r="A191" s="306"/>
      <c r="B191" s="306"/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</row>
    <row r="192" ht="12.75" customHeight="1">
      <c r="A192" s="306"/>
      <c r="B192" s="306"/>
      <c r="C192" s="306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</row>
    <row r="193" ht="12.75" customHeight="1">
      <c r="A193" s="306"/>
      <c r="B193" s="306"/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6"/>
      <c r="V193" s="306"/>
      <c r="W193" s="306"/>
      <c r="X193" s="306"/>
      <c r="Y193" s="306"/>
      <c r="Z193" s="306"/>
    </row>
    <row r="194" ht="12.75" customHeight="1">
      <c r="A194" s="306"/>
      <c r="B194" s="306"/>
      <c r="C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</row>
    <row r="195" ht="12.75" customHeight="1">
      <c r="A195" s="306"/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  <c r="Z195" s="306"/>
    </row>
    <row r="196" ht="12.75" customHeight="1">
      <c r="A196" s="306"/>
      <c r="B196" s="306"/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  <c r="Z196" s="306"/>
    </row>
    <row r="197" ht="12.75" customHeight="1">
      <c r="A197" s="306"/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  <c r="S197" s="306"/>
      <c r="T197" s="306"/>
      <c r="U197" s="306"/>
      <c r="V197" s="306"/>
      <c r="W197" s="306"/>
      <c r="X197" s="306"/>
      <c r="Y197" s="306"/>
      <c r="Z197" s="306"/>
    </row>
    <row r="198" ht="12.75" customHeight="1">
      <c r="A198" s="306"/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306"/>
    </row>
    <row r="199" ht="12.75" customHeight="1">
      <c r="A199" s="306"/>
      <c r="B199" s="306"/>
      <c r="C199" s="306"/>
      <c r="D199" s="306"/>
      <c r="E199" s="306"/>
      <c r="F199" s="306"/>
      <c r="G199" s="306"/>
      <c r="H199" s="306"/>
      <c r="I199" s="306"/>
      <c r="J199" s="306"/>
      <c r="K199" s="306"/>
      <c r="L199" s="306"/>
      <c r="M199" s="306"/>
      <c r="N199" s="306"/>
      <c r="O199" s="306"/>
      <c r="P199" s="306"/>
      <c r="Q199" s="306"/>
      <c r="R199" s="306"/>
      <c r="S199" s="306"/>
      <c r="T199" s="306"/>
      <c r="U199" s="306"/>
      <c r="V199" s="306"/>
      <c r="W199" s="306"/>
      <c r="X199" s="306"/>
      <c r="Y199" s="306"/>
      <c r="Z199" s="306"/>
    </row>
    <row r="200" ht="12.75" customHeight="1">
      <c r="A200" s="306"/>
      <c r="B200" s="306"/>
      <c r="C200" s="306"/>
      <c r="D200" s="306"/>
      <c r="E200" s="306"/>
      <c r="F200" s="306"/>
      <c r="G200" s="306"/>
      <c r="H200" s="306"/>
      <c r="I200" s="306"/>
      <c r="J200" s="306"/>
      <c r="K200" s="306"/>
      <c r="L200" s="306"/>
      <c r="M200" s="306"/>
      <c r="N200" s="306"/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  <c r="Z200" s="306"/>
    </row>
    <row r="201" ht="12.75" customHeight="1">
      <c r="A201" s="306"/>
      <c r="B201" s="306"/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  <c r="Z201" s="306"/>
    </row>
    <row r="202" ht="12.75" customHeight="1">
      <c r="A202" s="306"/>
      <c r="B202" s="306"/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  <c r="T202" s="306"/>
      <c r="U202" s="306"/>
      <c r="V202" s="306"/>
      <c r="W202" s="306"/>
      <c r="X202" s="306"/>
      <c r="Y202" s="306"/>
      <c r="Z202" s="306"/>
    </row>
    <row r="203" ht="12.75" customHeight="1">
      <c r="A203" s="306"/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306"/>
    </row>
    <row r="204" ht="12.75" customHeight="1">
      <c r="A204" s="306"/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</row>
    <row r="205" ht="12.75" customHeight="1">
      <c r="A205" s="306"/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</row>
    <row r="206" ht="12.75" customHeight="1">
      <c r="A206" s="306"/>
      <c r="B206" s="306"/>
      <c r="C206" s="306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  <c r="T206" s="306"/>
      <c r="U206" s="306"/>
      <c r="V206" s="306"/>
      <c r="W206" s="306"/>
      <c r="X206" s="306"/>
      <c r="Y206" s="306"/>
      <c r="Z206" s="306"/>
    </row>
    <row r="207" ht="12.75" customHeight="1">
      <c r="A207" s="306"/>
      <c r="B207" s="306"/>
      <c r="C207" s="306"/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  <c r="S207" s="306"/>
      <c r="T207" s="306"/>
      <c r="U207" s="306"/>
      <c r="V207" s="306"/>
      <c r="W207" s="306"/>
      <c r="X207" s="306"/>
      <c r="Y207" s="306"/>
      <c r="Z207" s="306"/>
    </row>
    <row r="208" ht="12.75" customHeight="1">
      <c r="A208" s="306"/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  <c r="T208" s="306"/>
      <c r="U208" s="306"/>
      <c r="V208" s="306"/>
      <c r="W208" s="306"/>
      <c r="X208" s="306"/>
      <c r="Y208" s="306"/>
      <c r="Z208" s="306"/>
    </row>
    <row r="209" ht="12.75" customHeight="1">
      <c r="A209" s="306"/>
      <c r="B209" s="306"/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  <c r="T209" s="306"/>
      <c r="U209" s="306"/>
      <c r="V209" s="306"/>
      <c r="W209" s="306"/>
      <c r="X209" s="306"/>
      <c r="Y209" s="306"/>
      <c r="Z209" s="306"/>
    </row>
    <row r="210" ht="12.75" customHeight="1">
      <c r="A210" s="306"/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/>
      <c r="Y210" s="306"/>
      <c r="Z210" s="306"/>
    </row>
    <row r="211" ht="12.75" customHeight="1">
      <c r="A211" s="306"/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  <c r="X211" s="306"/>
      <c r="Y211" s="306"/>
      <c r="Z211" s="306"/>
    </row>
    <row r="212" ht="12.75" customHeight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  <c r="X212" s="306"/>
      <c r="Y212" s="306"/>
      <c r="Z212" s="306"/>
    </row>
    <row r="213" ht="12.75" customHeight="1">
      <c r="A213" s="306"/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  <c r="T213" s="306"/>
      <c r="U213" s="306"/>
      <c r="V213" s="306"/>
      <c r="W213" s="306"/>
      <c r="X213" s="306"/>
      <c r="Y213" s="306"/>
      <c r="Z213" s="306"/>
    </row>
    <row r="214" ht="12.75" customHeight="1">
      <c r="A214" s="306"/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  <c r="S214" s="306"/>
      <c r="T214" s="306"/>
      <c r="U214" s="306"/>
      <c r="V214" s="306"/>
      <c r="W214" s="306"/>
      <c r="X214" s="306"/>
      <c r="Y214" s="306"/>
      <c r="Z214" s="306"/>
    </row>
    <row r="215" ht="12.75" customHeight="1">
      <c r="A215" s="306"/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  <c r="T215" s="306"/>
      <c r="U215" s="306"/>
      <c r="V215" s="306"/>
      <c r="W215" s="306"/>
      <c r="X215" s="306"/>
      <c r="Y215" s="306"/>
      <c r="Z215" s="306"/>
    </row>
    <row r="216" ht="12.75" customHeight="1">
      <c r="A216" s="306"/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  <c r="T216" s="306"/>
      <c r="U216" s="306"/>
      <c r="V216" s="306"/>
      <c r="W216" s="306"/>
      <c r="X216" s="306"/>
      <c r="Y216" s="306"/>
      <c r="Z216" s="306"/>
    </row>
    <row r="217" ht="12.75" customHeight="1">
      <c r="A217" s="306"/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  <c r="T217" s="306"/>
      <c r="U217" s="306"/>
      <c r="V217" s="306"/>
      <c r="W217" s="306"/>
      <c r="X217" s="306"/>
      <c r="Y217" s="306"/>
      <c r="Z217" s="306"/>
    </row>
    <row r="218" ht="12.75" customHeight="1">
      <c r="A218" s="306"/>
      <c r="B218" s="306"/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  <c r="T218" s="306"/>
      <c r="U218" s="306"/>
      <c r="V218" s="306"/>
      <c r="W218" s="306"/>
      <c r="X218" s="306"/>
      <c r="Y218" s="306"/>
      <c r="Z218" s="306"/>
    </row>
    <row r="219" ht="12.75" customHeight="1">
      <c r="A219" s="306"/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</row>
    <row r="220" ht="12.75" customHeight="1">
      <c r="A220" s="306"/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</row>
    <row r="221" ht="12.75" customHeight="1">
      <c r="A221" s="306"/>
      <c r="B221" s="306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  <c r="Z221" s="306"/>
    </row>
    <row r="222" ht="12.75" customHeight="1">
      <c r="A222" s="306"/>
      <c r="B222" s="306"/>
      <c r="C222" s="306"/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  <c r="S222" s="306"/>
      <c r="T222" s="306"/>
      <c r="U222" s="306"/>
      <c r="V222" s="306"/>
      <c r="W222" s="306"/>
      <c r="X222" s="306"/>
      <c r="Y222" s="306"/>
      <c r="Z222" s="306"/>
    </row>
    <row r="223" ht="12.75" customHeight="1">
      <c r="A223" s="306"/>
      <c r="B223" s="306"/>
      <c r="C223" s="306"/>
      <c r="D223" s="306"/>
      <c r="E223" s="306"/>
      <c r="F223" s="306"/>
      <c r="G223" s="306"/>
      <c r="H223" s="306"/>
      <c r="I223" s="306"/>
      <c r="J223" s="306"/>
      <c r="K223" s="306"/>
      <c r="L223" s="306"/>
      <c r="M223" s="306"/>
      <c r="N223" s="306"/>
      <c r="O223" s="306"/>
      <c r="P223" s="306"/>
      <c r="Q223" s="306"/>
      <c r="R223" s="306"/>
      <c r="S223" s="306"/>
      <c r="T223" s="306"/>
      <c r="U223" s="306"/>
      <c r="V223" s="306"/>
      <c r="W223" s="306"/>
      <c r="X223" s="306"/>
      <c r="Y223" s="306"/>
      <c r="Z223" s="306"/>
    </row>
    <row r="224" ht="12.75" customHeight="1">
      <c r="A224" s="306"/>
      <c r="B224" s="306"/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  <c r="T224" s="306"/>
      <c r="U224" s="306"/>
      <c r="V224" s="306"/>
      <c r="W224" s="306"/>
      <c r="X224" s="306"/>
      <c r="Y224" s="306"/>
      <c r="Z224" s="306"/>
    </row>
    <row r="225" ht="12.75" customHeight="1">
      <c r="A225" s="306"/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306"/>
      <c r="O225" s="306"/>
      <c r="P225" s="306"/>
      <c r="Q225" s="306"/>
      <c r="R225" s="306"/>
      <c r="S225" s="306"/>
      <c r="T225" s="306"/>
      <c r="U225" s="306"/>
      <c r="V225" s="306"/>
      <c r="W225" s="306"/>
      <c r="X225" s="306"/>
      <c r="Y225" s="306"/>
      <c r="Z225" s="306"/>
    </row>
    <row r="226" ht="12.75" customHeight="1">
      <c r="A226" s="306"/>
      <c r="B226" s="306"/>
      <c r="C226" s="306"/>
      <c r="D226" s="306"/>
      <c r="E226" s="306"/>
      <c r="F226" s="306"/>
      <c r="G226" s="306"/>
      <c r="H226" s="306"/>
      <c r="I226" s="306"/>
      <c r="J226" s="306"/>
      <c r="K226" s="306"/>
      <c r="L226" s="306"/>
      <c r="M226" s="306"/>
      <c r="N226" s="306"/>
      <c r="O226" s="306"/>
      <c r="P226" s="306"/>
      <c r="Q226" s="306"/>
      <c r="R226" s="306"/>
      <c r="S226" s="306"/>
      <c r="T226" s="306"/>
      <c r="U226" s="306"/>
      <c r="V226" s="306"/>
      <c r="W226" s="306"/>
      <c r="X226" s="306"/>
      <c r="Y226" s="306"/>
      <c r="Z226" s="306"/>
    </row>
    <row r="227" ht="12.75" customHeight="1">
      <c r="A227" s="306"/>
      <c r="B227" s="306"/>
      <c r="C227" s="306"/>
      <c r="D227" s="306"/>
      <c r="E227" s="306"/>
      <c r="F227" s="306"/>
      <c r="G227" s="306"/>
      <c r="H227" s="306"/>
      <c r="I227" s="306"/>
      <c r="J227" s="306"/>
      <c r="K227" s="306"/>
      <c r="L227" s="306"/>
      <c r="M227" s="306"/>
      <c r="N227" s="306"/>
      <c r="O227" s="306"/>
      <c r="P227" s="306"/>
      <c r="Q227" s="306"/>
      <c r="R227" s="306"/>
      <c r="S227" s="306"/>
      <c r="T227" s="306"/>
      <c r="U227" s="306"/>
      <c r="V227" s="306"/>
      <c r="W227" s="306"/>
      <c r="X227" s="306"/>
      <c r="Y227" s="306"/>
      <c r="Z227" s="306"/>
    </row>
    <row r="228" ht="12.75" customHeight="1">
      <c r="A228" s="306"/>
      <c r="B228" s="306"/>
      <c r="C228" s="306"/>
      <c r="D228" s="306"/>
      <c r="E228" s="306"/>
      <c r="F228" s="306"/>
      <c r="G228" s="306"/>
      <c r="H228" s="306"/>
      <c r="I228" s="306"/>
      <c r="J228" s="306"/>
      <c r="K228" s="306"/>
      <c r="L228" s="306"/>
      <c r="M228" s="306"/>
      <c r="N228" s="306"/>
      <c r="O228" s="306"/>
      <c r="P228" s="306"/>
      <c r="Q228" s="306"/>
      <c r="R228" s="306"/>
      <c r="S228" s="306"/>
      <c r="T228" s="306"/>
      <c r="U228" s="306"/>
      <c r="V228" s="306"/>
      <c r="W228" s="306"/>
      <c r="X228" s="306"/>
      <c r="Y228" s="306"/>
      <c r="Z228" s="306"/>
    </row>
    <row r="229" ht="15.75" customHeight="1"/>
    <row r="230" ht="15.75" customHeight="1"/>
    <row r="231" ht="15.75" customHeight="1"/>
    <row r="232" ht="15.75" customHeight="1"/>
  </sheetData>
  <printOptions/>
  <pageMargins bottom="0.75" footer="0.0" header="0.0" left="0.7" right="0.7" top="0.75"/>
  <pageSetup paperSize="9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pageSetUpPr fitToPage="1"/>
  </sheetPr>
  <sheetViews>
    <sheetView workbookViewId="0"/>
  </sheetViews>
  <sheetFormatPr customHeight="1" defaultColWidth="14.43" defaultRowHeight="15.0"/>
  <cols>
    <col customWidth="1" min="1" max="1" width="7.86"/>
    <col customWidth="1" min="2" max="2" width="16.0"/>
    <col customWidth="1" min="3" max="3" width="17.43"/>
    <col customWidth="1" min="4" max="6" width="14.71"/>
    <col customWidth="1" min="7" max="7" width="38.29"/>
    <col customWidth="1" min="8" max="8" width="21.71"/>
    <col customWidth="1" min="9" max="9" width="14.71"/>
    <col customWidth="1" min="10" max="10" width="35.29"/>
    <col customWidth="1" min="11" max="11" width="14.71"/>
    <col customWidth="1" min="12" max="12" width="16.57"/>
    <col customWidth="1" min="13" max="13" width="18.43"/>
    <col customWidth="1" min="14" max="14" width="17.43"/>
    <col customWidth="1" min="15" max="15" width="17.29"/>
    <col customWidth="1" min="16" max="26" width="9.0"/>
  </cols>
  <sheetData>
    <row r="1" ht="14.25" customHeight="1">
      <c r="A1" s="320" t="s">
        <v>488</v>
      </c>
      <c r="E1" s="306"/>
      <c r="F1" s="306"/>
      <c r="G1" s="321" t="str">
        <f>InfoInicial!E1</f>
        <v>10</v>
      </c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ht="13.5" customHeigh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</row>
    <row r="3" ht="16.5" customHeight="1">
      <c r="A3" s="544" t="s">
        <v>965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4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</row>
    <row r="4" ht="26.25" customHeight="1">
      <c r="A4" s="545" t="s">
        <v>606</v>
      </c>
      <c r="B4" s="515" t="s">
        <v>953</v>
      </c>
      <c r="C4" s="515" t="s">
        <v>966</v>
      </c>
      <c r="D4" s="515" t="s">
        <v>791</v>
      </c>
      <c r="E4" s="515" t="s">
        <v>493</v>
      </c>
      <c r="F4" s="515" t="s">
        <v>792</v>
      </c>
      <c r="G4" s="515" t="s">
        <v>793</v>
      </c>
      <c r="H4" s="515" t="s">
        <v>967</v>
      </c>
      <c r="I4" s="515" t="s">
        <v>968</v>
      </c>
      <c r="J4" s="515" t="s">
        <v>623</v>
      </c>
      <c r="K4" s="515" t="s">
        <v>795</v>
      </c>
      <c r="L4" s="515" t="s">
        <v>796</v>
      </c>
      <c r="M4" s="546" t="s">
        <v>797</v>
      </c>
      <c r="N4" s="547" t="s">
        <v>798</v>
      </c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</row>
    <row r="5" ht="14.25" customHeight="1">
      <c r="A5" s="548">
        <v>0.0</v>
      </c>
      <c r="B5" s="536" t="str">
        <f>'F- CFyU'!B$14</f>
        <v> $ 30,333,730.76 </v>
      </c>
      <c r="C5" s="425" t="str">
        <f>'F- CFyU'!B$15</f>
        <v> $ 680,107.26 </v>
      </c>
      <c r="D5" s="425" t="str">
        <f>'F- CFyU'!B$21</f>
        <v> $ 6,441,690.78 </v>
      </c>
      <c r="E5" s="425" t="str">
        <f>'F- CFyU'!B$19</f>
        <v> $ -   </v>
      </c>
      <c r="F5" s="298" t="str">
        <f>'F- CFyU'!B17</f>
        <v> $ -   </v>
      </c>
      <c r="G5" s="425" t="str">
        <f t="shared" ref="G5:G10" si="1">SUM(B5:F5)</f>
        <v> $ 37,455,528.81 </v>
      </c>
      <c r="I5" s="425" t="str">
        <f>'F-Cred'!G21+'F-Cred'!I21</f>
        <v> $ 2,523,783.24 </v>
      </c>
      <c r="J5" s="425" t="str">
        <f>'F- CFyU'!B$25</f>
        <v> $ -   </v>
      </c>
      <c r="K5" s="425" t="str">
        <f>'F- CFyU'!B11</f>
        <v/>
      </c>
      <c r="L5" s="425" t="str">
        <f t="shared" ref="L5:L10" si="2">SUM(H5:K5)</f>
        <v> $ 2,523,783.24 </v>
      </c>
      <c r="M5" s="518" t="str">
        <f t="shared" ref="M5:M10" si="3">L5-G5</f>
        <v> $ (34,931,745.57)</v>
      </c>
      <c r="N5" s="519" t="str">
        <f>M5</f>
        <v> $ (34,931,745.57)</v>
      </c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</row>
    <row r="6" ht="14.25" customHeight="1">
      <c r="A6" s="549">
        <v>1.0</v>
      </c>
      <c r="B6" s="536" t="str">
        <f>'F- CFyU'!C$14</f>
        <v> $ 278,655.36 </v>
      </c>
      <c r="C6" s="425" t="str">
        <f>'F- CFyU'!C$15</f>
        <v> $ 2,828,145.16 </v>
      </c>
      <c r="D6" s="425" t="str">
        <f>'F- CFyU'!C21</f>
        <v> $ 323,071.99 </v>
      </c>
      <c r="E6" s="425" t="str">
        <f>'F- CFyU'!C$19</f>
        <v> $ -   </v>
      </c>
      <c r="F6" s="425" t="str">
        <f>'F- CFyU'!C17</f>
        <v> $ -   </v>
      </c>
      <c r="G6" s="425" t="str">
        <f t="shared" si="1"/>
        <v> $ 3,429,872.50 </v>
      </c>
      <c r="H6" s="425" t="str">
        <f>'F-CRes'!B$11</f>
        <v> $ (1,807,291.43)</v>
      </c>
      <c r="I6" s="393" t="str">
        <f>'F-CRes'!B10-('F-Cred'!$G$21+'F-Cred'!$I$21)/3</f>
        <v> $ 6,239,411.44 </v>
      </c>
      <c r="J6" s="425" t="str">
        <f>'F- CFyU'!C$25</f>
        <v> $ 2,847,300.56 </v>
      </c>
      <c r="K6" s="425" t="str">
        <f>'F- CFyU'!C11</f>
        <v> $ 1,356,018.30 </v>
      </c>
      <c r="L6" s="425" t="str">
        <f t="shared" si="2"/>
        <v> $ 8,635,438.88 </v>
      </c>
      <c r="M6" s="518" t="str">
        <f t="shared" si="3"/>
        <v> $ 5,205,566.37 </v>
      </c>
      <c r="N6" s="426" t="str">
        <f t="shared" ref="N6:N10" si="4">N5+M6</f>
        <v> $ (29,726,179.19)</v>
      </c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</row>
    <row r="7" ht="14.25" customHeight="1">
      <c r="A7" s="549">
        <v>2.0</v>
      </c>
      <c r="B7" s="536" t="str">
        <f>'F- CFyU'!D$14</f>
        <v> $ -   </v>
      </c>
      <c r="C7" s="425" t="str">
        <f>'F- CFyU'!D$15</f>
        <v> $ 347,189.96 </v>
      </c>
      <c r="D7" s="425" t="str">
        <f>'F- CFyU'!D21</f>
        <v> $ 1,319.24 </v>
      </c>
      <c r="E7" s="425" t="str">
        <f>'F- CFyU'!D$19</f>
        <v> $ 101,333.80 </v>
      </c>
      <c r="F7" s="425" t="str">
        <f>'F- CFyU'!D17</f>
        <v> $ 407,868.55 </v>
      </c>
      <c r="G7" s="425" t="str">
        <f t="shared" si="1"/>
        <v> $ 857,711.55 </v>
      </c>
      <c r="H7" s="425" t="str">
        <f>'F-CRes'!C$11</f>
        <v> $ 1,266,672.50 </v>
      </c>
      <c r="I7" s="393" t="str">
        <f>'F-CRes'!C10-('F-Cred'!$G$21+'F-Cred'!$I$21)/3</f>
        <v> $ 5,499,101.69 </v>
      </c>
      <c r="J7" s="425" t="str">
        <f>'F- CFyU'!D$25</f>
        <v> $ 2,847,300.56 </v>
      </c>
      <c r="K7" s="425" t="str">
        <f>'F- CFyU'!D11</f>
        <v> $ 2,230,232.12 </v>
      </c>
      <c r="L7" s="425" t="str">
        <f t="shared" si="2"/>
        <v> $ 11,843,306.88 </v>
      </c>
      <c r="M7" s="518" t="str">
        <f t="shared" si="3"/>
        <v> $ 10,985,595.33 </v>
      </c>
      <c r="N7" s="426" t="str">
        <f t="shared" si="4"/>
        <v> $ (18,740,583.87)</v>
      </c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</row>
    <row r="8" ht="14.25" customHeight="1">
      <c r="A8" s="549">
        <v>3.0</v>
      </c>
      <c r="B8" s="536" t="str">
        <f>'F- CFyU'!E$14</f>
        <v> $ -   </v>
      </c>
      <c r="C8" s="425" t="str">
        <f>'F- CFyU'!E$15</f>
        <v> $ (25.59)</v>
      </c>
      <c r="D8" s="425" t="str">
        <f>'F- CFyU'!E21</f>
        <v> $ -   </v>
      </c>
      <c r="E8" s="425" t="str">
        <f>'F- CFyU'!E$19</f>
        <v> $ 160,769.86 </v>
      </c>
      <c r="F8" s="425" t="str">
        <f>'F- CFyU'!E17</f>
        <v> $ 647,098.70 </v>
      </c>
      <c r="G8" s="425" t="str">
        <f t="shared" si="1"/>
        <v> $ 807,842.98 </v>
      </c>
      <c r="H8" s="425" t="str">
        <f>'F-CRes'!D$11</f>
        <v> $ 2,009,623.30 </v>
      </c>
      <c r="I8" s="393" t="str">
        <f>'F-CRes'!D10-('F-Cred'!$G$21+'F-Cred'!$I$21)/3</f>
        <v> $ 4,758,791.94 </v>
      </c>
      <c r="J8" s="425" t="str">
        <f>'F- CFyU'!E$25</f>
        <v> $ 2,847,300.56 </v>
      </c>
      <c r="K8" s="425" t="str">
        <f>'F- CFyU'!E11</f>
        <v> $ 2,371,521.24 </v>
      </c>
      <c r="L8" s="425" t="str">
        <f t="shared" si="2"/>
        <v> $ 11,987,237.05 </v>
      </c>
      <c r="M8" s="518" t="str">
        <f t="shared" si="3"/>
        <v> $ 11,179,394.07 </v>
      </c>
      <c r="N8" s="426" t="str">
        <f t="shared" si="4"/>
        <v> $ (7,561,189.80)</v>
      </c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</row>
    <row r="9" ht="14.25" customHeight="1">
      <c r="A9" s="549">
        <v>4.0</v>
      </c>
      <c r="B9" s="536" t="str">
        <f>'F- CFyU'!F$14</f>
        <v> $ -   </v>
      </c>
      <c r="C9" s="425" t="str">
        <f>'F- CFyU'!F$15</f>
        <v> $ -   </v>
      </c>
      <c r="D9" s="425" t="str">
        <f>'F- CFyU'!F21</f>
        <v> $ -   </v>
      </c>
      <c r="E9" s="425" t="str">
        <f>'F- CFyU'!F$19</f>
        <v> $ 219,994.64 </v>
      </c>
      <c r="F9" s="425" t="str">
        <f>'F- CFyU'!F17</f>
        <v> $ 885,478.44 </v>
      </c>
      <c r="G9" s="425" t="str">
        <f t="shared" si="1"/>
        <v> $ 1,105,473.09 </v>
      </c>
      <c r="H9" s="425" t="str">
        <f>'F-CRes'!E$11</f>
        <v> $ 2,749,933.05 </v>
      </c>
      <c r="I9" s="393" t="str">
        <f>'F-CRes'!E10</f>
        <v> $ 4,859,743.27 </v>
      </c>
      <c r="J9" s="425" t="str">
        <f>'F- CFyU'!F$25</f>
        <v> $ 2,006,039.48 </v>
      </c>
      <c r="K9" s="425" t="str">
        <f>'F- CFyU'!F11</f>
        <v> $ 808,310.35 </v>
      </c>
      <c r="L9" s="425" t="str">
        <f t="shared" si="2"/>
        <v> $ 10,424,026.15 </v>
      </c>
      <c r="M9" s="518" t="str">
        <f t="shared" si="3"/>
        <v> $ 9,318,553.07 </v>
      </c>
      <c r="N9" s="426" t="str">
        <f t="shared" si="4"/>
        <v> $ 1,757,363.27 </v>
      </c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</row>
    <row r="10" ht="14.25" customHeight="1">
      <c r="A10" s="549">
        <v>5.0</v>
      </c>
      <c r="B10" s="536" t="str">
        <f>-'E-Inv AF y Am'!G57</f>
        <v> $ (18,058,405.46)</v>
      </c>
      <c r="C10" s="425" t="str">
        <f>'F- CFyU'!G$15-'F- CFyU'!H$15</f>
        <v> $ (3,855,416.79)</v>
      </c>
      <c r="D10" s="425" t="str">
        <f>'F- CFyU'!G21</f>
        <v> $ -   </v>
      </c>
      <c r="E10" s="425" t="str">
        <f>'F- CFyU'!G$19</f>
        <v> $ 279,219.42 </v>
      </c>
      <c r="F10" s="425" t="str">
        <f>'F- CFyU'!G17</f>
        <v> $ 1,123,858.18 </v>
      </c>
      <c r="G10" s="425" t="str">
        <f t="shared" si="1"/>
        <v> $ (20,510,744.65)</v>
      </c>
      <c r="H10" s="425" t="str">
        <f>'F-CRes'!F$11</f>
        <v> $ 3,490,242.80 </v>
      </c>
      <c r="I10" s="393" t="str">
        <f>'F-CRes'!F10</f>
        <v> $ 4,119,433.52 </v>
      </c>
      <c r="J10" s="425" t="str">
        <f>'F- CFyU'!G$25</f>
        <v> $ 2,006,039.48 </v>
      </c>
      <c r="K10" s="425" t="str">
        <f>'F- CFyU'!G11</f>
        <v> $ -   </v>
      </c>
      <c r="L10" s="425" t="str">
        <f t="shared" si="2"/>
        <v> $ 9,615,715.80 </v>
      </c>
      <c r="M10" s="518" t="str">
        <f t="shared" si="3"/>
        <v> $ 30,126,460.46 </v>
      </c>
      <c r="N10" s="426" t="str">
        <f t="shared" si="4"/>
        <v> $ 31,883,823.72 </v>
      </c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</row>
    <row r="11" ht="14.25" customHeight="1">
      <c r="A11" s="549"/>
      <c r="B11" s="538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522"/>
      <c r="N11" s="42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</row>
    <row r="12" ht="14.25" customHeight="1">
      <c r="A12" s="550" t="s">
        <v>799</v>
      </c>
      <c r="B12" s="551" t="str">
        <f t="shared" ref="B12:E12" si="5">SUM(B5:B10)</f>
        <v> $ 12,553,980.66 </v>
      </c>
      <c r="C12" s="551" t="str">
        <f t="shared" si="5"/>
        <v> $ -   </v>
      </c>
      <c r="D12" s="551" t="str">
        <f t="shared" si="5"/>
        <v> $ 6,766,082.01 </v>
      </c>
      <c r="E12" s="551" t="str">
        <f t="shared" si="5"/>
        <v> $ 761,317.73 </v>
      </c>
      <c r="F12" s="551" t="str">
        <f>SUM(F6:F10)</f>
        <v> $ 3,064,303.87 </v>
      </c>
      <c r="G12" s="551" t="str">
        <f>SUM(G5:G10)</f>
        <v> $ 23,145,684.27 </v>
      </c>
      <c r="H12" s="551" t="str">
        <f>SUM(H6:H10)</f>
        <v> $ 7,709,180.22 </v>
      </c>
      <c r="I12" s="551" t="str">
        <f t="shared" ref="I12:M12" si="6">SUM(I5:I10)</f>
        <v> $ 28,000,265.11 </v>
      </c>
      <c r="J12" s="551" t="str">
        <f t="shared" si="6"/>
        <v> $ 12,553,980.66 </v>
      </c>
      <c r="K12" s="551" t="str">
        <f t="shared" si="6"/>
        <v> $ 6,766,082.01 </v>
      </c>
      <c r="L12" s="551" t="str">
        <f t="shared" si="6"/>
        <v> $ 55,029,508.00 </v>
      </c>
      <c r="M12" s="551" t="str">
        <f t="shared" si="6"/>
        <v> $ 31,883,823.72 </v>
      </c>
      <c r="N12" s="551" t="str">
        <f>N10</f>
        <v> $ 31,883,823.72 </v>
      </c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</row>
    <row r="13" ht="13.5" customHeight="1">
      <c r="A13" s="306"/>
      <c r="B13" s="306"/>
      <c r="C13" s="306"/>
      <c r="D13" s="306"/>
      <c r="E13" s="306"/>
      <c r="F13" s="306"/>
      <c r="G13" s="306"/>
      <c r="H13" s="306"/>
      <c r="I13" s="298" t="str">
        <f>H12+I12-F12-E12</f>
        <v> $ 31,883,823.72 </v>
      </c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</row>
    <row r="14" ht="12.75" customHeight="1">
      <c r="A14" s="306"/>
      <c r="B14" s="306"/>
      <c r="C14" s="336" t="s">
        <v>800</v>
      </c>
      <c r="D14" s="553" t="str">
        <f>N12</f>
        <v> $ 31,883,823.72 </v>
      </c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</row>
    <row r="15" ht="14.25" customHeight="1">
      <c r="A15" s="201"/>
      <c r="B15" s="306"/>
      <c r="C15" s="336" t="s">
        <v>801</v>
      </c>
      <c r="D15" s="398" t="str">
        <f>4+(-N9/M10)</f>
        <v>3.941667118</v>
      </c>
      <c r="E15" s="306" t="s">
        <v>802</v>
      </c>
      <c r="F15" s="306"/>
      <c r="G15" s="306"/>
      <c r="H15" s="306"/>
      <c r="I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</row>
    <row r="16" ht="14.25" customHeight="1">
      <c r="A16" s="306"/>
      <c r="B16" s="306"/>
      <c r="C16" s="336" t="s">
        <v>969</v>
      </c>
      <c r="D16" s="636" t="str">
        <f>IRR(M5:M10)</f>
        <v>20.1082%</v>
      </c>
      <c r="E16" s="306"/>
      <c r="F16" s="306"/>
      <c r="G16" s="306"/>
      <c r="H16" s="298" t="str">
        <f>H12+I12</f>
        <v> $ 35,709,445.33 </v>
      </c>
      <c r="I16" s="306"/>
      <c r="J16" s="637"/>
      <c r="K16" s="637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</row>
    <row r="17" ht="14.25" customHeight="1">
      <c r="A17" s="306"/>
      <c r="B17" s="306"/>
      <c r="C17" s="336"/>
      <c r="D17" s="638"/>
      <c r="E17" s="306"/>
      <c r="F17" s="306"/>
      <c r="G17" s="639" t="str">
        <f>H12-E12-F12</f>
        <v> $ 3,883,558.6142 </v>
      </c>
      <c r="H17" s="306"/>
      <c r="I17" s="306"/>
      <c r="J17" s="640"/>
      <c r="K17" s="298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</row>
    <row r="18" ht="14.25" customHeight="1">
      <c r="A18" s="92"/>
      <c r="B18" s="449"/>
      <c r="C18" s="449"/>
      <c r="D18" s="449"/>
      <c r="E18" s="449"/>
      <c r="F18" s="641"/>
      <c r="G18" s="641"/>
      <c r="H18" s="641"/>
      <c r="I18" s="641"/>
      <c r="J18" s="642" t="str">
        <f>H12-E12-F12</f>
        <v> $ 3,883,558.61 </v>
      </c>
      <c r="K18" s="298"/>
      <c r="L18" s="641"/>
      <c r="M18" s="641"/>
      <c r="N18" s="641"/>
      <c r="O18" s="449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</row>
    <row r="19" ht="16.5" customHeight="1">
      <c r="A19" s="643"/>
      <c r="B19" s="641"/>
      <c r="C19" s="644"/>
      <c r="D19" s="641"/>
      <c r="E19" s="641"/>
      <c r="F19" s="641"/>
      <c r="G19" s="641"/>
      <c r="H19" s="641"/>
      <c r="I19" s="641"/>
      <c r="J19" s="640"/>
      <c r="K19" s="298"/>
      <c r="L19" s="641"/>
      <c r="M19" s="641"/>
      <c r="N19" s="641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</row>
    <row r="20" ht="14.25" customHeight="1">
      <c r="A20" s="306"/>
      <c r="B20" s="306"/>
      <c r="C20" s="306"/>
      <c r="D20" s="306"/>
      <c r="E20" s="306"/>
      <c r="F20" s="306"/>
      <c r="G20" s="306"/>
      <c r="H20" s="306"/>
      <c r="I20" s="306"/>
      <c r="J20" s="640"/>
      <c r="K20" s="298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</row>
    <row r="21" ht="14.25" customHeight="1">
      <c r="A21" s="645"/>
      <c r="B21" s="306"/>
      <c r="C21" s="306"/>
      <c r="D21" s="306"/>
      <c r="E21" s="306"/>
      <c r="F21" s="306"/>
      <c r="G21" s="306"/>
      <c r="H21" s="306"/>
      <c r="I21" s="306"/>
      <c r="J21" s="306"/>
      <c r="K21" s="298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</row>
    <row r="22" ht="16.5" customHeight="1">
      <c r="A22" s="544" t="s">
        <v>970</v>
      </c>
      <c r="B22" s="423"/>
      <c r="C22" s="423"/>
      <c r="D22" s="423"/>
      <c r="E22" s="423"/>
      <c r="F22" s="423"/>
      <c r="G22" s="423"/>
      <c r="H22" s="424"/>
      <c r="I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</row>
    <row r="23" ht="30.0" customHeight="1">
      <c r="A23" s="545" t="s">
        <v>606</v>
      </c>
      <c r="B23" s="515" t="s">
        <v>971</v>
      </c>
      <c r="C23" s="515" t="s">
        <v>793</v>
      </c>
      <c r="D23" s="515" t="s">
        <v>958</v>
      </c>
      <c r="E23" s="515" t="s">
        <v>972</v>
      </c>
      <c r="F23" s="515" t="s">
        <v>796</v>
      </c>
      <c r="G23" s="546" t="s">
        <v>797</v>
      </c>
      <c r="H23" s="547" t="s">
        <v>798</v>
      </c>
      <c r="I23" s="306"/>
      <c r="J23" s="306"/>
      <c r="K23" s="556" t="s">
        <v>804</v>
      </c>
      <c r="L23" s="324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</row>
    <row r="24" ht="14.25" customHeight="1">
      <c r="A24" s="548">
        <v>0.0</v>
      </c>
      <c r="B24" s="536" t="str">
        <f>'F- CFyU'!B7</f>
        <v> $ 20,630,307.21 </v>
      </c>
      <c r="C24" s="425" t="str">
        <f t="shared" ref="C24:C29" si="7">B24</f>
        <v> $ 20,630,307.21 </v>
      </c>
      <c r="D24" s="425">
        <v>0.0</v>
      </c>
      <c r="E24" s="425" t="str">
        <f>'F- CFyU'!B28</f>
        <v> $ -   </v>
      </c>
      <c r="F24" s="425" t="str">
        <f t="shared" ref="F24:F29" si="8">D24+E24</f>
        <v> $ -   </v>
      </c>
      <c r="G24" s="646" t="str">
        <f t="shared" ref="G24:G29" si="9">F24-C24</f>
        <v> $ (20,630,307.208)</v>
      </c>
      <c r="H24" s="519" t="str">
        <f>G24</f>
        <v> $ (20,630,307.21)</v>
      </c>
      <c r="I24" s="306"/>
      <c r="J24" s="306"/>
      <c r="K24" s="647" t="s">
        <v>805</v>
      </c>
      <c r="L24" s="324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</row>
    <row r="25" ht="14.25" customHeight="1">
      <c r="A25" s="549">
        <v>1.0</v>
      </c>
      <c r="B25" s="538" t="str">
        <f>'F- CFyU'!C7</f>
        <v> $ 3,071,176.80 </v>
      </c>
      <c r="C25" s="393" t="str">
        <f t="shared" si="7"/>
        <v> $ 3,071,176.80 </v>
      </c>
      <c r="D25" s="393">
        <v>0.0</v>
      </c>
      <c r="E25" s="393" t="str">
        <f>'F- CFyU'!C28</f>
        <v> $ -   </v>
      </c>
      <c r="F25" s="393" t="str">
        <f t="shared" si="8"/>
        <v> $ -   </v>
      </c>
      <c r="G25" s="648" t="str">
        <f t="shared" si="9"/>
        <v> $ (3,071,176.800)</v>
      </c>
      <c r="H25" s="426" t="str">
        <f t="shared" ref="H25:H29" si="10">H24+G25</f>
        <v> $ (23,701,484.01)</v>
      </c>
      <c r="I25" s="306"/>
      <c r="J25" s="306"/>
      <c r="K25" s="557" t="s">
        <v>623</v>
      </c>
      <c r="L25" s="558" t="str">
        <f>IF(B12=J12,"OK","MAL")</f>
        <v>OK</v>
      </c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</row>
    <row r="26" ht="14.25" customHeight="1">
      <c r="A26" s="549">
        <v>2.0</v>
      </c>
      <c r="B26" s="538" t="str">
        <f>'F- CFyU'!D7</f>
        <v> $ -   </v>
      </c>
      <c r="C26" s="393" t="str">
        <f t="shared" si="7"/>
        <v> $ -   </v>
      </c>
      <c r="D26" s="393">
        <v>0.0</v>
      </c>
      <c r="E26" s="393" t="str">
        <f>'F- CFyU'!D28</f>
        <v> $ 2,121,449.31 </v>
      </c>
      <c r="F26" s="393" t="str">
        <f t="shared" si="8"/>
        <v> $ 2,121,449.31 </v>
      </c>
      <c r="G26" s="648" t="str">
        <f t="shared" si="9"/>
        <v> $ 2,121,449.315 </v>
      </c>
      <c r="H26" s="426" t="str">
        <f t="shared" si="10"/>
        <v> $ (21,580,034.69)</v>
      </c>
      <c r="I26" s="306"/>
      <c r="K26" s="557" t="s">
        <v>808</v>
      </c>
      <c r="L26" s="558" t="str">
        <f>IF(D12=K12,"OK","MAL")</f>
        <v>OK</v>
      </c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</row>
    <row r="27" ht="14.25" customHeight="1">
      <c r="A27" s="549">
        <v>3.0</v>
      </c>
      <c r="B27" s="538" t="str">
        <f>'F- CFyU'!E7</f>
        <v> $ -   </v>
      </c>
      <c r="C27" s="393" t="str">
        <f t="shared" si="7"/>
        <v> $ -   </v>
      </c>
      <c r="D27" s="393">
        <v>0.0</v>
      </c>
      <c r="E27" s="393" t="str">
        <f>'F- CFyU'!E28</f>
        <v> $ 3,055,557.81 </v>
      </c>
      <c r="F27" s="393" t="str">
        <f t="shared" si="8"/>
        <v> $ 3,055,557.81 </v>
      </c>
      <c r="G27" s="648" t="str">
        <f t="shared" si="9"/>
        <v> $ 3,055,557.807 </v>
      </c>
      <c r="H27" s="426" t="str">
        <f t="shared" si="10"/>
        <v> $ (18,524,476.89)</v>
      </c>
      <c r="I27" s="306"/>
      <c r="K27" s="557" t="s">
        <v>809</v>
      </c>
      <c r="L27" s="558" t="str">
        <f>IF(C12=0,"OK","MAL")</f>
        <v>OK</v>
      </c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</row>
    <row r="28" ht="14.25" customHeight="1">
      <c r="A28" s="549">
        <v>4.0</v>
      </c>
      <c r="B28" s="538" t="str">
        <f>'F- CFyU'!F7</f>
        <v> $ -   </v>
      </c>
      <c r="C28" s="393" t="str">
        <f t="shared" si="7"/>
        <v> $ -   </v>
      </c>
      <c r="D28" s="393">
        <v>0.0</v>
      </c>
      <c r="E28" s="393" t="str">
        <f>'F- CFyU'!F28</f>
        <v> $ 1,093,765.48 </v>
      </c>
      <c r="F28" s="393" t="str">
        <f t="shared" si="8"/>
        <v> $ 1,093,765.48 </v>
      </c>
      <c r="G28" s="648" t="str">
        <f t="shared" si="9"/>
        <v> $ 1,093,765.475 </v>
      </c>
      <c r="H28" s="426" t="str">
        <f t="shared" si="10"/>
        <v> $ (17,430,711.41)</v>
      </c>
      <c r="I28" s="306"/>
      <c r="K28" s="557" t="s">
        <v>810</v>
      </c>
      <c r="L28" s="558" t="str">
        <f>IF((H12-F12-E12+I12)=M12,IF(M12=N10,"OK","MAL"),"MAL")</f>
        <v>OK</v>
      </c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</row>
    <row r="29" ht="14.25" customHeight="1">
      <c r="A29" s="549">
        <v>5.0</v>
      </c>
      <c r="B29" s="538" t="str">
        <f>-'E-Inv AF y Am'!G57-'F- CFyU'!H15+'F-Cred'!D6+'F- CFyU'!G7</f>
        <v> $ (20,586,109.67)</v>
      </c>
      <c r="C29" s="393" t="str">
        <f t="shared" si="7"/>
        <v> $ (20,586,109.67)</v>
      </c>
      <c r="D29" s="393">
        <v>0.0</v>
      </c>
      <c r="E29" s="393" t="str">
        <f>'F- CFyU'!G28</f>
        <v> $ 728,160.36 </v>
      </c>
      <c r="F29" s="393" t="str">
        <f t="shared" si="8"/>
        <v> $ 728,160.36 </v>
      </c>
      <c r="G29" s="522" t="str">
        <f t="shared" si="9"/>
        <v> $ 21,314,270.03 </v>
      </c>
      <c r="H29" s="426" t="str">
        <f t="shared" si="10"/>
        <v> $ 3,883,558.61 </v>
      </c>
      <c r="I29" s="306"/>
      <c r="J29" s="223" t="s">
        <v>973</v>
      </c>
      <c r="K29" s="647" t="s">
        <v>974</v>
      </c>
      <c r="L29" s="324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</row>
    <row r="30" ht="14.25" customHeight="1">
      <c r="A30" s="549"/>
      <c r="B30" s="538"/>
      <c r="C30" s="393"/>
      <c r="D30" s="393"/>
      <c r="E30" s="393"/>
      <c r="F30" s="393"/>
      <c r="G30" s="522"/>
      <c r="H30" s="426"/>
      <c r="I30" s="306"/>
      <c r="J30" s="649" t="s">
        <v>975</v>
      </c>
      <c r="K30" s="557" t="s">
        <v>976</v>
      </c>
      <c r="L30" s="558" t="str">
        <f>IF((H12-E12-F12)=G31,"OK","MAL")</f>
        <v>OK</v>
      </c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</row>
    <row r="31" ht="14.25" customHeight="1">
      <c r="A31" s="550" t="s">
        <v>799</v>
      </c>
      <c r="B31" s="551" t="str">
        <f t="shared" ref="B31:G31" si="11">SUM(B24:B29)</f>
        <v> $ 3,115,374.34 </v>
      </c>
      <c r="C31" s="573" t="str">
        <f t="shared" si="11"/>
        <v> $ 3,115,374.34 </v>
      </c>
      <c r="D31" s="573" t="str">
        <f t="shared" si="11"/>
        <v> $ -   </v>
      </c>
      <c r="E31" s="573" t="str">
        <f t="shared" si="11"/>
        <v> $ 6,998,932.95 </v>
      </c>
      <c r="F31" s="573" t="str">
        <f t="shared" si="11"/>
        <v> $ 6,998,932.95 </v>
      </c>
      <c r="G31" s="650" t="str">
        <f t="shared" si="11"/>
        <v> $ 3,883,558.6142 </v>
      </c>
      <c r="H31" s="552">
        <v>0.0</v>
      </c>
      <c r="I31" s="306"/>
      <c r="J31" s="651" t="str">
        <f>'F- CFyU'!H28-'F- CFyU'!H7-'F- CFyU'!H8+'F- CFyU'!H14-'F- CFyU'!H25+'F- CFyU'!H15</f>
        <v> $ 3,883,558.614 </v>
      </c>
      <c r="K31" s="557" t="s">
        <v>977</v>
      </c>
      <c r="L31" s="558" t="str">
        <f>IF(('F- CFyU'!H28-'F- CFyU'!H7-'F- CFyU'!H8+'F- CFyU'!H14-'F- CFyU'!H25+'F- CFyU'!H15)='F- Form'!G31,"OK","MAL")</f>
        <v>OK</v>
      </c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</row>
    <row r="32" ht="14.25" customHeight="1">
      <c r="A32" s="306"/>
      <c r="B32" s="306"/>
      <c r="C32" s="306"/>
      <c r="D32" s="306"/>
      <c r="E32" s="306"/>
      <c r="F32" s="306"/>
      <c r="G32" s="306"/>
      <c r="H32" s="306"/>
      <c r="I32" s="306"/>
      <c r="J32" s="652" t="str">
        <f>J31-G31</f>
        <v> $ 0.0000000047 </v>
      </c>
      <c r="K32" s="557" t="s">
        <v>978</v>
      </c>
      <c r="L32" s="558" t="str">
        <f>IF('F-CRes'!G14=G31,"OK","MAL")</f>
        <v>OK</v>
      </c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</row>
    <row r="33" ht="14.25" customHeight="1">
      <c r="A33" s="306"/>
      <c r="B33" s="306"/>
      <c r="C33" s="306"/>
      <c r="D33" s="306"/>
      <c r="E33" s="306"/>
      <c r="F33" s="306"/>
      <c r="G33" s="653"/>
      <c r="H33" s="306"/>
      <c r="I33" s="306"/>
      <c r="J33" s="306"/>
      <c r="K33" s="557" t="s">
        <v>979</v>
      </c>
      <c r="L33" s="558" t="str">
        <f>IF(('F-Balance'!G33+'F-Balance'!G34)='F- Form'!G31,"OK","MAL")</f>
        <v>OK</v>
      </c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</row>
    <row r="34" ht="14.25" customHeight="1">
      <c r="A34" s="306"/>
      <c r="B34" s="306"/>
      <c r="C34" s="336" t="s">
        <v>800</v>
      </c>
      <c r="D34" s="553" t="str">
        <f>G31</f>
        <v> $ 3,883,558.61 </v>
      </c>
      <c r="E34" s="306" t="s">
        <v>980</v>
      </c>
      <c r="F34" s="306"/>
      <c r="G34" s="306"/>
      <c r="H34" s="306"/>
      <c r="I34" s="306"/>
      <c r="J34" s="306"/>
      <c r="K34" s="557" t="s">
        <v>981</v>
      </c>
      <c r="L34" s="558" t="str">
        <f>IF(('F- CFyU'!H10-'F- CFyU'!H16-'F- CFyU'!H19-'F- CFyU'!H17)=G31,"OK","MAL")</f>
        <v>MAL</v>
      </c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</row>
    <row r="35" ht="14.25" customHeight="1">
      <c r="A35" s="306"/>
      <c r="B35" s="306"/>
      <c r="C35" s="336" t="s">
        <v>801</v>
      </c>
      <c r="D35" s="398" t="str">
        <f>4+(-H28)/G29</f>
        <v>4.817795373</v>
      </c>
      <c r="E35" s="306" t="s">
        <v>982</v>
      </c>
      <c r="F35" s="306"/>
      <c r="G35" s="306"/>
      <c r="H35" s="306"/>
      <c r="I35" s="306"/>
      <c r="J35" s="306"/>
      <c r="K35" s="647" t="s">
        <v>983</v>
      </c>
      <c r="L35" s="324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</row>
    <row r="36" ht="14.25" customHeight="1">
      <c r="A36" s="306"/>
      <c r="B36" s="306"/>
      <c r="C36" s="336" t="s">
        <v>984</v>
      </c>
      <c r="D36" s="638" t="str">
        <f>IRR(G24:G29)</f>
        <v>4%</v>
      </c>
      <c r="E36" s="306"/>
      <c r="F36" s="306"/>
      <c r="G36" s="306"/>
      <c r="H36" s="306"/>
      <c r="I36" s="306"/>
      <c r="J36" s="306"/>
      <c r="K36" s="557" t="s">
        <v>985</v>
      </c>
      <c r="L36" s="558" t="str">
        <f>IF(SUM('F-Balance'!B35:G35)=SUM('F-Balance'!B24:G24),"OK","MAL")</f>
        <v>OK</v>
      </c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</row>
    <row r="37" ht="13.5" customHeight="1">
      <c r="A37" s="30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</row>
    <row r="38" ht="13.5" customHeight="1">
      <c r="A38" s="306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</row>
    <row r="39" ht="13.5" customHeight="1">
      <c r="A39" s="306"/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</row>
    <row r="40" ht="13.5" customHeight="1">
      <c r="A40" s="306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</row>
    <row r="41" ht="13.5" customHeight="1">
      <c r="A41" s="306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</row>
    <row r="42" ht="13.5" customHeight="1">
      <c r="A42" s="306"/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</row>
    <row r="43" ht="13.5" customHeight="1">
      <c r="A43" s="306"/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</row>
    <row r="44" ht="13.5" customHeight="1">
      <c r="A44" s="306"/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</row>
    <row r="45" ht="13.5" customHeight="1">
      <c r="A45" s="306"/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</row>
    <row r="46" ht="13.5" customHeight="1">
      <c r="A46" s="306"/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</row>
    <row r="47" ht="13.5" customHeight="1">
      <c r="A47" s="306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</row>
    <row r="48" ht="13.5" customHeight="1">
      <c r="A48" s="306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</row>
    <row r="49" ht="13.5" customHeight="1">
      <c r="A49" s="306"/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</row>
    <row r="50" ht="13.5" customHeight="1">
      <c r="A50" s="306"/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</row>
    <row r="51" ht="13.5" customHeight="1">
      <c r="A51" s="306"/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</row>
    <row r="52" ht="13.5" customHeight="1">
      <c r="A52" s="306"/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</row>
    <row r="53" ht="13.5" customHeight="1">
      <c r="A53" s="306"/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</row>
    <row r="54" ht="13.5" customHeight="1">
      <c r="A54" s="306"/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</row>
    <row r="55" ht="13.5" customHeight="1">
      <c r="A55" s="306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</row>
    <row r="56" ht="13.5" customHeight="1">
      <c r="A56" s="306"/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</row>
    <row r="57" ht="13.5" customHeight="1">
      <c r="A57" s="306"/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</row>
    <row r="58" ht="13.5" customHeight="1">
      <c r="A58" s="306"/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</row>
    <row r="59" ht="13.5" customHeight="1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</row>
    <row r="60" ht="13.5" customHeight="1">
      <c r="A60" s="306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</row>
    <row r="61" ht="13.5" customHeight="1">
      <c r="A61" s="306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</row>
    <row r="62" ht="13.5" customHeigh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</row>
    <row r="63" ht="13.5" customHeight="1">
      <c r="A63" s="306"/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</row>
    <row r="64" ht="13.5" customHeight="1">
      <c r="A64" s="306"/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</row>
    <row r="65" ht="13.5" customHeight="1">
      <c r="A65" s="306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</row>
    <row r="66" ht="13.5" customHeight="1">
      <c r="A66" s="306"/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</row>
    <row r="67" ht="13.5" customHeight="1">
      <c r="A67" s="306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</row>
    <row r="68" ht="13.5" customHeight="1">
      <c r="A68" s="306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</row>
    <row r="69" ht="13.5" customHeight="1">
      <c r="A69" s="306"/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</row>
    <row r="70" ht="13.5" customHeight="1">
      <c r="A70" s="306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</row>
    <row r="71" ht="13.5" customHeight="1">
      <c r="A71" s="306"/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</row>
    <row r="72" ht="13.5" customHeight="1">
      <c r="A72" s="306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</row>
    <row r="73" ht="13.5" customHeight="1">
      <c r="A73" s="306"/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</row>
    <row r="74" ht="13.5" customHeight="1">
      <c r="A74" s="306"/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</row>
    <row r="75" ht="13.5" customHeight="1">
      <c r="A75" s="306"/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</row>
    <row r="76" ht="13.5" customHeight="1">
      <c r="A76" s="306"/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</row>
    <row r="77" ht="13.5" customHeight="1">
      <c r="A77" s="306"/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</row>
    <row r="78" ht="13.5" customHeight="1">
      <c r="A78" s="306"/>
      <c r="B78" s="306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</row>
    <row r="79" ht="13.5" customHeight="1">
      <c r="A79" s="306"/>
      <c r="B79" s="306"/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6"/>
      <c r="Z79" s="306"/>
    </row>
    <row r="80" ht="13.5" customHeight="1">
      <c r="A80" s="306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</row>
    <row r="81" ht="13.5" customHeight="1">
      <c r="A81" s="306"/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</row>
    <row r="82" ht="13.5" customHeight="1">
      <c r="A82" s="306"/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</row>
    <row r="83" ht="13.5" customHeight="1">
      <c r="A83" s="306"/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</row>
    <row r="84" ht="13.5" customHeight="1">
      <c r="A84" s="306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</row>
    <row r="85" ht="13.5" customHeight="1">
      <c r="A85" s="306"/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</row>
    <row r="86" ht="13.5" customHeight="1">
      <c r="A86" s="306"/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</row>
    <row r="87" ht="13.5" customHeight="1">
      <c r="A87" s="306"/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</row>
    <row r="88" ht="13.5" customHeight="1">
      <c r="A88" s="306"/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</row>
    <row r="89" ht="13.5" customHeight="1">
      <c r="A89" s="306"/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</row>
    <row r="90" ht="13.5" customHeight="1">
      <c r="A90" s="306"/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</row>
    <row r="91" ht="13.5" customHeight="1">
      <c r="A91" s="306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</row>
    <row r="92" ht="13.5" customHeigh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</row>
    <row r="93" ht="13.5" customHeight="1">
      <c r="A93" s="306"/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</row>
    <row r="94" ht="13.5" customHeight="1">
      <c r="A94" s="306"/>
      <c r="B94" s="306"/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</row>
    <row r="95" ht="13.5" customHeight="1">
      <c r="A95" s="306"/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</row>
    <row r="96" ht="13.5" customHeight="1">
      <c r="A96" s="306"/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</row>
    <row r="97" ht="13.5" customHeight="1">
      <c r="A97" s="306"/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</row>
    <row r="98" ht="13.5" customHeight="1">
      <c r="A98" s="306"/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</row>
    <row r="99" ht="13.5" customHeight="1">
      <c r="A99" s="306"/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</row>
    <row r="100" ht="13.5" customHeight="1">
      <c r="A100" s="306"/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</row>
    <row r="101" ht="13.5" customHeight="1">
      <c r="A101" s="306"/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</row>
    <row r="102" ht="13.5" customHeight="1">
      <c r="A102" s="306"/>
      <c r="B102" s="306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</row>
    <row r="103" ht="13.5" customHeight="1">
      <c r="A103" s="306"/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</row>
    <row r="104" ht="13.5" customHeight="1">
      <c r="A104" s="306"/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</row>
    <row r="105" ht="13.5" customHeight="1">
      <c r="A105" s="306"/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</row>
    <row r="106" ht="13.5" customHeight="1">
      <c r="A106" s="306"/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</row>
    <row r="107" ht="13.5" customHeight="1">
      <c r="A107" s="306"/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</row>
    <row r="108" ht="13.5" customHeight="1">
      <c r="A108" s="306"/>
      <c r="B108" s="306"/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306"/>
    </row>
    <row r="109" ht="13.5" customHeight="1">
      <c r="A109" s="306"/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6"/>
    </row>
    <row r="110" ht="13.5" customHeight="1">
      <c r="A110" s="306"/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</row>
    <row r="111" ht="13.5" customHeight="1">
      <c r="A111" s="306"/>
      <c r="B111" s="306"/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6"/>
      <c r="X111" s="306"/>
      <c r="Y111" s="306"/>
      <c r="Z111" s="306"/>
    </row>
    <row r="112" ht="13.5" customHeight="1">
      <c r="A112" s="306"/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</row>
    <row r="113" ht="13.5" customHeight="1">
      <c r="A113" s="306"/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</row>
    <row r="114" ht="13.5" customHeight="1">
      <c r="A114" s="306"/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</row>
    <row r="115" ht="13.5" customHeight="1">
      <c r="A115" s="306"/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  <c r="Z115" s="306"/>
    </row>
    <row r="116" ht="13.5" customHeight="1">
      <c r="A116" s="306"/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</row>
    <row r="117" ht="13.5" customHeight="1">
      <c r="A117" s="306"/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  <c r="S117" s="306"/>
      <c r="T117" s="306"/>
      <c r="U117" s="306"/>
      <c r="V117" s="306"/>
      <c r="W117" s="306"/>
      <c r="X117" s="306"/>
      <c r="Y117" s="306"/>
      <c r="Z117" s="306"/>
    </row>
    <row r="118" ht="13.5" customHeight="1">
      <c r="A118" s="306"/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R118" s="306"/>
      <c r="S118" s="306"/>
      <c r="T118" s="306"/>
      <c r="U118" s="306"/>
      <c r="V118" s="306"/>
      <c r="W118" s="306"/>
      <c r="X118" s="306"/>
      <c r="Y118" s="306"/>
      <c r="Z118" s="306"/>
    </row>
    <row r="119" ht="13.5" customHeight="1">
      <c r="A119" s="306"/>
      <c r="B119" s="306"/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</row>
    <row r="120" ht="13.5" customHeight="1">
      <c r="A120" s="306"/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</row>
    <row r="121" ht="13.5" customHeight="1">
      <c r="A121" s="306"/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</row>
    <row r="122" ht="13.5" customHeigh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  <c r="X122" s="306"/>
      <c r="Y122" s="306"/>
      <c r="Z122" s="306"/>
    </row>
    <row r="123" ht="13.5" customHeight="1">
      <c r="A123" s="306"/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</row>
    <row r="124" ht="13.5" customHeight="1">
      <c r="A124" s="306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</row>
    <row r="125" ht="13.5" customHeight="1">
      <c r="A125" s="306"/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</row>
    <row r="126" ht="13.5" customHeight="1">
      <c r="A126" s="306"/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</row>
    <row r="127" ht="13.5" customHeight="1">
      <c r="A127" s="306"/>
      <c r="B127" s="306"/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</row>
    <row r="128" ht="13.5" customHeight="1">
      <c r="A128" s="306"/>
      <c r="B128" s="306"/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</row>
    <row r="129" ht="13.5" customHeight="1">
      <c r="A129" s="306"/>
      <c r="B129" s="306"/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</row>
    <row r="130" ht="13.5" customHeight="1">
      <c r="A130" s="306"/>
      <c r="B130" s="306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</row>
    <row r="131" ht="13.5" customHeight="1">
      <c r="A131" s="306"/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</row>
    <row r="132" ht="13.5" customHeight="1">
      <c r="A132" s="306"/>
      <c r="B132" s="306"/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306"/>
    </row>
    <row r="133" ht="13.5" customHeight="1">
      <c r="A133" s="306"/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  <c r="Z133" s="306"/>
    </row>
    <row r="134" ht="13.5" customHeight="1">
      <c r="A134" s="306"/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</row>
    <row r="135" ht="13.5" customHeight="1">
      <c r="A135" s="306"/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</row>
    <row r="136" ht="13.5" customHeight="1">
      <c r="A136" s="306"/>
      <c r="B136" s="306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</row>
    <row r="137" ht="13.5" customHeight="1">
      <c r="A137" s="306"/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  <c r="Y137" s="306"/>
      <c r="Z137" s="306"/>
    </row>
    <row r="138" ht="13.5" customHeight="1">
      <c r="A138" s="306"/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</row>
    <row r="139" ht="13.5" customHeight="1">
      <c r="A139" s="306"/>
      <c r="B139" s="306"/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</row>
    <row r="140" ht="13.5" customHeight="1">
      <c r="A140" s="306"/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</row>
    <row r="141" ht="13.5" customHeight="1">
      <c r="A141" s="306"/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</row>
    <row r="142" ht="13.5" customHeight="1">
      <c r="A142" s="306"/>
      <c r="B142" s="306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</row>
    <row r="143" ht="13.5" customHeight="1">
      <c r="A143" s="306"/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6"/>
      <c r="U143" s="306"/>
      <c r="V143" s="306"/>
      <c r="W143" s="306"/>
      <c r="X143" s="306"/>
      <c r="Y143" s="306"/>
      <c r="Z143" s="306"/>
    </row>
    <row r="144" ht="13.5" customHeight="1">
      <c r="A144" s="306"/>
      <c r="B144" s="306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306"/>
    </row>
    <row r="145" ht="13.5" customHeight="1">
      <c r="A145" s="306"/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</row>
    <row r="146" ht="13.5" customHeight="1">
      <c r="A146" s="306"/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</row>
    <row r="147" ht="13.5" customHeight="1">
      <c r="A147" s="306"/>
      <c r="B147" s="306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  <c r="Z147" s="306"/>
    </row>
    <row r="148" ht="13.5" customHeight="1">
      <c r="A148" s="306"/>
      <c r="B148" s="306"/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  <c r="Z148" s="306"/>
    </row>
    <row r="149" ht="13.5" customHeight="1">
      <c r="A149" s="306"/>
      <c r="B149" s="306"/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</row>
    <row r="150" ht="13.5" customHeight="1">
      <c r="A150" s="306"/>
      <c r="B150" s="306"/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</row>
    <row r="151" ht="13.5" customHeight="1">
      <c r="A151" s="306"/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306"/>
      <c r="Y151" s="306"/>
      <c r="Z151" s="306"/>
    </row>
    <row r="152" ht="13.5" customHeight="1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</row>
    <row r="153" ht="13.5" customHeight="1">
      <c r="A153" s="306"/>
      <c r="B153" s="306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  <c r="Z153" s="306"/>
    </row>
    <row r="154" ht="13.5" customHeight="1">
      <c r="A154" s="306"/>
      <c r="B154" s="306"/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306"/>
      <c r="X154" s="306"/>
      <c r="Y154" s="306"/>
      <c r="Z154" s="306"/>
    </row>
    <row r="155" ht="13.5" customHeight="1">
      <c r="A155" s="306"/>
      <c r="B155" s="306"/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306"/>
      <c r="X155" s="306"/>
      <c r="Y155" s="306"/>
      <c r="Z155" s="306"/>
    </row>
    <row r="156" ht="13.5" customHeight="1">
      <c r="A156" s="306"/>
      <c r="B156" s="306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306"/>
      <c r="X156" s="306"/>
      <c r="Y156" s="306"/>
      <c r="Z156" s="306"/>
    </row>
    <row r="157" ht="13.5" customHeight="1">
      <c r="A157" s="306"/>
      <c r="B157" s="306"/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306"/>
    </row>
    <row r="158" ht="13.5" customHeight="1">
      <c r="A158" s="306"/>
      <c r="B158" s="306"/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</row>
    <row r="159" ht="13.5" customHeight="1">
      <c r="A159" s="306"/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</row>
    <row r="160" ht="13.5" customHeight="1">
      <c r="A160" s="306"/>
      <c r="B160" s="306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  <c r="Z160" s="306"/>
    </row>
    <row r="161" ht="13.5" customHeight="1">
      <c r="A161" s="306"/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</row>
    <row r="162" ht="13.5" customHeight="1">
      <c r="A162" s="306"/>
      <c r="B162" s="306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</row>
    <row r="163" ht="13.5" customHeight="1">
      <c r="A163" s="306"/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</row>
    <row r="164" ht="13.5" customHeight="1">
      <c r="A164" s="306"/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</row>
    <row r="165" ht="13.5" customHeight="1">
      <c r="A165" s="306"/>
      <c r="B165" s="306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</row>
    <row r="166" ht="13.5" customHeight="1">
      <c r="A166" s="306"/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</row>
    <row r="167" ht="13.5" customHeight="1">
      <c r="A167" s="306"/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</row>
    <row r="168" ht="13.5" customHeight="1">
      <c r="A168" s="306"/>
      <c r="B168" s="306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  <c r="Z168" s="306"/>
    </row>
    <row r="169" ht="13.5" customHeight="1">
      <c r="A169" s="306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6"/>
      <c r="T169" s="306"/>
      <c r="U169" s="306"/>
      <c r="V169" s="306"/>
      <c r="W169" s="306"/>
      <c r="X169" s="306"/>
      <c r="Y169" s="306"/>
      <c r="Z169" s="306"/>
    </row>
    <row r="170" ht="13.5" customHeight="1">
      <c r="A170" s="306"/>
      <c r="B170" s="306"/>
      <c r="C170" s="306"/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</row>
    <row r="171" ht="13.5" customHeight="1">
      <c r="A171" s="306"/>
      <c r="B171" s="306"/>
      <c r="C171" s="306"/>
      <c r="D171" s="306"/>
      <c r="E171" s="306"/>
      <c r="F171" s="306"/>
      <c r="G171" s="306"/>
      <c r="H171" s="306"/>
      <c r="I171" s="306"/>
      <c r="J171" s="306"/>
      <c r="K171" s="306"/>
      <c r="L171" s="306"/>
      <c r="M171" s="306"/>
      <c r="N171" s="306"/>
      <c r="O171" s="306"/>
      <c r="P171" s="306"/>
      <c r="Q171" s="306"/>
      <c r="R171" s="306"/>
      <c r="S171" s="306"/>
      <c r="T171" s="306"/>
      <c r="U171" s="306"/>
      <c r="V171" s="306"/>
      <c r="W171" s="306"/>
      <c r="X171" s="306"/>
      <c r="Y171" s="306"/>
      <c r="Z171" s="306"/>
    </row>
    <row r="172" ht="13.5" customHeight="1">
      <c r="A172" s="306"/>
      <c r="B172" s="306"/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</row>
    <row r="173" ht="13.5" customHeight="1">
      <c r="A173" s="306"/>
      <c r="B173" s="306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306"/>
      <c r="X173" s="306"/>
      <c r="Y173" s="306"/>
      <c r="Z173" s="306"/>
    </row>
    <row r="174" ht="13.5" customHeight="1">
      <c r="A174" s="306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  <c r="Z174" s="306"/>
    </row>
    <row r="175" ht="13.5" customHeight="1">
      <c r="A175" s="306"/>
      <c r="B175" s="306"/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</row>
    <row r="176" ht="13.5" customHeight="1">
      <c r="A176" s="306"/>
      <c r="B176" s="306"/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/>
      <c r="Z176" s="306"/>
    </row>
    <row r="177" ht="13.5" customHeight="1">
      <c r="A177" s="306"/>
      <c r="B177" s="306"/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306"/>
      <c r="X177" s="306"/>
      <c r="Y177" s="306"/>
      <c r="Z177" s="306"/>
    </row>
    <row r="178" ht="13.5" customHeight="1">
      <c r="A178" s="306"/>
      <c r="B178" s="306"/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306"/>
    </row>
    <row r="179" ht="13.5" customHeight="1">
      <c r="A179" s="306"/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/>
      <c r="V179" s="306"/>
      <c r="W179" s="306"/>
      <c r="X179" s="306"/>
      <c r="Y179" s="306"/>
      <c r="Z179" s="306"/>
    </row>
    <row r="180" ht="13.5" customHeight="1">
      <c r="A180" s="306"/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</row>
    <row r="181" ht="13.5" customHeight="1">
      <c r="A181" s="306"/>
      <c r="B181" s="306"/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  <c r="Y181" s="306"/>
      <c r="Z181" s="306"/>
    </row>
    <row r="182" ht="13.5" customHeigh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  <c r="Z182" s="306"/>
    </row>
    <row r="183" ht="13.5" customHeight="1">
      <c r="A183" s="306"/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</row>
    <row r="184" ht="13.5" customHeight="1">
      <c r="A184" s="306"/>
      <c r="B184" s="306"/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</row>
    <row r="185" ht="13.5" customHeight="1">
      <c r="A185" s="306"/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</row>
    <row r="186" ht="13.5" customHeight="1">
      <c r="A186" s="306"/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</row>
    <row r="187" ht="13.5" customHeight="1">
      <c r="A187" s="306"/>
      <c r="B187" s="306"/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</row>
    <row r="188" ht="13.5" customHeight="1">
      <c r="A188" s="306"/>
      <c r="B188" s="306"/>
      <c r="C188" s="306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  <c r="Z188" s="306"/>
    </row>
    <row r="189" ht="13.5" customHeight="1">
      <c r="A189" s="306"/>
      <c r="B189" s="306"/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</row>
    <row r="190" ht="13.5" customHeight="1">
      <c r="A190" s="306"/>
      <c r="B190" s="306"/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306"/>
    </row>
    <row r="191" ht="13.5" customHeight="1">
      <c r="A191" s="306"/>
      <c r="B191" s="306"/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</row>
    <row r="192" ht="13.5" customHeight="1">
      <c r="A192" s="306"/>
      <c r="B192" s="306"/>
      <c r="C192" s="306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</row>
    <row r="193" ht="13.5" customHeight="1">
      <c r="A193" s="306"/>
      <c r="B193" s="306"/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6"/>
      <c r="V193" s="306"/>
      <c r="W193" s="306"/>
      <c r="X193" s="306"/>
      <c r="Y193" s="306"/>
      <c r="Z193" s="306"/>
    </row>
    <row r="194" ht="13.5" customHeight="1">
      <c r="A194" s="306"/>
      <c r="B194" s="306"/>
      <c r="C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</row>
    <row r="195" ht="13.5" customHeight="1">
      <c r="A195" s="306"/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  <c r="Z195" s="306"/>
    </row>
    <row r="196" ht="13.5" customHeight="1">
      <c r="A196" s="306"/>
      <c r="B196" s="306"/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  <c r="Z196" s="306"/>
    </row>
    <row r="197" ht="13.5" customHeight="1">
      <c r="A197" s="306"/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  <c r="S197" s="306"/>
      <c r="T197" s="306"/>
      <c r="U197" s="306"/>
      <c r="V197" s="306"/>
      <c r="W197" s="306"/>
      <c r="X197" s="306"/>
      <c r="Y197" s="306"/>
      <c r="Z197" s="306"/>
    </row>
    <row r="198" ht="13.5" customHeight="1">
      <c r="A198" s="306"/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306"/>
    </row>
    <row r="199" ht="13.5" customHeight="1">
      <c r="A199" s="306"/>
      <c r="B199" s="306"/>
      <c r="C199" s="306"/>
      <c r="D199" s="306"/>
      <c r="E199" s="306"/>
      <c r="F199" s="306"/>
      <c r="G199" s="306"/>
      <c r="H199" s="306"/>
      <c r="I199" s="306"/>
      <c r="J199" s="306"/>
      <c r="K199" s="306"/>
      <c r="L199" s="306"/>
      <c r="M199" s="306"/>
      <c r="N199" s="306"/>
      <c r="O199" s="306"/>
      <c r="P199" s="306"/>
      <c r="Q199" s="306"/>
      <c r="R199" s="306"/>
      <c r="S199" s="306"/>
      <c r="T199" s="306"/>
      <c r="U199" s="306"/>
      <c r="V199" s="306"/>
      <c r="W199" s="306"/>
      <c r="X199" s="306"/>
      <c r="Y199" s="306"/>
      <c r="Z199" s="306"/>
    </row>
    <row r="200" ht="13.5" customHeight="1">
      <c r="A200" s="306"/>
      <c r="B200" s="306"/>
      <c r="C200" s="306"/>
      <c r="D200" s="306"/>
      <c r="E200" s="306"/>
      <c r="F200" s="306"/>
      <c r="G200" s="306"/>
      <c r="H200" s="306"/>
      <c r="I200" s="306"/>
      <c r="J200" s="306"/>
      <c r="K200" s="306"/>
      <c r="L200" s="306"/>
      <c r="M200" s="306"/>
      <c r="N200" s="306"/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  <c r="Z200" s="306"/>
    </row>
    <row r="201" ht="13.5" customHeight="1">
      <c r="A201" s="306"/>
      <c r="B201" s="306"/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  <c r="Z201" s="306"/>
    </row>
    <row r="202" ht="13.5" customHeight="1">
      <c r="A202" s="306"/>
      <c r="B202" s="306"/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  <c r="T202" s="306"/>
      <c r="U202" s="306"/>
      <c r="V202" s="306"/>
      <c r="W202" s="306"/>
      <c r="X202" s="306"/>
      <c r="Y202" s="306"/>
      <c r="Z202" s="306"/>
    </row>
    <row r="203" ht="13.5" customHeight="1">
      <c r="A203" s="306"/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306"/>
    </row>
    <row r="204" ht="13.5" customHeight="1">
      <c r="A204" s="306"/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</row>
    <row r="205" ht="13.5" customHeight="1">
      <c r="A205" s="306"/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</row>
    <row r="206" ht="13.5" customHeight="1">
      <c r="A206" s="306"/>
      <c r="B206" s="306"/>
      <c r="C206" s="306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  <c r="T206" s="306"/>
      <c r="U206" s="306"/>
      <c r="V206" s="306"/>
      <c r="W206" s="306"/>
      <c r="X206" s="306"/>
      <c r="Y206" s="306"/>
      <c r="Z206" s="306"/>
    </row>
    <row r="207" ht="13.5" customHeight="1">
      <c r="A207" s="306"/>
      <c r="B207" s="306"/>
      <c r="C207" s="306"/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  <c r="S207" s="306"/>
      <c r="T207" s="306"/>
      <c r="U207" s="306"/>
      <c r="V207" s="306"/>
      <c r="W207" s="306"/>
      <c r="X207" s="306"/>
      <c r="Y207" s="306"/>
      <c r="Z207" s="306"/>
    </row>
    <row r="208" ht="13.5" customHeight="1">
      <c r="A208" s="306"/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  <c r="T208" s="306"/>
      <c r="U208" s="306"/>
      <c r="V208" s="306"/>
      <c r="W208" s="306"/>
      <c r="X208" s="306"/>
      <c r="Y208" s="306"/>
      <c r="Z208" s="306"/>
    </row>
    <row r="209" ht="13.5" customHeight="1">
      <c r="A209" s="306"/>
      <c r="B209" s="306"/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  <c r="T209" s="306"/>
      <c r="U209" s="306"/>
      <c r="V209" s="306"/>
      <c r="W209" s="306"/>
      <c r="X209" s="306"/>
      <c r="Y209" s="306"/>
      <c r="Z209" s="306"/>
    </row>
    <row r="210" ht="13.5" customHeight="1">
      <c r="A210" s="306"/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/>
      <c r="Y210" s="306"/>
      <c r="Z210" s="306"/>
    </row>
    <row r="211" ht="13.5" customHeight="1">
      <c r="A211" s="306"/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  <c r="X211" s="306"/>
      <c r="Y211" s="306"/>
      <c r="Z211" s="306"/>
    </row>
    <row r="212" ht="13.5" customHeight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  <c r="X212" s="306"/>
      <c r="Y212" s="306"/>
      <c r="Z212" s="306"/>
    </row>
    <row r="213" ht="13.5" customHeight="1">
      <c r="A213" s="306"/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  <c r="T213" s="306"/>
      <c r="U213" s="306"/>
      <c r="V213" s="306"/>
      <c r="W213" s="306"/>
      <c r="X213" s="306"/>
      <c r="Y213" s="306"/>
      <c r="Z213" s="306"/>
    </row>
    <row r="214" ht="13.5" customHeight="1">
      <c r="A214" s="306"/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  <c r="S214" s="306"/>
      <c r="T214" s="306"/>
      <c r="U214" s="306"/>
      <c r="V214" s="306"/>
      <c r="W214" s="306"/>
      <c r="X214" s="306"/>
      <c r="Y214" s="306"/>
      <c r="Z214" s="306"/>
    </row>
    <row r="215" ht="13.5" customHeight="1">
      <c r="A215" s="306"/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  <c r="T215" s="306"/>
      <c r="U215" s="306"/>
      <c r="V215" s="306"/>
      <c r="W215" s="306"/>
      <c r="X215" s="306"/>
      <c r="Y215" s="306"/>
      <c r="Z215" s="306"/>
    </row>
    <row r="216" ht="13.5" customHeight="1">
      <c r="A216" s="306"/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  <c r="T216" s="306"/>
      <c r="U216" s="306"/>
      <c r="V216" s="306"/>
      <c r="W216" s="306"/>
      <c r="X216" s="306"/>
      <c r="Y216" s="306"/>
      <c r="Z216" s="306"/>
    </row>
    <row r="217" ht="13.5" customHeight="1">
      <c r="A217" s="306"/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  <c r="T217" s="306"/>
      <c r="U217" s="306"/>
      <c r="V217" s="306"/>
      <c r="W217" s="306"/>
      <c r="X217" s="306"/>
      <c r="Y217" s="306"/>
      <c r="Z217" s="306"/>
    </row>
    <row r="218" ht="13.5" customHeight="1">
      <c r="A218" s="306"/>
      <c r="B218" s="306"/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  <c r="T218" s="306"/>
      <c r="U218" s="306"/>
      <c r="V218" s="306"/>
      <c r="W218" s="306"/>
      <c r="X218" s="306"/>
      <c r="Y218" s="306"/>
      <c r="Z218" s="306"/>
    </row>
    <row r="219" ht="13.5" customHeight="1">
      <c r="A219" s="306"/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</row>
    <row r="220" ht="13.5" customHeight="1">
      <c r="A220" s="306"/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</row>
    <row r="221" ht="13.5" customHeight="1">
      <c r="A221" s="306"/>
      <c r="B221" s="306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  <c r="Z221" s="306"/>
    </row>
    <row r="222" ht="13.5" customHeight="1">
      <c r="A222" s="306"/>
      <c r="B222" s="306"/>
      <c r="C222" s="306"/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  <c r="S222" s="306"/>
      <c r="T222" s="306"/>
      <c r="U222" s="306"/>
      <c r="V222" s="306"/>
      <c r="W222" s="306"/>
      <c r="X222" s="306"/>
      <c r="Y222" s="306"/>
      <c r="Z222" s="306"/>
    </row>
    <row r="223" ht="13.5" customHeight="1">
      <c r="A223" s="306"/>
      <c r="B223" s="306"/>
      <c r="C223" s="306"/>
      <c r="D223" s="306"/>
      <c r="E223" s="306"/>
      <c r="F223" s="306"/>
      <c r="G223" s="306"/>
      <c r="H223" s="306"/>
      <c r="I223" s="306"/>
      <c r="J223" s="306"/>
      <c r="K223" s="306"/>
      <c r="L223" s="306"/>
      <c r="M223" s="306"/>
      <c r="N223" s="306"/>
      <c r="O223" s="306"/>
      <c r="P223" s="306"/>
      <c r="Q223" s="306"/>
      <c r="R223" s="306"/>
      <c r="S223" s="306"/>
      <c r="T223" s="306"/>
      <c r="U223" s="306"/>
      <c r="V223" s="306"/>
      <c r="W223" s="306"/>
      <c r="X223" s="306"/>
      <c r="Y223" s="306"/>
      <c r="Z223" s="306"/>
    </row>
    <row r="224" ht="13.5" customHeight="1">
      <c r="A224" s="306"/>
      <c r="B224" s="306"/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  <c r="T224" s="306"/>
      <c r="U224" s="306"/>
      <c r="V224" s="306"/>
      <c r="W224" s="306"/>
      <c r="X224" s="306"/>
      <c r="Y224" s="306"/>
      <c r="Z224" s="306"/>
    </row>
    <row r="225" ht="13.5" customHeight="1">
      <c r="A225" s="306"/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306"/>
      <c r="O225" s="306"/>
      <c r="P225" s="306"/>
      <c r="Q225" s="306"/>
      <c r="R225" s="306"/>
      <c r="S225" s="306"/>
      <c r="T225" s="306"/>
      <c r="U225" s="306"/>
      <c r="V225" s="306"/>
      <c r="W225" s="306"/>
      <c r="X225" s="306"/>
      <c r="Y225" s="306"/>
      <c r="Z225" s="306"/>
    </row>
    <row r="226" ht="13.5" customHeight="1">
      <c r="A226" s="306"/>
      <c r="B226" s="306"/>
      <c r="C226" s="306"/>
      <c r="D226" s="306"/>
      <c r="E226" s="306"/>
      <c r="F226" s="306"/>
      <c r="G226" s="306"/>
      <c r="H226" s="306"/>
      <c r="I226" s="306"/>
      <c r="J226" s="306"/>
      <c r="K226" s="306"/>
      <c r="L226" s="306"/>
      <c r="M226" s="306"/>
      <c r="N226" s="306"/>
      <c r="O226" s="306"/>
      <c r="P226" s="306"/>
      <c r="Q226" s="306"/>
      <c r="R226" s="306"/>
      <c r="S226" s="306"/>
      <c r="T226" s="306"/>
      <c r="U226" s="306"/>
      <c r="V226" s="306"/>
      <c r="W226" s="306"/>
      <c r="X226" s="306"/>
      <c r="Y226" s="306"/>
      <c r="Z226" s="306"/>
    </row>
    <row r="227" ht="13.5" customHeight="1">
      <c r="A227" s="306"/>
      <c r="B227" s="306"/>
      <c r="C227" s="306"/>
      <c r="D227" s="306"/>
      <c r="E227" s="306"/>
      <c r="F227" s="306"/>
      <c r="G227" s="306"/>
      <c r="H227" s="306"/>
      <c r="I227" s="306"/>
      <c r="J227" s="306"/>
      <c r="K227" s="306"/>
      <c r="L227" s="306"/>
      <c r="M227" s="306"/>
      <c r="N227" s="306"/>
      <c r="O227" s="306"/>
      <c r="P227" s="306"/>
      <c r="Q227" s="306"/>
      <c r="R227" s="306"/>
      <c r="S227" s="306"/>
      <c r="T227" s="306"/>
      <c r="U227" s="306"/>
      <c r="V227" s="306"/>
      <c r="W227" s="306"/>
      <c r="X227" s="306"/>
      <c r="Y227" s="306"/>
      <c r="Z227" s="306"/>
    </row>
    <row r="228" ht="13.5" customHeight="1">
      <c r="A228" s="306"/>
      <c r="B228" s="306"/>
      <c r="C228" s="306"/>
      <c r="D228" s="306"/>
      <c r="E228" s="306"/>
      <c r="F228" s="306"/>
      <c r="G228" s="306"/>
      <c r="H228" s="306"/>
      <c r="I228" s="306"/>
      <c r="J228" s="306"/>
      <c r="K228" s="306"/>
      <c r="L228" s="306"/>
      <c r="M228" s="306"/>
      <c r="N228" s="306"/>
      <c r="O228" s="306"/>
      <c r="P228" s="306"/>
      <c r="Q228" s="306"/>
      <c r="R228" s="306"/>
      <c r="S228" s="306"/>
      <c r="T228" s="306"/>
      <c r="U228" s="306"/>
      <c r="V228" s="306"/>
      <c r="W228" s="306"/>
      <c r="X228" s="306"/>
      <c r="Y228" s="306"/>
      <c r="Z228" s="306"/>
    </row>
    <row r="229" ht="13.5" customHeight="1">
      <c r="A229" s="306"/>
      <c r="B229" s="306"/>
      <c r="C229" s="306"/>
      <c r="D229" s="306"/>
      <c r="E229" s="306"/>
      <c r="F229" s="306"/>
      <c r="G229" s="306"/>
      <c r="H229" s="306"/>
      <c r="I229" s="306"/>
      <c r="J229" s="306"/>
      <c r="K229" s="306"/>
      <c r="L229" s="306"/>
      <c r="M229" s="306"/>
      <c r="N229" s="306"/>
      <c r="O229" s="306"/>
      <c r="P229" s="306"/>
      <c r="Q229" s="306"/>
      <c r="R229" s="306"/>
      <c r="S229" s="306"/>
      <c r="T229" s="306"/>
      <c r="U229" s="306"/>
      <c r="V229" s="306"/>
      <c r="W229" s="306"/>
      <c r="X229" s="306"/>
      <c r="Y229" s="306"/>
      <c r="Z229" s="306"/>
    </row>
    <row r="230" ht="13.5" customHeight="1">
      <c r="A230" s="306"/>
      <c r="B230" s="306"/>
      <c r="C230" s="306"/>
      <c r="D230" s="306"/>
      <c r="E230" s="306"/>
      <c r="F230" s="306"/>
      <c r="G230" s="306"/>
      <c r="H230" s="306"/>
      <c r="I230" s="306"/>
      <c r="J230" s="306"/>
      <c r="K230" s="306"/>
      <c r="L230" s="306"/>
      <c r="M230" s="306"/>
      <c r="N230" s="306"/>
      <c r="O230" s="306"/>
      <c r="P230" s="306"/>
      <c r="Q230" s="306"/>
      <c r="R230" s="306"/>
      <c r="S230" s="306"/>
      <c r="T230" s="306"/>
      <c r="U230" s="306"/>
      <c r="V230" s="306"/>
      <c r="W230" s="306"/>
      <c r="X230" s="306"/>
      <c r="Y230" s="306"/>
      <c r="Z230" s="306"/>
    </row>
    <row r="231" ht="13.5" customHeight="1">
      <c r="A231" s="306"/>
      <c r="B231" s="306"/>
      <c r="C231" s="306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  <c r="S231" s="306"/>
      <c r="T231" s="306"/>
      <c r="U231" s="306"/>
      <c r="V231" s="306"/>
      <c r="W231" s="306"/>
      <c r="X231" s="306"/>
      <c r="Y231" s="306"/>
      <c r="Z231" s="306"/>
    </row>
    <row r="232" ht="13.5" customHeight="1">
      <c r="A232" s="306"/>
      <c r="B232" s="306"/>
      <c r="C232" s="306"/>
      <c r="D232" s="306"/>
      <c r="E232" s="306"/>
      <c r="F232" s="306"/>
      <c r="G232" s="306"/>
      <c r="H232" s="306"/>
      <c r="I232" s="306"/>
      <c r="J232" s="306"/>
      <c r="K232" s="306"/>
      <c r="L232" s="306"/>
      <c r="M232" s="306"/>
      <c r="N232" s="306"/>
      <c r="O232" s="306"/>
      <c r="P232" s="306"/>
      <c r="Q232" s="306"/>
      <c r="R232" s="306"/>
      <c r="S232" s="306"/>
      <c r="T232" s="306"/>
      <c r="U232" s="306"/>
      <c r="V232" s="306"/>
      <c r="W232" s="306"/>
      <c r="X232" s="306"/>
      <c r="Y232" s="306"/>
      <c r="Z232" s="306"/>
    </row>
    <row r="233" ht="13.5" customHeight="1">
      <c r="A233" s="306"/>
      <c r="B233" s="306"/>
      <c r="C233" s="306"/>
      <c r="D233" s="306"/>
      <c r="E233" s="306"/>
      <c r="F233" s="306"/>
      <c r="G233" s="306"/>
      <c r="H233" s="306"/>
      <c r="I233" s="306"/>
      <c r="J233" s="306"/>
      <c r="K233" s="306"/>
      <c r="L233" s="306"/>
      <c r="M233" s="306"/>
      <c r="N233" s="306"/>
      <c r="O233" s="306"/>
      <c r="P233" s="306"/>
      <c r="Q233" s="306"/>
      <c r="R233" s="306"/>
      <c r="S233" s="306"/>
      <c r="T233" s="306"/>
      <c r="U233" s="306"/>
      <c r="V233" s="306"/>
      <c r="W233" s="306"/>
      <c r="X233" s="306"/>
      <c r="Y233" s="306"/>
      <c r="Z233" s="306"/>
    </row>
    <row r="234" ht="13.5" customHeight="1">
      <c r="A234" s="306"/>
      <c r="B234" s="306"/>
      <c r="C234" s="306"/>
      <c r="D234" s="306"/>
      <c r="E234" s="306"/>
      <c r="F234" s="306"/>
      <c r="G234" s="306"/>
      <c r="H234" s="306"/>
      <c r="I234" s="306"/>
      <c r="J234" s="306"/>
      <c r="K234" s="306"/>
      <c r="L234" s="306"/>
      <c r="M234" s="306"/>
      <c r="N234" s="306"/>
      <c r="O234" s="306"/>
      <c r="P234" s="306"/>
      <c r="Q234" s="306"/>
      <c r="R234" s="306"/>
      <c r="S234" s="306"/>
      <c r="T234" s="306"/>
      <c r="U234" s="306"/>
      <c r="V234" s="306"/>
      <c r="W234" s="306"/>
      <c r="X234" s="306"/>
      <c r="Y234" s="306"/>
      <c r="Z234" s="306"/>
    </row>
    <row r="235" ht="13.5" customHeight="1">
      <c r="A235" s="306"/>
      <c r="B235" s="306"/>
      <c r="C235" s="306"/>
      <c r="D235" s="306"/>
      <c r="E235" s="306"/>
      <c r="F235" s="306"/>
      <c r="G235" s="306"/>
      <c r="H235" s="306"/>
      <c r="I235" s="306"/>
      <c r="J235" s="306"/>
      <c r="K235" s="306"/>
      <c r="L235" s="306"/>
      <c r="M235" s="306"/>
      <c r="N235" s="306"/>
      <c r="O235" s="306"/>
      <c r="P235" s="306"/>
      <c r="Q235" s="306"/>
      <c r="R235" s="306"/>
      <c r="S235" s="306"/>
      <c r="T235" s="306"/>
      <c r="U235" s="306"/>
      <c r="V235" s="306"/>
      <c r="W235" s="306"/>
      <c r="X235" s="306"/>
      <c r="Y235" s="306"/>
      <c r="Z235" s="306"/>
    </row>
    <row r="236" ht="13.5" customHeight="1">
      <c r="A236" s="306"/>
      <c r="B236" s="306"/>
      <c r="C236" s="306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306"/>
      <c r="O236" s="306"/>
      <c r="P236" s="306"/>
      <c r="Q236" s="306"/>
      <c r="R236" s="306"/>
      <c r="S236" s="306"/>
      <c r="T236" s="306"/>
      <c r="U236" s="306"/>
      <c r="V236" s="306"/>
      <c r="W236" s="306"/>
      <c r="X236" s="306"/>
      <c r="Y236" s="306"/>
      <c r="Z236" s="306"/>
    </row>
  </sheetData>
  <mergeCells count="4">
    <mergeCell ref="K23:L23"/>
    <mergeCell ref="K24:L24"/>
    <mergeCell ref="K29:L29"/>
    <mergeCell ref="K35:L35"/>
  </mergeCells>
  <conditionalFormatting sqref="L25">
    <cfRule type="cellIs" dxfId="1" priority="1" operator="equal">
      <formula>"OK"</formula>
    </cfRule>
  </conditionalFormatting>
  <conditionalFormatting sqref="L25">
    <cfRule type="cellIs" dxfId="2" priority="2" operator="equal">
      <formula>"MAL"</formula>
    </cfRule>
  </conditionalFormatting>
  <conditionalFormatting sqref="L26">
    <cfRule type="cellIs" dxfId="1" priority="3" operator="equal">
      <formula>"OK"</formula>
    </cfRule>
  </conditionalFormatting>
  <conditionalFormatting sqref="L26">
    <cfRule type="cellIs" dxfId="2" priority="4" operator="equal">
      <formula>"MAL"</formula>
    </cfRule>
  </conditionalFormatting>
  <conditionalFormatting sqref="L27">
    <cfRule type="cellIs" dxfId="1" priority="5" operator="equal">
      <formula>"OK"</formula>
    </cfRule>
  </conditionalFormatting>
  <conditionalFormatting sqref="L27">
    <cfRule type="cellIs" dxfId="2" priority="6" operator="equal">
      <formula>"MAL"</formula>
    </cfRule>
  </conditionalFormatting>
  <conditionalFormatting sqref="L28">
    <cfRule type="cellIs" dxfId="1" priority="7" operator="equal">
      <formula>"OK"</formula>
    </cfRule>
  </conditionalFormatting>
  <conditionalFormatting sqref="L28">
    <cfRule type="cellIs" dxfId="2" priority="8" operator="equal">
      <formula>"MAL"</formula>
    </cfRule>
  </conditionalFormatting>
  <conditionalFormatting sqref="L30">
    <cfRule type="cellIs" dxfId="1" priority="9" operator="equal">
      <formula>"OK"</formula>
    </cfRule>
  </conditionalFormatting>
  <conditionalFormatting sqref="L30">
    <cfRule type="cellIs" dxfId="2" priority="10" operator="equal">
      <formula>"MAL"</formula>
    </cfRule>
  </conditionalFormatting>
  <conditionalFormatting sqref="L31">
    <cfRule type="cellIs" dxfId="1" priority="11" operator="equal">
      <formula>"OK"</formula>
    </cfRule>
  </conditionalFormatting>
  <conditionalFormatting sqref="L31">
    <cfRule type="cellIs" dxfId="2" priority="12" operator="equal">
      <formula>"MAL"</formula>
    </cfRule>
  </conditionalFormatting>
  <conditionalFormatting sqref="L32">
    <cfRule type="cellIs" dxfId="1" priority="13" operator="equal">
      <formula>"OK"</formula>
    </cfRule>
  </conditionalFormatting>
  <conditionalFormatting sqref="L32">
    <cfRule type="cellIs" dxfId="2" priority="14" operator="equal">
      <formula>"MAL"</formula>
    </cfRule>
  </conditionalFormatting>
  <conditionalFormatting sqref="L33">
    <cfRule type="cellIs" dxfId="1" priority="15" operator="equal">
      <formula>"OK"</formula>
    </cfRule>
  </conditionalFormatting>
  <conditionalFormatting sqref="L33">
    <cfRule type="cellIs" dxfId="2" priority="16" operator="equal">
      <formula>"MAL"</formula>
    </cfRule>
  </conditionalFormatting>
  <conditionalFormatting sqref="L34">
    <cfRule type="cellIs" dxfId="1" priority="17" operator="equal">
      <formula>"OK"</formula>
    </cfRule>
  </conditionalFormatting>
  <conditionalFormatting sqref="L34">
    <cfRule type="cellIs" dxfId="2" priority="18" operator="equal">
      <formula>"MAL"</formula>
    </cfRule>
  </conditionalFormatting>
  <conditionalFormatting sqref="L36">
    <cfRule type="cellIs" dxfId="1" priority="19" operator="equal">
      <formula>"OK"</formula>
    </cfRule>
  </conditionalFormatting>
  <conditionalFormatting sqref="L36">
    <cfRule type="cellIs" dxfId="2" priority="20" operator="equal">
      <formula>"MAL"</formula>
    </cfRule>
  </conditionalFormatting>
  <printOptions/>
  <pageMargins bottom="0.75" footer="0.0" header="0.0" left="0.25" right="0.25" top="0.75"/>
  <pageSetup paperSize="9"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pageSetUpPr/>
  </sheetPr>
  <sheetViews>
    <sheetView showGridLines="0" workbookViewId="0"/>
  </sheetViews>
  <sheetFormatPr customHeight="1" defaultColWidth="14.43" defaultRowHeight="15.0"/>
  <cols>
    <col customWidth="1" min="1" max="1" width="33.57"/>
    <col customWidth="1" min="2" max="2" width="14.0"/>
    <col customWidth="1" min="3" max="3" width="43.43"/>
    <col customWidth="1" min="4" max="5" width="19.0"/>
    <col customWidth="1" min="6" max="7" width="17.57"/>
    <col customWidth="1" min="8" max="9" width="21.0"/>
    <col customWidth="1" min="10" max="10" width="24.29"/>
    <col customWidth="1" min="11" max="11" width="26.43"/>
    <col customWidth="1" min="12" max="12" width="11.43"/>
    <col customWidth="1" min="13" max="13" width="40.57"/>
    <col customWidth="1" min="14" max="14" width="16.14"/>
    <col customWidth="1" min="15" max="15" width="9.29"/>
    <col customWidth="1" min="16" max="16" width="12.0"/>
    <col customWidth="1" min="17" max="22" width="11.43"/>
  </cols>
  <sheetData>
    <row r="1">
      <c r="B1" s="48" t="s">
        <v>52</v>
      </c>
    </row>
    <row r="3">
      <c r="R3">
        <v>101.16500000000005</v>
      </c>
    </row>
    <row r="4">
      <c r="M4" s="49" t="s">
        <v>53</v>
      </c>
      <c r="N4" s="36"/>
      <c r="O4" s="37"/>
    </row>
    <row r="5">
      <c r="A5" s="50"/>
      <c r="B5" s="51"/>
      <c r="C5" s="51"/>
      <c r="D5" s="51"/>
      <c r="E5" s="51"/>
      <c r="F5" s="51"/>
      <c r="G5" s="51"/>
      <c r="H5" s="51"/>
      <c r="I5" s="51"/>
      <c r="M5" s="52" t="s">
        <v>54</v>
      </c>
      <c r="N5" s="18">
        <v>11.0</v>
      </c>
      <c r="O5" s="38" t="s">
        <v>55</v>
      </c>
      <c r="P5" s="53">
        <v>0.14142453072769348</v>
      </c>
    </row>
    <row r="6">
      <c r="A6" s="50"/>
      <c r="B6" s="51"/>
      <c r="C6" s="51"/>
      <c r="D6" s="51"/>
      <c r="E6" s="51"/>
      <c r="F6" s="51"/>
      <c r="G6" s="51"/>
      <c r="H6" s="51"/>
      <c r="I6" s="51"/>
      <c r="M6" s="52" t="s">
        <v>56</v>
      </c>
      <c r="N6" s="18">
        <v>1.5</v>
      </c>
      <c r="O6" s="38" t="s">
        <v>55</v>
      </c>
      <c r="P6" s="53">
        <v>0.019285163281049112</v>
      </c>
    </row>
    <row r="7">
      <c r="A7" s="50"/>
      <c r="B7" s="51"/>
      <c r="C7" s="51"/>
      <c r="D7" s="51"/>
      <c r="E7" s="51"/>
      <c r="F7" s="51"/>
      <c r="G7" s="51"/>
      <c r="H7" s="51"/>
      <c r="I7" s="51"/>
      <c r="M7" s="52" t="s">
        <v>57</v>
      </c>
      <c r="N7" s="18">
        <v>60.0</v>
      </c>
      <c r="O7" s="38" t="s">
        <v>55</v>
      </c>
      <c r="P7" s="53">
        <v>0.7714065312419645</v>
      </c>
    </row>
    <row r="8">
      <c r="A8" s="50"/>
      <c r="B8" s="51"/>
      <c r="C8" s="51"/>
      <c r="D8" s="51"/>
      <c r="E8" s="51"/>
      <c r="F8" s="51"/>
      <c r="G8" s="51"/>
      <c r="H8" s="51"/>
      <c r="I8" s="51"/>
      <c r="M8" s="52" t="s">
        <v>58</v>
      </c>
      <c r="N8" s="18">
        <v>5.28</v>
      </c>
      <c r="O8" s="38" t="s">
        <v>55</v>
      </c>
      <c r="P8" s="53">
        <v>0.06788377474929289</v>
      </c>
    </row>
    <row r="9">
      <c r="A9" s="54"/>
      <c r="B9" s="55" t="s">
        <v>59</v>
      </c>
      <c r="C9" s="56"/>
      <c r="D9" s="56"/>
      <c r="E9" s="56"/>
      <c r="F9" s="56"/>
      <c r="G9" s="56"/>
      <c r="H9" s="56"/>
      <c r="I9" s="57"/>
      <c r="K9">
        <v>1155.033</v>
      </c>
      <c r="M9" s="58" t="s">
        <v>60</v>
      </c>
      <c r="N9" s="59">
        <v>77.78</v>
      </c>
      <c r="O9" s="60" t="s">
        <v>55</v>
      </c>
    </row>
    <row r="10">
      <c r="A10" s="61"/>
      <c r="B10" s="62"/>
      <c r="I10" s="63"/>
      <c r="M10" s="52" t="s">
        <v>61</v>
      </c>
      <c r="N10" s="18">
        <v>4.44</v>
      </c>
      <c r="O10" s="38" t="s">
        <v>18</v>
      </c>
    </row>
    <row r="11">
      <c r="A11" s="64"/>
      <c r="B11" s="62"/>
      <c r="I11" s="63"/>
      <c r="M11" s="52" t="s">
        <v>62</v>
      </c>
      <c r="N11" s="38">
        <v>4.0</v>
      </c>
      <c r="O11" s="38" t="s">
        <v>63</v>
      </c>
      <c r="P11" s="34">
        <v>0.4</v>
      </c>
      <c r="Q11" s="34" t="s">
        <v>64</v>
      </c>
    </row>
    <row r="12">
      <c r="A12" s="65"/>
      <c r="B12" s="62"/>
      <c r="I12" s="63"/>
      <c r="M12" s="52" t="s">
        <v>65</v>
      </c>
      <c r="N12" s="38">
        <v>1.32</v>
      </c>
      <c r="O12" s="38" t="s">
        <v>66</v>
      </c>
      <c r="P12" s="34"/>
      <c r="Q12" s="34"/>
      <c r="R12" s="66" t="s">
        <v>67</v>
      </c>
      <c r="S12" s="67"/>
    </row>
    <row r="13">
      <c r="A13" s="65"/>
      <c r="B13" s="62"/>
      <c r="I13" s="63"/>
      <c r="M13" s="52" t="s">
        <v>68</v>
      </c>
      <c r="N13" s="38">
        <v>4.0</v>
      </c>
      <c r="O13" s="38" t="s">
        <v>69</v>
      </c>
      <c r="P13" s="34"/>
      <c r="Q13" s="34"/>
      <c r="R13" s="68">
        <v>154.95</v>
      </c>
      <c r="S13" s="68"/>
    </row>
    <row r="14">
      <c r="A14" s="69"/>
      <c r="B14" s="70"/>
      <c r="C14" s="71"/>
      <c r="D14" s="71"/>
      <c r="E14" s="71"/>
      <c r="F14" s="71"/>
      <c r="G14" s="71"/>
      <c r="H14" s="71"/>
      <c r="I14" s="72"/>
      <c r="M14" s="52" t="s">
        <v>70</v>
      </c>
      <c r="N14" s="38">
        <v>10.0</v>
      </c>
      <c r="O14" s="38" t="s">
        <v>71</v>
      </c>
      <c r="P14" s="34"/>
      <c r="Q14" s="34"/>
      <c r="R14" s="68"/>
      <c r="S14" s="68"/>
    </row>
    <row r="15">
      <c r="C15" s="34">
        <v>29700.0</v>
      </c>
      <c r="D15" s="34"/>
      <c r="E15" s="34"/>
      <c r="H15" s="73"/>
      <c r="M15" s="52" t="s">
        <v>72</v>
      </c>
      <c r="N15" s="38">
        <v>5.28</v>
      </c>
      <c r="O15" s="38" t="s">
        <v>55</v>
      </c>
      <c r="P15" s="34"/>
      <c r="Q15" s="34"/>
      <c r="R15" s="68"/>
      <c r="S15" s="68"/>
    </row>
    <row r="16">
      <c r="M16" s="52" t="s">
        <v>73</v>
      </c>
      <c r="N16" s="38">
        <v>14850.0</v>
      </c>
      <c r="O16" s="38" t="s">
        <v>74</v>
      </c>
      <c r="P16" s="34"/>
      <c r="Q16" s="34"/>
      <c r="R16" s="68">
        <v>8.0487E7</v>
      </c>
      <c r="S16" s="68" t="s">
        <v>75</v>
      </c>
    </row>
    <row r="17">
      <c r="M17" s="74" t="s">
        <v>76</v>
      </c>
      <c r="N17" s="38">
        <v>78408.0</v>
      </c>
      <c r="O17" s="38" t="s">
        <v>55</v>
      </c>
      <c r="P17" s="34"/>
      <c r="Q17" s="34"/>
      <c r="R17" s="68">
        <v>804870.0</v>
      </c>
      <c r="S17" s="68" t="s">
        <v>71</v>
      </c>
    </row>
    <row r="18">
      <c r="B18" s="75" t="s">
        <v>77</v>
      </c>
      <c r="C18" s="76" t="s">
        <v>78</v>
      </c>
      <c r="D18" s="76" t="s">
        <v>79</v>
      </c>
      <c r="E18" s="76" t="s">
        <v>80</v>
      </c>
      <c r="F18" s="77" t="s">
        <v>81</v>
      </c>
      <c r="G18" s="36"/>
      <c r="H18" s="37"/>
      <c r="I18" s="76" t="s">
        <v>82</v>
      </c>
      <c r="J18" s="76" t="s">
        <v>83</v>
      </c>
      <c r="K18" s="76"/>
      <c r="M18" s="78"/>
      <c r="N18" s="79">
        <v>78.408</v>
      </c>
      <c r="O18" s="79" t="s">
        <v>18</v>
      </c>
      <c r="P18" s="34"/>
      <c r="Q18" s="34"/>
      <c r="R18" s="80">
        <v>424971.3600000001</v>
      </c>
      <c r="S18" s="68" t="s">
        <v>55</v>
      </c>
    </row>
    <row r="19" ht="22.5" customHeight="1">
      <c r="B19" s="78"/>
      <c r="C19" s="78"/>
      <c r="D19" s="78"/>
      <c r="E19" s="78"/>
      <c r="F19" s="81" t="s">
        <v>84</v>
      </c>
      <c r="G19" s="81" t="s">
        <v>85</v>
      </c>
      <c r="H19" s="81" t="s">
        <v>86</v>
      </c>
      <c r="I19" s="78"/>
      <c r="J19" s="78"/>
      <c r="K19" s="78"/>
      <c r="N19" s="34"/>
      <c r="O19" s="34"/>
      <c r="P19" s="34"/>
      <c r="Q19" s="34"/>
      <c r="R19" s="80">
        <v>424.9713600000001</v>
      </c>
      <c r="S19" s="68" t="s">
        <v>18</v>
      </c>
    </row>
    <row r="20">
      <c r="A20" s="82" t="s">
        <v>87</v>
      </c>
      <c r="B20" s="38">
        <v>1.0</v>
      </c>
      <c r="C20" s="18" t="s">
        <v>88</v>
      </c>
      <c r="D20" s="17">
        <v>5648.96691085793</v>
      </c>
      <c r="E20" s="18">
        <v>439.56000000000006</v>
      </c>
      <c r="F20" s="38">
        <v>0.0</v>
      </c>
      <c r="G20" s="38">
        <v>14.11</v>
      </c>
      <c r="H20" s="17">
        <v>181.33343141369824</v>
      </c>
      <c r="I20" s="18">
        <v>425.45000000000005</v>
      </c>
      <c r="J20" s="83">
        <v>5467.633479444232</v>
      </c>
      <c r="L20" s="84" t="s">
        <v>89</v>
      </c>
      <c r="M20" s="52" t="s">
        <v>90</v>
      </c>
      <c r="N20" s="38">
        <v>3360000.0</v>
      </c>
      <c r="O20" s="38" t="s">
        <v>91</v>
      </c>
      <c r="P20" s="38">
        <v>3360.0</v>
      </c>
      <c r="Q20" s="38" t="s">
        <v>69</v>
      </c>
      <c r="R20" s="80">
        <v>7700.22</v>
      </c>
      <c r="S20" s="68" t="s">
        <v>18</v>
      </c>
    </row>
    <row r="21" ht="15.75" customHeight="1">
      <c r="A21" s="79" t="s">
        <v>92</v>
      </c>
      <c r="B21" s="38">
        <v>2.0</v>
      </c>
      <c r="C21" s="18" t="s">
        <v>93</v>
      </c>
      <c r="D21" s="17">
        <v>5467.633479444232</v>
      </c>
      <c r="E21" s="18">
        <v>425.45000000000005</v>
      </c>
      <c r="F21" s="38">
        <v>0.0</v>
      </c>
      <c r="G21" s="18">
        <v>346.56</v>
      </c>
      <c r="H21" s="17">
        <v>4453.785541511794</v>
      </c>
      <c r="I21" s="18">
        <v>78.89000000000004</v>
      </c>
      <c r="J21" s="83">
        <v>1013.8479379324381</v>
      </c>
      <c r="L21" s="85"/>
      <c r="M21" s="52" t="s">
        <v>94</v>
      </c>
      <c r="N21" s="38">
        <v>21680.0</v>
      </c>
      <c r="O21" s="38" t="s">
        <v>91</v>
      </c>
      <c r="P21" s="38">
        <v>21.68</v>
      </c>
      <c r="Q21" s="38" t="s">
        <v>69</v>
      </c>
      <c r="R21" s="68"/>
      <c r="S21" s="68"/>
    </row>
    <row r="22" ht="15.75" customHeight="1">
      <c r="A22" s="79" t="s">
        <v>95</v>
      </c>
      <c r="B22" s="38">
        <v>3.0</v>
      </c>
      <c r="C22" s="17" t="s">
        <v>96</v>
      </c>
      <c r="D22" s="17">
        <v>1013.8479379324377</v>
      </c>
      <c r="E22" s="18">
        <v>78.89000000000004</v>
      </c>
      <c r="F22" s="38">
        <v>0.0</v>
      </c>
      <c r="G22" s="86">
        <v>0.0</v>
      </c>
      <c r="H22" s="17">
        <v>0.0</v>
      </c>
      <c r="I22" s="18">
        <v>78.89000000000004</v>
      </c>
      <c r="J22" s="83">
        <v>1013.8479379324377</v>
      </c>
      <c r="L22" s="78"/>
      <c r="M22" s="52" t="s">
        <v>97</v>
      </c>
      <c r="N22" s="38">
        <v>3338320.0</v>
      </c>
      <c r="O22" s="38" t="s">
        <v>91</v>
      </c>
      <c r="P22" s="38">
        <v>3338.32</v>
      </c>
      <c r="Q22" s="38" t="s">
        <v>69</v>
      </c>
      <c r="R22" s="68"/>
      <c r="S22" s="68"/>
    </row>
    <row r="23" ht="15.75" customHeight="1">
      <c r="A23" s="79" t="s">
        <v>98</v>
      </c>
      <c r="B23" s="38">
        <v>4.0</v>
      </c>
      <c r="C23" s="17" t="s">
        <v>96</v>
      </c>
      <c r="D23" s="17">
        <v>1013.8479379324377</v>
      </c>
      <c r="E23" s="18">
        <v>78.89000000000004</v>
      </c>
      <c r="F23" s="38">
        <v>0.0</v>
      </c>
      <c r="G23" s="86">
        <v>0.0</v>
      </c>
      <c r="H23" s="17">
        <v>0.0</v>
      </c>
      <c r="I23" s="18">
        <v>78.89000000000004</v>
      </c>
      <c r="J23" s="83">
        <v>1013.8479379324377</v>
      </c>
      <c r="L23" s="87"/>
      <c r="M23" s="88"/>
      <c r="N23" s="34"/>
      <c r="O23" s="34"/>
      <c r="P23" s="34"/>
      <c r="Q23" s="34"/>
      <c r="R23" s="68"/>
      <c r="S23" s="68"/>
    </row>
    <row r="24" ht="15.75" customHeight="1">
      <c r="A24" s="79" t="s">
        <v>99</v>
      </c>
      <c r="B24" s="38">
        <v>5.0</v>
      </c>
      <c r="C24" s="17" t="s">
        <v>96</v>
      </c>
      <c r="D24" s="17">
        <v>1013.8479379324377</v>
      </c>
      <c r="E24" s="18">
        <v>78.89000000000004</v>
      </c>
      <c r="F24" s="38">
        <v>0.0</v>
      </c>
      <c r="G24" s="86">
        <v>0.0</v>
      </c>
      <c r="H24" s="17">
        <v>0.0</v>
      </c>
      <c r="I24" s="18">
        <v>78.89000000000004</v>
      </c>
      <c r="J24" s="83">
        <v>1013.8479379324377</v>
      </c>
      <c r="L24" s="87"/>
      <c r="M24" s="88"/>
      <c r="N24" s="34"/>
      <c r="O24" s="34"/>
      <c r="P24" s="34"/>
      <c r="Q24" s="34"/>
      <c r="R24" s="68"/>
      <c r="S24" s="68"/>
    </row>
    <row r="25" ht="15.75" customHeight="1">
      <c r="A25" s="79" t="s">
        <v>100</v>
      </c>
      <c r="B25" s="38">
        <v>6.0</v>
      </c>
      <c r="C25" s="18" t="s">
        <v>101</v>
      </c>
      <c r="D25" s="17">
        <v>1300.1131530096977</v>
      </c>
      <c r="E25" s="18">
        <v>101.16500000000005</v>
      </c>
      <c r="F25" s="38">
        <v>0.0</v>
      </c>
      <c r="G25" s="86">
        <v>0.0</v>
      </c>
      <c r="H25" s="17">
        <v>0.0</v>
      </c>
      <c r="I25" s="18">
        <v>101.16500000000005</v>
      </c>
      <c r="J25" s="83">
        <v>1300.1131530096977</v>
      </c>
      <c r="L25" s="87"/>
      <c r="M25" s="88"/>
      <c r="N25" s="34"/>
      <c r="O25" s="34"/>
      <c r="P25" s="34"/>
      <c r="Q25" s="34"/>
      <c r="R25" s="68"/>
      <c r="S25" s="68"/>
    </row>
    <row r="26" ht="15.75" customHeight="1">
      <c r="A26" s="79" t="s">
        <v>102</v>
      </c>
      <c r="B26" s="38">
        <v>7.0</v>
      </c>
      <c r="C26" s="18" t="s">
        <v>101</v>
      </c>
      <c r="D26" s="17">
        <v>1300.1131530096977</v>
      </c>
      <c r="E26" s="18">
        <v>101.16500000000005</v>
      </c>
      <c r="F26" s="38">
        <v>0.0</v>
      </c>
      <c r="G26" s="86">
        <v>0.0</v>
      </c>
      <c r="H26" s="17">
        <v>0.0</v>
      </c>
      <c r="I26" s="18">
        <v>101.16500000000005</v>
      </c>
      <c r="J26" s="83">
        <v>1300.1131530096977</v>
      </c>
      <c r="L26" s="87"/>
      <c r="M26" s="88"/>
      <c r="N26" s="34"/>
      <c r="O26" s="34"/>
      <c r="P26" s="34"/>
      <c r="Q26" s="34"/>
      <c r="R26" s="68"/>
      <c r="S26" s="68"/>
    </row>
    <row r="27" ht="15.75" customHeight="1">
      <c r="A27" s="79" t="s">
        <v>103</v>
      </c>
      <c r="B27" s="38">
        <v>8.0</v>
      </c>
      <c r="C27" s="18" t="s">
        <v>101</v>
      </c>
      <c r="D27" s="17">
        <v>1300.1131530096977</v>
      </c>
      <c r="E27" s="18">
        <v>101.16500000000005</v>
      </c>
      <c r="F27" s="38">
        <v>0.0</v>
      </c>
      <c r="G27" s="86">
        <v>0.0</v>
      </c>
      <c r="H27" s="17">
        <v>0.0</v>
      </c>
      <c r="I27" s="18">
        <v>101.16500000000005</v>
      </c>
      <c r="J27" s="83">
        <v>1300.1131530096977</v>
      </c>
      <c r="R27" s="80"/>
      <c r="S27" s="68">
        <v>28.6176</v>
      </c>
    </row>
    <row r="28" ht="15.75" customHeight="1">
      <c r="A28" s="79" t="s">
        <v>104</v>
      </c>
      <c r="B28" s="38">
        <v>9.0</v>
      </c>
      <c r="C28" s="18" t="s">
        <v>105</v>
      </c>
      <c r="D28" s="17">
        <v>3399.3913969096034</v>
      </c>
      <c r="E28" s="18">
        <v>264.515</v>
      </c>
      <c r="F28" s="38">
        <v>0.0</v>
      </c>
      <c r="G28" s="86">
        <v>0.0</v>
      </c>
      <c r="H28" s="17">
        <v>0.0</v>
      </c>
      <c r="I28" s="18">
        <v>264.515</v>
      </c>
      <c r="J28" s="83">
        <v>3399.3913969096034</v>
      </c>
      <c r="M28" s="89" t="s">
        <v>106</v>
      </c>
      <c r="N28" s="38">
        <v>4406.5824</v>
      </c>
      <c r="O28" s="90" t="s">
        <v>55</v>
      </c>
      <c r="P28" s="90">
        <v>4.4065824000000005</v>
      </c>
      <c r="Q28" s="90" t="s">
        <v>18</v>
      </c>
      <c r="R28" s="91"/>
      <c r="S28" s="91"/>
      <c r="T28" s="91"/>
      <c r="U28" s="91"/>
      <c r="V28" s="91"/>
    </row>
    <row r="29" ht="15.75" customHeight="1">
      <c r="A29" s="79" t="s">
        <v>107</v>
      </c>
      <c r="B29" s="38">
        <v>10.0</v>
      </c>
      <c r="C29" s="18" t="s">
        <v>108</v>
      </c>
      <c r="D29" s="17">
        <v>14850.0</v>
      </c>
      <c r="E29" s="18">
        <v>1155.5149999999999</v>
      </c>
      <c r="F29" s="38">
        <v>0.0</v>
      </c>
      <c r="G29" s="86">
        <v>0.0</v>
      </c>
      <c r="H29" s="17">
        <v>0.0</v>
      </c>
      <c r="I29" s="18">
        <v>1155.5149999999999</v>
      </c>
      <c r="J29" s="83">
        <v>14850.0</v>
      </c>
      <c r="K29" s="92">
        <v>1155.033</v>
      </c>
      <c r="M29" s="89" t="s">
        <v>109</v>
      </c>
      <c r="N29" s="38">
        <v>14850.0</v>
      </c>
      <c r="O29" s="93"/>
      <c r="P29" s="93"/>
      <c r="Q29" s="93"/>
    </row>
    <row r="30" ht="15.75" customHeight="1">
      <c r="A30" s="79"/>
      <c r="B30" s="38"/>
      <c r="C30" s="18"/>
      <c r="D30" s="17"/>
      <c r="E30" s="18"/>
      <c r="F30" s="38">
        <v>0.0</v>
      </c>
      <c r="G30" s="86">
        <v>0.0</v>
      </c>
      <c r="H30" s="18"/>
      <c r="I30" s="17"/>
      <c r="J30" s="83"/>
      <c r="M30" s="89"/>
      <c r="N30" s="38"/>
      <c r="O30" s="93"/>
      <c r="P30" s="93"/>
      <c r="Q30" s="93"/>
    </row>
    <row r="31" ht="15.75" customHeight="1">
      <c r="A31" s="94" t="s">
        <v>110</v>
      </c>
      <c r="B31" s="36"/>
      <c r="C31" s="36"/>
      <c r="D31" s="36"/>
      <c r="E31" s="37"/>
      <c r="F31" s="18">
        <v>439.56000000000006</v>
      </c>
      <c r="M31" s="89" t="s">
        <v>76</v>
      </c>
      <c r="N31" s="38">
        <v>6.543774864E7</v>
      </c>
      <c r="O31" s="38" t="s">
        <v>55</v>
      </c>
      <c r="P31" s="79">
        <v>65437.74864</v>
      </c>
      <c r="Q31" s="79" t="s">
        <v>18</v>
      </c>
    </row>
    <row r="32" ht="15.75" customHeight="1">
      <c r="A32" s="77" t="s">
        <v>111</v>
      </c>
      <c r="B32" s="36"/>
      <c r="C32" s="36"/>
      <c r="D32" s="36"/>
      <c r="E32" s="37"/>
      <c r="F32" s="18">
        <v>439.56000000000006</v>
      </c>
    </row>
    <row r="33" ht="35.25" customHeight="1">
      <c r="A33" s="95" t="s">
        <v>112</v>
      </c>
      <c r="B33" s="36"/>
      <c r="C33" s="36"/>
      <c r="D33" s="36"/>
      <c r="E33" s="37"/>
      <c r="F33" s="96">
        <v>0.23787994209149943</v>
      </c>
      <c r="H33" s="97">
        <v>1516.1849999999997</v>
      </c>
      <c r="I33">
        <v>1516.185</v>
      </c>
      <c r="L33" s="98" t="s">
        <v>113</v>
      </c>
      <c r="M33" s="99" t="s">
        <v>114</v>
      </c>
      <c r="N33" s="100">
        <v>17.68</v>
      </c>
      <c r="O33" s="100" t="s">
        <v>69</v>
      </c>
      <c r="P33" s="101"/>
      <c r="Q33" s="101"/>
    </row>
    <row r="34" ht="31.5" customHeight="1">
      <c r="A34" s="95" t="s">
        <v>115</v>
      </c>
      <c r="B34" s="36"/>
      <c r="C34" s="36"/>
      <c r="D34" s="36"/>
      <c r="E34" s="37"/>
      <c r="F34" s="96">
        <v>0.23787994209149943</v>
      </c>
      <c r="L34" s="102"/>
      <c r="M34" s="99" t="s">
        <v>116</v>
      </c>
      <c r="N34" s="100">
        <v>23.337600000000002</v>
      </c>
      <c r="O34" s="100" t="s">
        <v>55</v>
      </c>
      <c r="P34" s="101">
        <v>0.023337600000000003</v>
      </c>
      <c r="Q34" s="101" t="s">
        <v>18</v>
      </c>
    </row>
    <row r="35" ht="15.75" customHeight="1">
      <c r="L35" s="103"/>
      <c r="M35" s="99" t="s">
        <v>117</v>
      </c>
      <c r="N35" s="100">
        <v>346563.36000000004</v>
      </c>
      <c r="O35" s="100" t="s">
        <v>55</v>
      </c>
      <c r="P35" s="100">
        <v>346.56336000000005</v>
      </c>
      <c r="Q35" s="100" t="s">
        <v>18</v>
      </c>
    </row>
    <row r="36" ht="15.75" customHeight="1"/>
    <row r="37" ht="15.75" customHeight="1">
      <c r="F37">
        <v>1430.388841285859</v>
      </c>
    </row>
    <row r="38" ht="15.75" customHeight="1"/>
    <row r="39" ht="15.75" customHeight="1">
      <c r="K39" t="s">
        <v>118</v>
      </c>
      <c r="L39" s="92">
        <v>5.28</v>
      </c>
      <c r="M39" s="92" t="s">
        <v>55</v>
      </c>
      <c r="N39">
        <v>0.06788377474929289</v>
      </c>
    </row>
    <row r="40" ht="34.5" customHeight="1">
      <c r="K40" s="92" t="s">
        <v>119</v>
      </c>
      <c r="L40" s="92">
        <v>11.0</v>
      </c>
      <c r="M40" s="92" t="s">
        <v>55</v>
      </c>
      <c r="N40">
        <v>0.14142453072769348</v>
      </c>
    </row>
    <row r="41" ht="15.75" customHeight="1">
      <c r="G41" s="40"/>
      <c r="K41" t="s">
        <v>120</v>
      </c>
      <c r="L41" s="92">
        <v>60.0</v>
      </c>
      <c r="M41" s="92" t="s">
        <v>55</v>
      </c>
      <c r="N41">
        <v>0.7714065312419645</v>
      </c>
    </row>
    <row r="42" ht="15.75" customHeight="1">
      <c r="K42" t="s">
        <v>121</v>
      </c>
      <c r="L42" s="92">
        <v>1.5</v>
      </c>
      <c r="M42" s="92" t="s">
        <v>55</v>
      </c>
      <c r="N42">
        <v>0.019285163281049112</v>
      </c>
    </row>
    <row r="43" ht="15.75" customHeight="1">
      <c r="G43" s="40" t="s">
        <v>122</v>
      </c>
      <c r="L43" s="92"/>
      <c r="M43" s="92" t="s">
        <v>55</v>
      </c>
      <c r="N43">
        <v>0.0</v>
      </c>
    </row>
    <row r="44" ht="15.75" customHeight="1">
      <c r="L44" s="92">
        <v>77.78</v>
      </c>
    </row>
    <row r="45" ht="15.75" customHeight="1">
      <c r="G45" s="40" t="s">
        <v>123</v>
      </c>
    </row>
    <row r="46" ht="15.75" customHeight="1">
      <c r="G46" s="40" t="s">
        <v>124</v>
      </c>
    </row>
    <row r="47" ht="15.75" customHeight="1"/>
    <row r="48" ht="15.75" customHeight="1">
      <c r="G48" s="40" t="s">
        <v>125</v>
      </c>
    </row>
    <row r="49" ht="15.75" customHeight="1"/>
    <row r="50" ht="15.75" customHeight="1">
      <c r="G50" s="40" t="s">
        <v>126</v>
      </c>
    </row>
    <row r="51" ht="15.75" customHeight="1"/>
    <row r="52" ht="15.75" customHeight="1">
      <c r="G52" s="40" t="s">
        <v>127</v>
      </c>
    </row>
    <row r="53" ht="15.75" customHeight="1"/>
    <row r="54" ht="15.75" customHeight="1"/>
    <row r="55" ht="15.75" customHeight="1"/>
    <row r="56" ht="15.75" customHeight="1">
      <c r="G56" s="104"/>
      <c r="N56">
        <v>16.251839999999998</v>
      </c>
      <c r="P56" s="105">
        <v>78.0</v>
      </c>
      <c r="Q56" s="105">
        <v>14850.0</v>
      </c>
    </row>
    <row r="57" ht="15.75" customHeight="1">
      <c r="P57" s="31">
        <v>16.251839999999998</v>
      </c>
      <c r="Q57" s="31">
        <v>3094.100307692307</v>
      </c>
    </row>
    <row r="58" ht="15.75" customHeight="1">
      <c r="G58" s="104"/>
    </row>
    <row r="59" ht="15.75" customHeight="1">
      <c r="J59" s="31"/>
      <c r="K59" s="31"/>
      <c r="L59" s="31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</sheetData>
  <mergeCells count="20">
    <mergeCell ref="B1:F1"/>
    <mergeCell ref="M4:O4"/>
    <mergeCell ref="R12:S12"/>
    <mergeCell ref="F18:H18"/>
    <mergeCell ref="D18:D19"/>
    <mergeCell ref="E18:E19"/>
    <mergeCell ref="J18:J19"/>
    <mergeCell ref="K18:K19"/>
    <mergeCell ref="M17:M18"/>
    <mergeCell ref="I18:I19"/>
    <mergeCell ref="C18:C19"/>
    <mergeCell ref="A9:A11"/>
    <mergeCell ref="B9:I14"/>
    <mergeCell ref="L20:L22"/>
    <mergeCell ref="L33:L35"/>
    <mergeCell ref="A33:E33"/>
    <mergeCell ref="A34:E34"/>
    <mergeCell ref="A32:E32"/>
    <mergeCell ref="A31:E31"/>
    <mergeCell ref="B18:B19"/>
  </mergeCells>
  <conditionalFormatting sqref="G22:G30">
    <cfRule type="notContainsBlanks" dxfId="0" priority="1">
      <formula>LEN(TRIM(G22))&gt;0</formula>
    </cfRule>
  </conditionalFormatting>
  <printOptions/>
  <pageMargins bottom="0.75" footer="0.0" header="0.0" left="0.7" right="0.7" top="0.75"/>
  <pageSetup orientation="portrait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00FF"/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23.0"/>
    <col customWidth="1" min="2" max="2" width="14.43"/>
    <col customWidth="1" min="3" max="6" width="19.57"/>
    <col customWidth="1" min="7" max="7" width="19.71"/>
    <col customWidth="1" min="10" max="10" width="27.71"/>
  </cols>
  <sheetData>
    <row r="1">
      <c r="A1" s="106" t="s">
        <v>128</v>
      </c>
      <c r="B1" s="67"/>
    </row>
    <row r="3">
      <c r="B3" s="107"/>
      <c r="C3" s="108" t="s">
        <v>129</v>
      </c>
      <c r="D3" s="109" t="s">
        <v>130</v>
      </c>
      <c r="E3" s="109" t="s">
        <v>131</v>
      </c>
      <c r="F3" s="109" t="s">
        <v>132</v>
      </c>
      <c r="G3" s="110" t="s">
        <v>133</v>
      </c>
    </row>
    <row r="4">
      <c r="B4" s="111" t="s">
        <v>134</v>
      </c>
      <c r="C4" s="112">
        <v>11880.0</v>
      </c>
      <c r="D4" s="113">
        <v>14850.0</v>
      </c>
      <c r="E4" s="113">
        <v>14850.0</v>
      </c>
      <c r="F4" s="113">
        <v>14850.0</v>
      </c>
      <c r="G4" s="113">
        <v>14850.0</v>
      </c>
    </row>
    <row r="5">
      <c r="B5" s="114"/>
      <c r="C5" s="115"/>
      <c r="D5" s="78"/>
      <c r="E5" s="78"/>
      <c r="F5" s="78"/>
      <c r="G5" s="78"/>
    </row>
    <row r="6">
      <c r="B6" s="116" t="s">
        <v>135</v>
      </c>
      <c r="C6" s="117">
        <v>11880.0</v>
      </c>
      <c r="D6" s="118">
        <v>14850.0</v>
      </c>
      <c r="E6" s="119">
        <v>14850.0</v>
      </c>
      <c r="F6" s="119">
        <v>14850.0</v>
      </c>
      <c r="G6" s="120">
        <v>14850.0</v>
      </c>
    </row>
    <row r="7">
      <c r="B7" s="92"/>
      <c r="C7" s="92"/>
      <c r="D7" s="92"/>
      <c r="E7" s="92"/>
      <c r="F7" s="92"/>
      <c r="G7" s="92"/>
    </row>
    <row r="8">
      <c r="B8" s="92"/>
      <c r="C8" s="92"/>
      <c r="D8" s="92"/>
      <c r="E8" s="92"/>
      <c r="F8" s="92"/>
      <c r="G8" s="92"/>
    </row>
    <row r="9">
      <c r="B9" s="107" t="s">
        <v>136</v>
      </c>
      <c r="C9" s="108" t="s">
        <v>137</v>
      </c>
      <c r="D9" s="109" t="s">
        <v>138</v>
      </c>
      <c r="E9" s="109" t="s">
        <v>139</v>
      </c>
      <c r="F9" s="109" t="s">
        <v>140</v>
      </c>
      <c r="G9" s="110" t="s">
        <v>141</v>
      </c>
    </row>
    <row r="10">
      <c r="B10" s="111" t="s">
        <v>134</v>
      </c>
      <c r="C10" s="121">
        <v>1427.2727272727273</v>
      </c>
      <c r="D10" s="121">
        <v>1427.2727272727273</v>
      </c>
      <c r="E10" s="121">
        <v>1427.2727272727273</v>
      </c>
      <c r="F10" s="121">
        <v>1427.2727272727273</v>
      </c>
      <c r="G10" s="121">
        <v>1427.2727272727273</v>
      </c>
    </row>
    <row r="11">
      <c r="B11" s="114"/>
      <c r="C11" s="115"/>
      <c r="D11" s="115"/>
      <c r="E11" s="115"/>
      <c r="F11" s="115"/>
      <c r="G11" s="115"/>
    </row>
    <row r="12">
      <c r="B12" s="116" t="s">
        <v>142</v>
      </c>
      <c r="C12" s="122">
        <v>1427.2727272727273</v>
      </c>
      <c r="D12" s="123">
        <v>1427.2727272727273</v>
      </c>
      <c r="E12" s="123">
        <v>1427.2727272727273</v>
      </c>
      <c r="F12" s="123">
        <v>1427.2727272727273</v>
      </c>
      <c r="G12" s="123">
        <v>1427.2727272727273</v>
      </c>
    </row>
    <row r="13">
      <c r="B13" s="116"/>
      <c r="C13" s="117"/>
      <c r="D13" s="118"/>
      <c r="E13" s="118"/>
      <c r="F13" s="118"/>
      <c r="G13" s="124"/>
    </row>
    <row r="14">
      <c r="B14" s="107" t="s">
        <v>143</v>
      </c>
      <c r="C14" s="108" t="s">
        <v>144</v>
      </c>
      <c r="D14" s="109" t="s">
        <v>145</v>
      </c>
      <c r="E14" s="109" t="s">
        <v>146</v>
      </c>
      <c r="F14" s="109" t="s">
        <v>147</v>
      </c>
      <c r="G14" s="110" t="s">
        <v>148</v>
      </c>
    </row>
    <row r="15">
      <c r="B15" s="111" t="s">
        <v>134</v>
      </c>
      <c r="C15" s="121">
        <v>1.6956E7</v>
      </c>
      <c r="D15" s="121">
        <v>2.1195E7</v>
      </c>
      <c r="E15" s="121">
        <v>2.1195E7</v>
      </c>
      <c r="F15" s="121">
        <v>2.1195E7</v>
      </c>
      <c r="G15" s="121">
        <v>2.1195E7</v>
      </c>
    </row>
    <row r="16">
      <c r="B16" s="114"/>
      <c r="C16" s="115"/>
      <c r="D16" s="115"/>
      <c r="E16" s="115"/>
      <c r="F16" s="115"/>
      <c r="G16" s="115"/>
    </row>
    <row r="17">
      <c r="B17" s="116" t="s">
        <v>135</v>
      </c>
      <c r="C17" s="125">
        <v>1.6956E7</v>
      </c>
      <c r="D17" s="126">
        <v>2.1195E7</v>
      </c>
      <c r="E17" s="126">
        <v>2.1195E7</v>
      </c>
      <c r="F17" s="126">
        <v>2.1195E7</v>
      </c>
      <c r="G17" s="127">
        <v>2.1195E7</v>
      </c>
    </row>
    <row r="20">
      <c r="A20" s="106" t="s">
        <v>149</v>
      </c>
      <c r="B20" s="67"/>
    </row>
    <row r="21" ht="15.75" customHeight="1"/>
    <row r="22" ht="15.75" customHeight="1"/>
    <row r="23" ht="15.75" customHeight="1">
      <c r="B23" s="128" t="s">
        <v>150</v>
      </c>
      <c r="C23" s="129" t="s">
        <v>151</v>
      </c>
      <c r="D23" s="129" t="s">
        <v>152</v>
      </c>
      <c r="E23" s="129" t="s">
        <v>153</v>
      </c>
      <c r="F23" s="130" t="s">
        <v>154</v>
      </c>
      <c r="G23" s="131"/>
      <c r="H23" s="128" t="s">
        <v>155</v>
      </c>
      <c r="I23" s="129" t="s">
        <v>152</v>
      </c>
      <c r="J23" s="129" t="s">
        <v>109</v>
      </c>
      <c r="K23" s="129" t="s">
        <v>156</v>
      </c>
      <c r="L23" s="130" t="s">
        <v>154</v>
      </c>
    </row>
    <row r="24" ht="15.75" customHeight="1">
      <c r="B24" s="132" t="s">
        <v>157</v>
      </c>
      <c r="C24" s="133">
        <v>1.0</v>
      </c>
      <c r="D24" s="134">
        <v>100000.0</v>
      </c>
      <c r="E24" s="134">
        <v>100000.0</v>
      </c>
      <c r="F24" s="135" t="s">
        <v>157</v>
      </c>
      <c r="G24" s="136"/>
      <c r="H24" s="137" t="s">
        <v>158</v>
      </c>
      <c r="I24" s="134">
        <v>1000.0</v>
      </c>
      <c r="J24" s="134">
        <v>2.0</v>
      </c>
      <c r="K24" s="134">
        <v>2000.0</v>
      </c>
      <c r="L24" s="135" t="s">
        <v>159</v>
      </c>
    </row>
    <row r="25" ht="15.75" customHeight="1">
      <c r="B25" s="138" t="s">
        <v>160</v>
      </c>
      <c r="C25" s="139">
        <v>1.0</v>
      </c>
      <c r="D25" s="140">
        <v>800.0</v>
      </c>
      <c r="E25" s="140">
        <v>32000.0</v>
      </c>
      <c r="F25" s="141" t="s">
        <v>161</v>
      </c>
      <c r="G25" s="136"/>
      <c r="H25" s="142" t="s">
        <v>162</v>
      </c>
      <c r="I25" s="140">
        <v>600.0</v>
      </c>
      <c r="J25" s="140">
        <v>10.0</v>
      </c>
      <c r="K25" s="140">
        <v>6000.0</v>
      </c>
      <c r="L25" s="141" t="s">
        <v>163</v>
      </c>
    </row>
    <row r="26" ht="15.75" customHeight="1">
      <c r="B26" s="138" t="s">
        <v>164</v>
      </c>
      <c r="C26" s="139">
        <v>1.0</v>
      </c>
      <c r="D26" s="140">
        <v>5000.0</v>
      </c>
      <c r="E26" s="140">
        <v>5000.0</v>
      </c>
      <c r="F26" s="141" t="s">
        <v>164</v>
      </c>
      <c r="G26" s="136"/>
      <c r="H26" s="142" t="s">
        <v>165</v>
      </c>
      <c r="I26" s="140">
        <v>1000.0</v>
      </c>
      <c r="J26" s="140">
        <v>10.0</v>
      </c>
      <c r="K26" s="140">
        <v>10000.0</v>
      </c>
      <c r="L26" s="141"/>
    </row>
    <row r="27" ht="15.75" customHeight="1">
      <c r="B27" s="138" t="s">
        <v>166</v>
      </c>
      <c r="C27" s="139">
        <v>3.0</v>
      </c>
      <c r="D27" s="140">
        <v>100000.0</v>
      </c>
      <c r="E27" s="140">
        <v>300000.0</v>
      </c>
      <c r="F27" s="141" t="s">
        <v>166</v>
      </c>
      <c r="G27" s="136"/>
      <c r="H27" s="142" t="s">
        <v>167</v>
      </c>
      <c r="I27" s="140">
        <v>8000.0</v>
      </c>
      <c r="J27" s="140">
        <v>3.0</v>
      </c>
      <c r="K27" s="140">
        <v>24000.0</v>
      </c>
      <c r="L27" s="141" t="s">
        <v>168</v>
      </c>
    </row>
    <row r="28" ht="15.75" customHeight="1">
      <c r="B28" s="138" t="s">
        <v>169</v>
      </c>
      <c r="C28" s="139">
        <v>1.0</v>
      </c>
      <c r="D28" s="140">
        <v>20000.0</v>
      </c>
      <c r="E28" s="140">
        <v>20000.0</v>
      </c>
      <c r="F28" s="141" t="s">
        <v>169</v>
      </c>
      <c r="G28" s="136"/>
      <c r="H28" s="142" t="s">
        <v>170</v>
      </c>
      <c r="I28" s="140">
        <v>5000.0</v>
      </c>
      <c r="J28" s="140">
        <v>2.0</v>
      </c>
      <c r="K28" s="140">
        <v>10000.0</v>
      </c>
      <c r="L28" s="141"/>
    </row>
    <row r="29" ht="15.75" customHeight="1">
      <c r="B29" s="138" t="s">
        <v>171</v>
      </c>
      <c r="C29" s="139">
        <v>1.0</v>
      </c>
      <c r="D29" s="140">
        <v>9000.0</v>
      </c>
      <c r="E29" s="140">
        <v>9000.0</v>
      </c>
      <c r="F29" s="141" t="s">
        <v>171</v>
      </c>
      <c r="G29" s="136"/>
      <c r="H29" s="142" t="s">
        <v>172</v>
      </c>
      <c r="I29" s="140">
        <v>100000.0</v>
      </c>
      <c r="J29" s="140">
        <v>1.0</v>
      </c>
      <c r="K29" s="140">
        <v>100000.0</v>
      </c>
      <c r="L29" s="141"/>
    </row>
    <row r="30" ht="15.75" customHeight="1">
      <c r="B30" s="138" t="s">
        <v>173</v>
      </c>
      <c r="C30" s="139">
        <v>1.0</v>
      </c>
      <c r="D30" s="140">
        <v>20000.0</v>
      </c>
      <c r="E30" s="140">
        <v>20000.0</v>
      </c>
      <c r="F30" s="141" t="s">
        <v>174</v>
      </c>
      <c r="G30" s="136"/>
      <c r="H30" s="142" t="s">
        <v>171</v>
      </c>
      <c r="I30" s="140">
        <v>9000.0</v>
      </c>
      <c r="J30" s="140">
        <v>1.0</v>
      </c>
      <c r="K30" s="140">
        <v>9000.0</v>
      </c>
      <c r="L30" s="141"/>
    </row>
    <row r="31" ht="15.75" customHeight="1">
      <c r="B31" s="138" t="s">
        <v>175</v>
      </c>
      <c r="C31" s="139">
        <v>1.0</v>
      </c>
      <c r="D31" s="140">
        <v>50000.0</v>
      </c>
      <c r="E31" s="140">
        <v>50000.0</v>
      </c>
      <c r="F31" s="141" t="s">
        <v>174</v>
      </c>
      <c r="G31" s="136"/>
      <c r="H31" s="142" t="s">
        <v>176</v>
      </c>
      <c r="I31" s="140">
        <v>1500.0</v>
      </c>
      <c r="J31" s="140">
        <v>1.0</v>
      </c>
      <c r="K31" s="140">
        <v>1500.0</v>
      </c>
      <c r="L31" s="141"/>
    </row>
    <row r="32" ht="15.75" customHeight="1">
      <c r="B32" s="138" t="s">
        <v>177</v>
      </c>
      <c r="C32" s="139">
        <v>1.0</v>
      </c>
      <c r="D32" s="140">
        <v>5000.0</v>
      </c>
      <c r="E32" s="140">
        <v>5000.0</v>
      </c>
      <c r="F32" s="141" t="s">
        <v>178</v>
      </c>
      <c r="G32" s="136"/>
      <c r="H32" s="142"/>
      <c r="I32" s="140"/>
      <c r="J32" s="140"/>
      <c r="K32" s="140"/>
      <c r="L32" s="141"/>
    </row>
    <row r="33" ht="15.75" customHeight="1">
      <c r="B33" s="143" t="s">
        <v>179</v>
      </c>
      <c r="C33" s="144">
        <v>1.0</v>
      </c>
      <c r="D33" s="145">
        <v>45000.0</v>
      </c>
      <c r="E33" s="145">
        <v>45000.0</v>
      </c>
      <c r="F33" s="146" t="s">
        <v>179</v>
      </c>
      <c r="G33" s="136"/>
      <c r="H33" s="147" t="s">
        <v>180</v>
      </c>
      <c r="I33" s="145">
        <v>30000.0</v>
      </c>
      <c r="J33" s="145">
        <v>1.0</v>
      </c>
      <c r="K33" s="145">
        <v>30000.0</v>
      </c>
      <c r="L33" s="146"/>
    </row>
    <row r="34" ht="15.75" customHeight="1">
      <c r="B34" s="148"/>
      <c r="C34" s="149" t="s">
        <v>181</v>
      </c>
      <c r="D34" s="150"/>
      <c r="E34" s="150">
        <v>554000.0</v>
      </c>
      <c r="F34" s="150"/>
      <c r="G34" s="151"/>
      <c r="H34" s="149" t="s">
        <v>182</v>
      </c>
      <c r="I34" s="150"/>
      <c r="J34" s="150"/>
      <c r="K34" s="150">
        <v>162500.0</v>
      </c>
      <c r="L34" s="150"/>
    </row>
    <row r="35" ht="15.75" customHeight="1">
      <c r="B35" s="148"/>
      <c r="C35" s="149" t="s">
        <v>183</v>
      </c>
      <c r="D35" s="150"/>
      <c r="E35" s="150">
        <v>32000.0</v>
      </c>
      <c r="F35" s="150"/>
      <c r="G35" s="148"/>
      <c r="H35" s="148"/>
      <c r="I35" s="148"/>
      <c r="J35" s="148"/>
      <c r="K35" s="148"/>
      <c r="L35" s="148"/>
    </row>
    <row r="36" ht="15.75" customHeight="1"/>
    <row r="37" ht="15.75" customHeight="1">
      <c r="C37" s="92" t="s">
        <v>184</v>
      </c>
      <c r="D37" t="s">
        <v>185</v>
      </c>
    </row>
    <row r="38" ht="15.75" customHeight="1">
      <c r="B38" s="152" t="s">
        <v>186</v>
      </c>
      <c r="C38" s="150">
        <v>400000.0</v>
      </c>
      <c r="D38" s="153">
        <v>7502726.0</v>
      </c>
      <c r="E38" s="150"/>
      <c r="F38" s="150" t="s">
        <v>187</v>
      </c>
    </row>
    <row r="39" ht="15.75" customHeight="1"/>
    <row r="40" ht="15.75" customHeight="1">
      <c r="C40" s="92" t="s">
        <v>188</v>
      </c>
      <c r="D40" s="92" t="s">
        <v>189</v>
      </c>
      <c r="E40" s="92" t="s">
        <v>190</v>
      </c>
    </row>
    <row r="41" ht="15.75" customHeight="1">
      <c r="B41" s="154" t="s">
        <v>191</v>
      </c>
      <c r="C41" s="155" t="s">
        <v>192</v>
      </c>
      <c r="D41" s="156">
        <v>900.0</v>
      </c>
      <c r="E41" s="157">
        <v>8897274.0</v>
      </c>
    </row>
    <row r="42" ht="15.75" customHeight="1"/>
    <row r="43" ht="15.75" customHeight="1">
      <c r="B43" s="158"/>
      <c r="C43" s="159"/>
      <c r="D43" s="159"/>
      <c r="E43" s="159"/>
      <c r="F43" s="159"/>
      <c r="G43" s="160"/>
    </row>
    <row r="44" ht="15.75" customHeight="1">
      <c r="B44" s="161" t="s">
        <v>193</v>
      </c>
      <c r="C44" s="162"/>
      <c r="D44" s="162"/>
      <c r="E44" s="162"/>
      <c r="F44" s="162"/>
      <c r="G44" s="163"/>
      <c r="H44" s="164"/>
    </row>
    <row r="45" ht="15.75" customHeight="1">
      <c r="B45" s="165" t="s">
        <v>194</v>
      </c>
      <c r="C45" s="166" t="s">
        <v>195</v>
      </c>
      <c r="D45" s="166" t="s">
        <v>109</v>
      </c>
      <c r="E45" s="166" t="s">
        <v>196</v>
      </c>
      <c r="F45" s="166" t="s">
        <v>197</v>
      </c>
      <c r="G45" s="167" t="s">
        <v>135</v>
      </c>
      <c r="H45" s="164"/>
    </row>
    <row r="46" ht="15.75" customHeight="1">
      <c r="B46" s="168" t="s">
        <v>198</v>
      </c>
      <c r="C46" s="169" t="s">
        <v>199</v>
      </c>
      <c r="D46" s="169">
        <v>7.0</v>
      </c>
      <c r="E46" s="169" t="s">
        <v>200</v>
      </c>
      <c r="F46" s="169">
        <v>37065.0</v>
      </c>
      <c r="G46" s="169">
        <v>259455.0</v>
      </c>
      <c r="H46" s="164"/>
    </row>
    <row r="47" ht="15.75" customHeight="1">
      <c r="B47" s="168" t="s">
        <v>201</v>
      </c>
      <c r="C47" s="169" t="s">
        <v>202</v>
      </c>
      <c r="D47" s="169">
        <v>17.0</v>
      </c>
      <c r="E47" s="169" t="s">
        <v>200</v>
      </c>
      <c r="F47" s="169">
        <v>5960.0</v>
      </c>
      <c r="G47" s="169">
        <v>101320.0</v>
      </c>
      <c r="H47" s="170"/>
    </row>
    <row r="48" ht="15.75" customHeight="1">
      <c r="B48" s="168" t="s">
        <v>203</v>
      </c>
      <c r="C48" s="169" t="s">
        <v>204</v>
      </c>
      <c r="D48" s="169">
        <v>7.0</v>
      </c>
      <c r="E48" s="169" t="s">
        <v>200</v>
      </c>
      <c r="F48" s="169">
        <v>4000.0</v>
      </c>
      <c r="G48" s="169">
        <v>28000.0</v>
      </c>
      <c r="H48" s="170"/>
    </row>
    <row r="49" ht="15.75" customHeight="1">
      <c r="B49" s="168" t="s">
        <v>205</v>
      </c>
      <c r="C49" s="169" t="s">
        <v>206</v>
      </c>
      <c r="D49" s="169">
        <v>7.0</v>
      </c>
      <c r="E49" s="169" t="s">
        <v>200</v>
      </c>
      <c r="F49" s="169">
        <v>513.76</v>
      </c>
      <c r="G49" s="169">
        <v>3596.3199999999997</v>
      </c>
      <c r="H49" s="170"/>
    </row>
    <row r="50" ht="15.75" customHeight="1">
      <c r="B50" s="168" t="s">
        <v>207</v>
      </c>
      <c r="C50" s="169" t="s">
        <v>208</v>
      </c>
      <c r="D50" s="169">
        <v>4.0</v>
      </c>
      <c r="E50" s="169" t="s">
        <v>200</v>
      </c>
      <c r="F50" s="169">
        <v>5000.0</v>
      </c>
      <c r="G50" s="169">
        <v>20000.0</v>
      </c>
      <c r="H50" s="164"/>
    </row>
    <row r="51" ht="15.75" customHeight="1">
      <c r="B51" s="168" t="s">
        <v>209</v>
      </c>
      <c r="C51" s="169" t="s">
        <v>210</v>
      </c>
      <c r="D51" s="169">
        <v>4.0</v>
      </c>
      <c r="E51" s="169" t="s">
        <v>200</v>
      </c>
      <c r="F51" s="169">
        <v>8800.0</v>
      </c>
      <c r="G51" s="169">
        <v>35200.0</v>
      </c>
      <c r="H51" s="170"/>
    </row>
    <row r="52" ht="15.75" customHeight="1">
      <c r="B52" s="168" t="s">
        <v>211</v>
      </c>
      <c r="C52" s="169" t="s">
        <v>212</v>
      </c>
      <c r="D52" s="169">
        <v>1.0</v>
      </c>
      <c r="E52" s="169" t="s">
        <v>213</v>
      </c>
      <c r="F52" s="169">
        <v>39862.0</v>
      </c>
      <c r="G52" s="169">
        <v>39862.0</v>
      </c>
      <c r="H52" s="170"/>
    </row>
    <row r="53" ht="15.75" customHeight="1">
      <c r="B53" s="168" t="s">
        <v>214</v>
      </c>
      <c r="C53" s="169" t="s">
        <v>215</v>
      </c>
      <c r="D53" s="169">
        <v>7.0</v>
      </c>
      <c r="E53" s="169" t="s">
        <v>216</v>
      </c>
      <c r="F53" s="169">
        <v>1200.0</v>
      </c>
      <c r="G53" s="169">
        <v>8400.0</v>
      </c>
      <c r="H53" s="170"/>
    </row>
    <row r="54" ht="15.75" customHeight="1">
      <c r="B54" s="168" t="s">
        <v>217</v>
      </c>
      <c r="C54" s="169" t="s">
        <v>218</v>
      </c>
      <c r="D54" s="169">
        <v>15.0</v>
      </c>
      <c r="E54" s="169" t="s">
        <v>219</v>
      </c>
      <c r="F54" s="169">
        <v>1819.0</v>
      </c>
      <c r="G54" s="169">
        <v>27285.0</v>
      </c>
      <c r="H54" s="170"/>
    </row>
    <row r="55" ht="15.75" customHeight="1">
      <c r="B55" s="168" t="s">
        <v>220</v>
      </c>
      <c r="C55" s="169" t="s">
        <v>221</v>
      </c>
      <c r="D55" s="169">
        <v>5.0</v>
      </c>
      <c r="E55" s="169" t="s">
        <v>222</v>
      </c>
      <c r="F55" s="169">
        <v>8690.0</v>
      </c>
      <c r="G55" s="169">
        <v>43450.0</v>
      </c>
      <c r="H55" s="170"/>
    </row>
    <row r="56" ht="15.75" customHeight="1">
      <c r="B56" s="168" t="s">
        <v>223</v>
      </c>
      <c r="C56" s="169" t="s">
        <v>224</v>
      </c>
      <c r="D56" s="169">
        <v>5.0</v>
      </c>
      <c r="E56" s="169" t="s">
        <v>222</v>
      </c>
      <c r="F56" s="169">
        <v>43730.0</v>
      </c>
      <c r="G56" s="169">
        <v>218650.0</v>
      </c>
      <c r="H56" s="170"/>
    </row>
    <row r="57" ht="15.75" customHeight="1">
      <c r="B57" s="168" t="s">
        <v>225</v>
      </c>
      <c r="C57" s="169" t="s">
        <v>226</v>
      </c>
      <c r="D57" s="169">
        <v>2.0</v>
      </c>
      <c r="E57" s="169" t="s">
        <v>227</v>
      </c>
      <c r="F57" s="169">
        <v>3800.0</v>
      </c>
      <c r="G57" s="169">
        <v>7600.0</v>
      </c>
      <c r="H57" s="170"/>
    </row>
    <row r="58" ht="15.75" customHeight="1">
      <c r="B58" s="168" t="s">
        <v>228</v>
      </c>
      <c r="C58" s="169" t="s">
        <v>229</v>
      </c>
      <c r="D58" s="169">
        <v>1.0</v>
      </c>
      <c r="E58" s="169" t="s">
        <v>227</v>
      </c>
      <c r="F58" s="169">
        <v>14000.0</v>
      </c>
      <c r="G58" s="169">
        <v>14000.0</v>
      </c>
      <c r="H58" s="170"/>
    </row>
    <row r="59" ht="15.75" customHeight="1">
      <c r="B59" s="168" t="s">
        <v>230</v>
      </c>
      <c r="C59" s="169" t="s">
        <v>231</v>
      </c>
      <c r="D59" s="169">
        <v>4.0</v>
      </c>
      <c r="E59" s="169" t="s">
        <v>227</v>
      </c>
      <c r="F59" s="169">
        <v>6200.0</v>
      </c>
      <c r="G59" s="169">
        <v>24800.0</v>
      </c>
      <c r="H59" s="170"/>
    </row>
    <row r="60" ht="15.75" customHeight="1">
      <c r="B60" s="171" t="s">
        <v>232</v>
      </c>
      <c r="C60" s="169" t="s">
        <v>233</v>
      </c>
      <c r="D60" s="169">
        <v>16.0</v>
      </c>
      <c r="E60" s="169" t="s">
        <v>227</v>
      </c>
      <c r="F60" s="169">
        <v>945.0</v>
      </c>
      <c r="G60" s="169">
        <v>15120.0</v>
      </c>
      <c r="H60" s="170"/>
    </row>
    <row r="61" ht="15.75" customHeight="1">
      <c r="B61" s="171" t="s">
        <v>234</v>
      </c>
      <c r="C61" s="169" t="s">
        <v>235</v>
      </c>
      <c r="D61" s="169">
        <v>1.0</v>
      </c>
      <c r="E61" s="169" t="s">
        <v>213</v>
      </c>
      <c r="F61" s="169">
        <v>4000.0</v>
      </c>
      <c r="G61" s="169">
        <v>4000.0</v>
      </c>
      <c r="H61" s="170"/>
    </row>
    <row r="62" ht="15.75" customHeight="1">
      <c r="B62" s="168" t="s">
        <v>236</v>
      </c>
      <c r="C62" s="169" t="s">
        <v>237</v>
      </c>
      <c r="D62" s="169">
        <v>2.0</v>
      </c>
      <c r="E62" s="169" t="s">
        <v>238</v>
      </c>
      <c r="F62" s="169">
        <v>60289.0</v>
      </c>
      <c r="G62" s="169">
        <v>120578.0</v>
      </c>
      <c r="H62" s="170"/>
    </row>
    <row r="63" ht="15.75" customHeight="1">
      <c r="B63" s="168" t="s">
        <v>239</v>
      </c>
      <c r="C63" s="169" t="s">
        <v>240</v>
      </c>
      <c r="D63" s="169">
        <v>2.0</v>
      </c>
      <c r="E63" s="169" t="s">
        <v>241</v>
      </c>
      <c r="F63" s="169">
        <v>849.0</v>
      </c>
      <c r="G63" s="169">
        <v>1698.0</v>
      </c>
      <c r="H63" s="170"/>
    </row>
    <row r="64" ht="15.75" customHeight="1">
      <c r="B64" s="168" t="s">
        <v>242</v>
      </c>
      <c r="C64" s="169" t="s">
        <v>240</v>
      </c>
      <c r="D64" s="169">
        <v>4.0</v>
      </c>
      <c r="E64" s="169" t="s">
        <v>243</v>
      </c>
      <c r="F64" s="169">
        <v>5892.0</v>
      </c>
      <c r="G64" s="169">
        <v>23568.0</v>
      </c>
      <c r="H64" s="170"/>
    </row>
    <row r="65" ht="15.75" customHeight="1">
      <c r="B65" s="168" t="s">
        <v>244</v>
      </c>
      <c r="C65" s="169" t="s">
        <v>240</v>
      </c>
      <c r="D65" s="169">
        <v>4.0</v>
      </c>
      <c r="E65" s="169" t="s">
        <v>243</v>
      </c>
      <c r="F65" s="169">
        <v>6218.0</v>
      </c>
      <c r="G65" s="169">
        <v>24872.0</v>
      </c>
      <c r="H65" s="170"/>
    </row>
    <row r="66" ht="15.75" customHeight="1">
      <c r="B66" s="168" t="s">
        <v>245</v>
      </c>
      <c r="C66" s="169" t="s">
        <v>240</v>
      </c>
      <c r="D66" s="169">
        <v>4.0</v>
      </c>
      <c r="E66" s="169" t="s">
        <v>243</v>
      </c>
      <c r="F66" s="169">
        <v>450.0</v>
      </c>
      <c r="G66" s="169">
        <v>1800.0</v>
      </c>
      <c r="H66" s="170"/>
    </row>
    <row r="67" ht="15.75" customHeight="1">
      <c r="B67" s="168" t="s">
        <v>246</v>
      </c>
      <c r="C67" s="169" t="s">
        <v>240</v>
      </c>
      <c r="D67" s="169">
        <v>4.0</v>
      </c>
      <c r="E67" s="169" t="s">
        <v>243</v>
      </c>
      <c r="F67" s="169"/>
      <c r="G67" s="169">
        <v>0.0</v>
      </c>
      <c r="H67" s="164"/>
    </row>
    <row r="68" ht="15.75" customHeight="1">
      <c r="B68" s="168" t="s">
        <v>247</v>
      </c>
      <c r="C68" s="169" t="s">
        <v>248</v>
      </c>
      <c r="D68" s="169">
        <v>20.0</v>
      </c>
      <c r="E68" s="169" t="s">
        <v>249</v>
      </c>
      <c r="F68" s="169">
        <v>1286.0</v>
      </c>
      <c r="G68" s="169">
        <v>25720.0</v>
      </c>
      <c r="H68" s="170"/>
    </row>
    <row r="69" ht="15.75" customHeight="1">
      <c r="B69" s="168" t="s">
        <v>250</v>
      </c>
      <c r="C69" s="169" t="s">
        <v>251</v>
      </c>
      <c r="D69" s="169">
        <v>12.0</v>
      </c>
      <c r="E69" s="169" t="s">
        <v>249</v>
      </c>
      <c r="F69" s="169">
        <v>2200.0</v>
      </c>
      <c r="G69" s="169">
        <v>26400.0</v>
      </c>
      <c r="H69" s="170"/>
    </row>
    <row r="70" ht="15.75" customHeight="1">
      <c r="B70" s="168" t="s">
        <v>252</v>
      </c>
      <c r="C70" s="169" t="s">
        <v>240</v>
      </c>
      <c r="D70" s="169">
        <v>30.0</v>
      </c>
      <c r="E70" s="169" t="s">
        <v>249</v>
      </c>
      <c r="F70" s="169">
        <v>395.0</v>
      </c>
      <c r="G70" s="169">
        <v>11850.0</v>
      </c>
      <c r="H70" s="170"/>
    </row>
    <row r="71" ht="15.75" customHeight="1">
      <c r="B71" s="168" t="s">
        <v>253</v>
      </c>
      <c r="C71" s="169" t="s">
        <v>240</v>
      </c>
      <c r="D71" s="169">
        <v>5.0</v>
      </c>
      <c r="E71" s="169" t="s">
        <v>254</v>
      </c>
      <c r="F71" s="169">
        <v>3000.0</v>
      </c>
      <c r="G71" s="169">
        <v>15000.0</v>
      </c>
      <c r="H71" s="170"/>
    </row>
    <row r="72" ht="15.75" customHeight="1">
      <c r="B72" s="168" t="s">
        <v>255</v>
      </c>
      <c r="C72" s="169" t="s">
        <v>240</v>
      </c>
      <c r="D72" s="169">
        <v>2.0</v>
      </c>
      <c r="E72" s="169" t="s">
        <v>256</v>
      </c>
      <c r="F72" s="169" t="s">
        <v>240</v>
      </c>
      <c r="G72" s="169">
        <v>0.0</v>
      </c>
      <c r="H72" s="172" t="s">
        <v>257</v>
      </c>
    </row>
    <row r="73" ht="15.75" customHeight="1">
      <c r="B73" s="168" t="s">
        <v>258</v>
      </c>
      <c r="C73" s="169" t="s">
        <v>259</v>
      </c>
      <c r="D73" s="169">
        <v>1.0</v>
      </c>
      <c r="E73" s="169" t="s">
        <v>260</v>
      </c>
      <c r="F73" s="169" t="s">
        <v>240</v>
      </c>
      <c r="G73" s="169">
        <v>0.0</v>
      </c>
      <c r="H73" s="164"/>
    </row>
    <row r="74" ht="15.75" customHeight="1">
      <c r="B74" s="168" t="s">
        <v>261</v>
      </c>
      <c r="C74" s="169" t="s">
        <v>262</v>
      </c>
      <c r="D74" s="169">
        <v>1.0</v>
      </c>
      <c r="E74" s="169" t="s">
        <v>260</v>
      </c>
      <c r="F74" s="169">
        <v>25895.0</v>
      </c>
      <c r="G74" s="169">
        <v>25895.0</v>
      </c>
      <c r="H74" s="170"/>
    </row>
    <row r="75" ht="15.75" customHeight="1">
      <c r="B75" s="168" t="s">
        <v>263</v>
      </c>
      <c r="C75" s="169" t="s">
        <v>264</v>
      </c>
      <c r="D75" s="169">
        <v>1.0</v>
      </c>
      <c r="E75" s="169" t="s">
        <v>260</v>
      </c>
      <c r="F75" s="169">
        <v>2687.0</v>
      </c>
      <c r="G75" s="169">
        <v>2687.0</v>
      </c>
      <c r="H75" s="170"/>
    </row>
    <row r="76" ht="15.75" customHeight="1">
      <c r="B76" s="168" t="s">
        <v>265</v>
      </c>
      <c r="C76" s="169" t="s">
        <v>266</v>
      </c>
      <c r="D76" s="169">
        <v>1.0</v>
      </c>
      <c r="E76" s="169" t="s">
        <v>260</v>
      </c>
      <c r="F76" s="169">
        <v>1251.0</v>
      </c>
      <c r="G76" s="169">
        <v>1251.0</v>
      </c>
      <c r="H76" s="170"/>
    </row>
    <row r="77" ht="15.75" customHeight="1">
      <c r="B77" s="168" t="s">
        <v>267</v>
      </c>
      <c r="C77" s="169" t="s">
        <v>268</v>
      </c>
      <c r="D77" s="169">
        <v>1.0</v>
      </c>
      <c r="E77" s="169" t="s">
        <v>260</v>
      </c>
      <c r="F77" s="169">
        <v>3780.0</v>
      </c>
      <c r="G77" s="169">
        <v>3780.0</v>
      </c>
      <c r="H77" s="170"/>
    </row>
    <row r="78" ht="15.75" customHeight="1">
      <c r="B78" s="173" t="s">
        <v>269</v>
      </c>
      <c r="C78" s="174" t="s">
        <v>270</v>
      </c>
      <c r="D78" s="174">
        <v>1.0</v>
      </c>
      <c r="E78" s="174" t="s">
        <v>260</v>
      </c>
      <c r="F78" s="174">
        <v>3900.0</v>
      </c>
      <c r="G78" s="174">
        <v>3900.0</v>
      </c>
      <c r="H78" s="170"/>
    </row>
    <row r="79" ht="15.75" customHeight="1">
      <c r="B79" s="175" t="s">
        <v>271</v>
      </c>
      <c r="C79" s="176" t="s">
        <v>272</v>
      </c>
      <c r="D79" s="176">
        <v>3.0</v>
      </c>
      <c r="E79" s="176" t="s">
        <v>256</v>
      </c>
      <c r="F79" s="176">
        <v>1650.0</v>
      </c>
      <c r="G79" s="176">
        <v>4950.0</v>
      </c>
      <c r="H79" s="170"/>
    </row>
    <row r="80" ht="15.75" customHeight="1">
      <c r="B80" s="164"/>
      <c r="C80" s="164"/>
      <c r="D80" s="164"/>
      <c r="E80" s="164"/>
      <c r="F80" s="164"/>
      <c r="G80" s="164"/>
      <c r="H80" s="164"/>
    </row>
    <row r="81" ht="15.75" customHeight="1">
      <c r="B81" s="164"/>
      <c r="C81" s="164"/>
      <c r="D81" s="164"/>
      <c r="E81" s="149" t="s">
        <v>135</v>
      </c>
      <c r="F81" s="177"/>
      <c r="G81" s="178">
        <v>1144687.32</v>
      </c>
      <c r="H81" s="164"/>
    </row>
    <row r="82" ht="15.75" customHeight="1"/>
    <row r="83" ht="15.75" customHeight="1">
      <c r="A83" s="106" t="s">
        <v>273</v>
      </c>
      <c r="B83" s="179"/>
      <c r="C83" s="179"/>
      <c r="D83" s="67"/>
    </row>
    <row r="84" ht="15.75" customHeight="1"/>
    <row r="85" ht="15.75" customHeight="1">
      <c r="B85" s="152" t="s">
        <v>274</v>
      </c>
      <c r="C85" s="150">
        <v>16160.0</v>
      </c>
      <c r="D85" s="148"/>
    </row>
    <row r="86" ht="15.75" customHeight="1"/>
    <row r="87" ht="15.75" customHeight="1"/>
    <row r="88" ht="15.75" customHeight="1">
      <c r="B88" s="148"/>
      <c r="C88" s="180" t="s">
        <v>275</v>
      </c>
      <c r="D88" s="148"/>
      <c r="E88" s="148"/>
      <c r="F88" s="148"/>
      <c r="G88" s="148"/>
    </row>
    <row r="89" ht="15.75" customHeight="1">
      <c r="B89" s="181" t="s">
        <v>276</v>
      </c>
      <c r="C89" s="182" t="s">
        <v>277</v>
      </c>
      <c r="D89" s="183" t="s">
        <v>278</v>
      </c>
      <c r="E89" s="184"/>
      <c r="F89" s="148"/>
      <c r="G89" s="148"/>
    </row>
    <row r="90" ht="15.75" customHeight="1">
      <c r="B90" s="185"/>
      <c r="C90" s="186">
        <v>3.0</v>
      </c>
      <c r="D90" s="187">
        <v>450.0</v>
      </c>
      <c r="E90" s="184"/>
      <c r="F90" s="148"/>
      <c r="G90" s="148"/>
    </row>
    <row r="91" ht="15.75" customHeight="1">
      <c r="B91" s="188" t="s">
        <v>279</v>
      </c>
      <c r="C91" s="189" t="s">
        <v>280</v>
      </c>
      <c r="D91" s="190" t="s">
        <v>281</v>
      </c>
      <c r="E91" s="140"/>
      <c r="F91" s="148"/>
      <c r="G91" s="148"/>
    </row>
    <row r="92" ht="15.75" customHeight="1">
      <c r="B92" s="188" t="s">
        <v>282</v>
      </c>
      <c r="C92" s="189">
        <v>93480.0</v>
      </c>
      <c r="D92" s="191"/>
      <c r="E92" s="140"/>
      <c r="F92" s="148"/>
      <c r="G92" s="148"/>
    </row>
    <row r="93" ht="15.75" customHeight="1"/>
    <row r="94" ht="15.75" customHeight="1"/>
    <row r="95" ht="15.75" customHeight="1">
      <c r="A95" s="106" t="s">
        <v>283</v>
      </c>
      <c r="B95" s="179"/>
      <c r="C95" s="179"/>
      <c r="D95" s="67"/>
    </row>
    <row r="96" ht="15.75" customHeight="1"/>
    <row r="97" ht="15.75" customHeight="1">
      <c r="A97" s="192" t="s">
        <v>284</v>
      </c>
    </row>
    <row r="98" ht="15.75" customHeight="1"/>
    <row r="99" ht="15.75" customHeight="1">
      <c r="C99" s="193" t="s">
        <v>285</v>
      </c>
      <c r="D99" s="194"/>
      <c r="E99" s="194"/>
      <c r="F99" s="194"/>
      <c r="G99" s="194"/>
      <c r="H99" s="194"/>
      <c r="I99" s="195"/>
    </row>
    <row r="100" ht="15.75" customHeight="1">
      <c r="C100" s="196"/>
      <c r="D100" s="44"/>
      <c r="E100" s="44"/>
      <c r="F100" s="44"/>
      <c r="G100" s="44"/>
      <c r="H100" s="44"/>
      <c r="I100" s="197"/>
    </row>
    <row r="101" ht="15.75" customHeight="1">
      <c r="C101" s="142"/>
      <c r="D101" s="140" t="s">
        <v>286</v>
      </c>
      <c r="E101" s="140" t="s">
        <v>287</v>
      </c>
      <c r="F101" s="140" t="s">
        <v>288</v>
      </c>
      <c r="G101" s="140" t="s">
        <v>289</v>
      </c>
      <c r="H101" s="140" t="s">
        <v>290</v>
      </c>
      <c r="I101" s="141" t="s">
        <v>48</v>
      </c>
    </row>
    <row r="102" ht="15.75" customHeight="1">
      <c r="C102" s="142" t="s">
        <v>291</v>
      </c>
      <c r="D102" s="140">
        <v>30.0</v>
      </c>
      <c r="E102" s="140" t="s">
        <v>292</v>
      </c>
      <c r="F102" s="140">
        <v>1230.0</v>
      </c>
      <c r="G102" s="140">
        <v>135.3</v>
      </c>
      <c r="H102" s="140">
        <v>99.0</v>
      </c>
      <c r="I102" s="141">
        <v>135164.69999999998</v>
      </c>
    </row>
    <row r="103" ht="15.75" customHeight="1">
      <c r="C103" s="142" t="s">
        <v>293</v>
      </c>
      <c r="D103" s="140">
        <v>2.5</v>
      </c>
      <c r="E103" s="140" t="s">
        <v>292</v>
      </c>
      <c r="F103" s="140">
        <v>102.5</v>
      </c>
      <c r="G103" s="140">
        <v>1.0E-4</v>
      </c>
      <c r="H103" s="140">
        <v>14850.0</v>
      </c>
      <c r="I103" s="141">
        <v>1522126.485</v>
      </c>
    </row>
    <row r="104" ht="15.75" customHeight="1">
      <c r="C104" s="142" t="s">
        <v>294</v>
      </c>
      <c r="D104" s="140">
        <v>0.1</v>
      </c>
      <c r="E104" s="140" t="s">
        <v>292</v>
      </c>
      <c r="F104" s="140">
        <v>4.1000000000000005</v>
      </c>
      <c r="G104" s="140">
        <v>0.45100000000000007</v>
      </c>
      <c r="H104" s="140">
        <v>14850.0</v>
      </c>
      <c r="I104" s="141">
        <v>67582.35</v>
      </c>
    </row>
    <row r="105" ht="15.75" customHeight="1">
      <c r="C105" s="142" t="s">
        <v>295</v>
      </c>
      <c r="D105" s="140">
        <v>50.0</v>
      </c>
      <c r="E105" s="140" t="s">
        <v>296</v>
      </c>
      <c r="F105" s="140">
        <v>50.0</v>
      </c>
      <c r="G105" s="140">
        <v>2.5</v>
      </c>
      <c r="H105" s="140">
        <v>14850.0</v>
      </c>
      <c r="I105" s="141">
        <v>779625.0</v>
      </c>
    </row>
    <row r="106" ht="15.75" customHeight="1">
      <c r="C106" s="147" t="s">
        <v>297</v>
      </c>
      <c r="D106" s="145">
        <v>9.68</v>
      </c>
      <c r="E106" s="145" t="s">
        <v>296</v>
      </c>
      <c r="F106" s="145">
        <v>9.68</v>
      </c>
      <c r="G106" s="145">
        <v>0.484</v>
      </c>
      <c r="H106" s="145">
        <v>14850.0</v>
      </c>
      <c r="I106" s="146">
        <v>150935.4</v>
      </c>
    </row>
    <row r="107" ht="15.75" customHeight="1">
      <c r="C107" s="198" t="s">
        <v>135</v>
      </c>
      <c r="D107" s="199"/>
      <c r="E107" s="199"/>
      <c r="F107" s="199"/>
      <c r="G107" s="199"/>
      <c r="H107" s="199"/>
      <c r="I107" s="200">
        <v>2655433.935</v>
      </c>
    </row>
    <row r="108" ht="15.75" customHeight="1"/>
    <row r="109" ht="15.75" customHeight="1">
      <c r="C109" s="201" t="s">
        <v>298</v>
      </c>
      <c r="E109" s="140" t="s">
        <v>299</v>
      </c>
      <c r="F109" s="140">
        <v>1516.19</v>
      </c>
      <c r="H109" s="148" t="s">
        <v>300</v>
      </c>
      <c r="I109" s="202">
        <v>178.8171</v>
      </c>
    </row>
    <row r="110" ht="15.75" customHeight="1">
      <c r="E110" s="140" t="s">
        <v>301</v>
      </c>
      <c r="F110" s="140">
        <v>1155.52</v>
      </c>
      <c r="H110" s="148" t="s">
        <v>302</v>
      </c>
      <c r="I110" s="202">
        <v>1751.3859971375618</v>
      </c>
    </row>
    <row r="111" ht="15.75" customHeight="1">
      <c r="E111" s="140" t="s">
        <v>303</v>
      </c>
      <c r="F111" s="140">
        <v>1.3121278731653283</v>
      </c>
    </row>
    <row r="112" ht="15.75" customHeight="1">
      <c r="E112" s="140" t="s">
        <v>37</v>
      </c>
      <c r="F112" s="203">
        <v>2655433.935</v>
      </c>
    </row>
    <row r="113" ht="15.75" customHeight="1">
      <c r="E113" s="140" t="s">
        <v>304</v>
      </c>
      <c r="F113" s="203">
        <v>178.8171</v>
      </c>
    </row>
    <row r="114" ht="15.75" customHeight="1"/>
    <row r="115" ht="15.75" customHeight="1">
      <c r="C115" s="201" t="s">
        <v>305</v>
      </c>
    </row>
    <row r="116" ht="15.75" customHeight="1">
      <c r="C116" t="s">
        <v>306</v>
      </c>
    </row>
    <row r="117" ht="15.75" customHeight="1"/>
    <row r="118" ht="15.75" customHeight="1">
      <c r="C118" s="95" t="s">
        <v>112</v>
      </c>
      <c r="D118" s="36"/>
      <c r="E118" s="36"/>
      <c r="F118" s="36"/>
      <c r="G118" s="37"/>
      <c r="H118" s="96">
        <v>0.23787994209149943</v>
      </c>
    </row>
    <row r="119" ht="15.75" customHeight="1">
      <c r="C119" s="95" t="s">
        <v>115</v>
      </c>
      <c r="D119" s="36"/>
      <c r="E119" s="36"/>
      <c r="F119" s="36"/>
      <c r="G119" s="37"/>
      <c r="H119" s="96">
        <v>0.23787994209149943</v>
      </c>
    </row>
    <row r="120" ht="15.75" customHeight="1"/>
    <row r="121" ht="15.75" customHeight="1">
      <c r="C121" s="204" t="s">
        <v>5</v>
      </c>
      <c r="D121" s="36"/>
      <c r="E121" s="37"/>
      <c r="F121" s="205">
        <v>96.29291666666666</v>
      </c>
      <c r="G121" s="38" t="s">
        <v>6</v>
      </c>
    </row>
    <row r="122" ht="15.75" customHeight="1">
      <c r="F122" s="206">
        <v>1237.5</v>
      </c>
      <c r="G122" s="83" t="s">
        <v>7</v>
      </c>
    </row>
    <row r="123" ht="15.75" customHeight="1"/>
    <row r="124" ht="15.75" customHeight="1"/>
    <row r="125" ht="15.75" customHeight="1">
      <c r="C125" s="9" t="s">
        <v>8</v>
      </c>
      <c r="D125" s="9" t="s">
        <v>9</v>
      </c>
      <c r="E125" s="9" t="s">
        <v>10</v>
      </c>
      <c r="F125" s="9" t="s">
        <v>11</v>
      </c>
      <c r="G125" s="9" t="s">
        <v>12</v>
      </c>
      <c r="H125" s="9" t="s">
        <v>13</v>
      </c>
      <c r="I125" s="9" t="s">
        <v>14</v>
      </c>
      <c r="J125" s="9" t="s">
        <v>15</v>
      </c>
    </row>
    <row r="126" ht="15.75" customHeight="1">
      <c r="C126" s="10">
        <v>1.0</v>
      </c>
      <c r="D126" s="11">
        <v>0.0</v>
      </c>
      <c r="E126" s="11">
        <v>0.045</v>
      </c>
      <c r="F126" s="11">
        <v>0.0225</v>
      </c>
      <c r="G126" s="12">
        <v>96.29291666666666</v>
      </c>
      <c r="H126" s="12">
        <v>1237.5</v>
      </c>
      <c r="I126" s="13">
        <v>2.1665906249999995</v>
      </c>
      <c r="J126" s="14">
        <v>27.84375</v>
      </c>
    </row>
    <row r="127" ht="15.75" customHeight="1">
      <c r="C127" s="15">
        <v>2.0</v>
      </c>
      <c r="D127" s="16">
        <v>0.045</v>
      </c>
      <c r="E127" s="16">
        <v>0.17</v>
      </c>
      <c r="F127" s="16">
        <v>0.10750000000000001</v>
      </c>
      <c r="G127" s="17">
        <v>96.29291666666666</v>
      </c>
      <c r="H127" s="17">
        <v>1237.5</v>
      </c>
      <c r="I127" s="18">
        <v>10.351488541666667</v>
      </c>
      <c r="J127" s="19">
        <v>133.03125000000003</v>
      </c>
    </row>
    <row r="128" ht="15.75" customHeight="1">
      <c r="C128" s="20">
        <v>3.0</v>
      </c>
      <c r="D128" s="21">
        <v>0.17</v>
      </c>
      <c r="E128" s="21">
        <v>1.0</v>
      </c>
      <c r="F128" s="21">
        <v>0.585</v>
      </c>
      <c r="G128" s="22">
        <v>96.29291666666666</v>
      </c>
      <c r="H128" s="22">
        <v>1237.5</v>
      </c>
      <c r="I128" s="23">
        <v>56.33135624999999</v>
      </c>
      <c r="J128" s="24">
        <v>723.9375</v>
      </c>
    </row>
    <row r="129" ht="15.75" customHeight="1">
      <c r="H129" s="25" t="s">
        <v>16</v>
      </c>
      <c r="I129" s="26">
        <v>68.84943541666667</v>
      </c>
      <c r="J129" s="27">
        <v>884.8125</v>
      </c>
    </row>
    <row r="130" ht="15.75" customHeight="1"/>
    <row r="131" ht="15.75" customHeight="1">
      <c r="C131" s="2" t="s">
        <v>17</v>
      </c>
      <c r="D131" s="3"/>
      <c r="E131" s="3"/>
      <c r="F131" s="4"/>
      <c r="G131" s="28">
        <v>866.6362499999999</v>
      </c>
      <c r="H131" s="29" t="s">
        <v>18</v>
      </c>
    </row>
    <row r="132" ht="15.75" customHeight="1">
      <c r="G132" s="30">
        <v>11137.5</v>
      </c>
      <c r="H132" s="29" t="s">
        <v>19</v>
      </c>
    </row>
    <row r="133" ht="15.75" customHeight="1">
      <c r="C133" s="8" t="s">
        <v>20</v>
      </c>
      <c r="D133" s="6"/>
      <c r="E133" s="6">
        <v>9.0</v>
      </c>
    </row>
    <row r="134" ht="15.75" customHeight="1"/>
    <row r="135" ht="15.75" customHeight="1">
      <c r="C135" s="207" t="s">
        <v>21</v>
      </c>
      <c r="D135" s="208"/>
      <c r="E135" s="209">
        <v>935.4856854166666</v>
      </c>
      <c r="F135" s="29" t="s">
        <v>18</v>
      </c>
    </row>
    <row r="136" ht="15.75" customHeight="1">
      <c r="D136" s="210"/>
      <c r="E136" s="211">
        <v>12022.3125</v>
      </c>
      <c r="F136" s="212" t="s">
        <v>19</v>
      </c>
    </row>
    <row r="137" ht="15.75" customHeight="1"/>
    <row r="138" ht="15.75" customHeight="1">
      <c r="C138" s="207" t="s">
        <v>22</v>
      </c>
      <c r="D138" s="213"/>
      <c r="E138" s="214">
        <v>1155.5149999999999</v>
      </c>
      <c r="F138" s="29" t="s">
        <v>18</v>
      </c>
    </row>
    <row r="139" ht="15.75" customHeight="1">
      <c r="D139" s="34"/>
      <c r="E139" s="215">
        <v>14850.0</v>
      </c>
      <c r="F139" s="212" t="s">
        <v>19</v>
      </c>
    </row>
    <row r="140" ht="15.75" customHeight="1"/>
    <row r="141" ht="15.75" customHeight="1"/>
    <row r="142" ht="15.75" customHeight="1"/>
    <row r="143" ht="15.75" customHeight="1">
      <c r="C143" s="35" t="s">
        <v>30</v>
      </c>
      <c r="D143" s="36"/>
      <c r="E143" s="36"/>
      <c r="F143" s="36"/>
      <c r="G143" s="36"/>
      <c r="H143" s="37"/>
      <c r="I143" s="18">
        <v>101.60523483656486</v>
      </c>
      <c r="J143" s="38" t="s">
        <v>18</v>
      </c>
    </row>
    <row r="144" ht="15.75" customHeight="1">
      <c r="C144" s="39" t="s">
        <v>32</v>
      </c>
      <c r="D144" s="36"/>
      <c r="E144" s="36"/>
      <c r="F144" s="36"/>
      <c r="G144" s="36"/>
      <c r="H144" s="37"/>
      <c r="I144" s="17">
        <v>1072.791630964394</v>
      </c>
      <c r="J144" s="38" t="s">
        <v>18</v>
      </c>
    </row>
    <row r="145" ht="15.75" customHeight="1">
      <c r="C145" s="35" t="s">
        <v>33</v>
      </c>
      <c r="D145" s="36"/>
      <c r="E145" s="36"/>
      <c r="F145" s="36"/>
      <c r="G145" s="36"/>
      <c r="H145" s="37"/>
      <c r="I145" s="18">
        <v>1174.396865800959</v>
      </c>
      <c r="J145" s="38" t="s">
        <v>18</v>
      </c>
    </row>
    <row r="146" ht="15.75" customHeight="1">
      <c r="C146" s="35" t="s">
        <v>35</v>
      </c>
      <c r="D146" s="36"/>
      <c r="E146" s="36"/>
      <c r="F146" s="36"/>
      <c r="G146" s="36"/>
      <c r="H146" s="37"/>
      <c r="I146" s="18">
        <v>935.4856854166666</v>
      </c>
      <c r="J146" s="38" t="s">
        <v>18</v>
      </c>
    </row>
    <row r="147" ht="15.75" customHeight="1">
      <c r="C147" s="35" t="s">
        <v>36</v>
      </c>
      <c r="D147" s="36"/>
      <c r="E147" s="36"/>
      <c r="F147" s="36"/>
      <c r="G147" s="36"/>
      <c r="H147" s="37"/>
      <c r="I147" s="18">
        <v>238.91118038429238</v>
      </c>
      <c r="J147" s="38" t="s">
        <v>18</v>
      </c>
    </row>
    <row r="148" ht="15.75" customHeight="1"/>
    <row r="149" ht="15.75" customHeight="1">
      <c r="C149" s="35" t="s">
        <v>38</v>
      </c>
      <c r="D149" s="36"/>
      <c r="E149" s="36"/>
      <c r="F149" s="36"/>
      <c r="G149" s="36"/>
      <c r="H149" s="37"/>
      <c r="I149" s="18">
        <v>20.769657534246573</v>
      </c>
      <c r="J149" s="38" t="s">
        <v>18</v>
      </c>
      <c r="K149" s="41"/>
      <c r="L149" s="34"/>
    </row>
    <row r="150" ht="15.75" customHeight="1"/>
    <row r="151" ht="15.75" customHeight="1">
      <c r="C151" s="69" t="s">
        <v>39</v>
      </c>
    </row>
    <row r="152" ht="15.75" customHeight="1">
      <c r="C152" s="216" t="s">
        <v>40</v>
      </c>
      <c r="D152" s="36"/>
      <c r="E152" s="36"/>
      <c r="F152" s="36"/>
      <c r="G152" s="36"/>
      <c r="H152" s="37"/>
      <c r="I152" s="18">
        <v>16.778410270671756</v>
      </c>
      <c r="J152" s="38" t="s">
        <v>18</v>
      </c>
    </row>
    <row r="153" ht="15.75" customHeight="1">
      <c r="C153" s="216" t="s">
        <v>41</v>
      </c>
      <c r="D153" s="36"/>
      <c r="E153" s="36"/>
      <c r="F153" s="36"/>
      <c r="G153" s="36"/>
      <c r="H153" s="37"/>
      <c r="I153" s="18">
        <v>3.9912472635748166</v>
      </c>
      <c r="J153" s="38" t="s">
        <v>18</v>
      </c>
    </row>
    <row r="154" ht="15.75" customHeight="1">
      <c r="C154" s="216" t="s">
        <v>42</v>
      </c>
      <c r="D154" s="36"/>
      <c r="E154" s="36"/>
      <c r="F154" s="36"/>
      <c r="G154" s="36"/>
      <c r="H154" s="37"/>
      <c r="I154" s="38">
        <v>0.0</v>
      </c>
      <c r="J154" s="38" t="s">
        <v>18</v>
      </c>
    </row>
    <row r="155" ht="15.75" customHeight="1">
      <c r="C155" s="217" t="s">
        <v>43</v>
      </c>
      <c r="D155" s="36"/>
      <c r="E155" s="36"/>
      <c r="F155" s="36"/>
      <c r="G155" s="36"/>
      <c r="H155" s="37"/>
      <c r="I155" s="18">
        <v>20.769657534246573</v>
      </c>
      <c r="J155" s="38" t="s">
        <v>18</v>
      </c>
    </row>
    <row r="156" ht="15.75" customHeight="1"/>
    <row r="157" ht="15.75" customHeight="1">
      <c r="C157" s="201" t="s">
        <v>44</v>
      </c>
    </row>
    <row r="158" ht="15.75" customHeight="1">
      <c r="C158" s="216" t="s">
        <v>45</v>
      </c>
      <c r="D158" s="36"/>
      <c r="E158" s="36"/>
      <c r="F158" s="36"/>
      <c r="G158" s="36"/>
      <c r="H158" s="37"/>
      <c r="I158" s="18">
        <v>1174.396865800959</v>
      </c>
      <c r="J158" s="38" t="s">
        <v>18</v>
      </c>
    </row>
    <row r="159" ht="15.75" customHeight="1">
      <c r="C159" s="216" t="s">
        <v>46</v>
      </c>
      <c r="D159" s="36"/>
      <c r="E159" s="36"/>
      <c r="F159" s="36"/>
      <c r="G159" s="36"/>
      <c r="H159" s="37"/>
      <c r="I159" s="18">
        <v>20.769657534246573</v>
      </c>
      <c r="J159" s="38" t="s">
        <v>18</v>
      </c>
    </row>
    <row r="160" ht="15.75" customHeight="1">
      <c r="C160" s="216" t="s">
        <v>47</v>
      </c>
      <c r="D160" s="36"/>
      <c r="E160" s="36"/>
      <c r="F160" s="36"/>
      <c r="G160" s="36"/>
      <c r="H160" s="37"/>
      <c r="I160" s="18">
        <v>1195.1665233352055</v>
      </c>
      <c r="J160" s="38" t="s">
        <v>18</v>
      </c>
    </row>
    <row r="161" ht="15.75" customHeight="1"/>
    <row r="162" ht="15.75" customHeight="1">
      <c r="C162" s="201" t="s">
        <v>48</v>
      </c>
    </row>
    <row r="163" ht="15.75" customHeight="1">
      <c r="C163" s="216" t="s">
        <v>49</v>
      </c>
      <c r="D163" s="36"/>
      <c r="E163" s="36"/>
      <c r="F163" s="36"/>
      <c r="G163" s="36"/>
      <c r="H163" s="37"/>
      <c r="I163" s="18">
        <v>1430.388841285859</v>
      </c>
      <c r="J163" s="38" t="s">
        <v>18</v>
      </c>
    </row>
    <row r="164" ht="15.75" customHeight="1">
      <c r="C164" s="216" t="s">
        <v>50</v>
      </c>
      <c r="D164" s="36"/>
      <c r="E164" s="36"/>
      <c r="F164" s="36"/>
      <c r="G164" s="36"/>
      <c r="H164" s="37"/>
      <c r="I164" s="18">
        <v>1155.5149999999999</v>
      </c>
      <c r="J164" s="38" t="s">
        <v>18</v>
      </c>
    </row>
    <row r="165" ht="15.75" customHeight="1">
      <c r="C165" s="216" t="s">
        <v>51</v>
      </c>
      <c r="D165" s="36"/>
      <c r="E165" s="36"/>
      <c r="F165" s="36"/>
      <c r="G165" s="36"/>
      <c r="H165" s="37"/>
      <c r="I165" s="18">
        <v>274.87384128585904</v>
      </c>
      <c r="J165" s="38" t="s">
        <v>18</v>
      </c>
    </row>
    <row r="166" ht="15.75" customHeight="1"/>
    <row r="167" ht="15.75" customHeight="1"/>
    <row r="168" ht="15.75" customHeight="1">
      <c r="C168" t="s">
        <v>31</v>
      </c>
      <c r="F168">
        <v>1227.4768427823801</v>
      </c>
      <c r="H168" t="s">
        <v>307</v>
      </c>
      <c r="K168" s="218">
        <v>2149785.754259685</v>
      </c>
    </row>
    <row r="169" ht="15.75" customHeight="1">
      <c r="H169" t="s">
        <v>308</v>
      </c>
      <c r="K169" s="218">
        <v>36375.68737082211</v>
      </c>
    </row>
    <row r="170" ht="15.75" customHeight="1">
      <c r="C170" t="s">
        <v>34</v>
      </c>
      <c r="F170" s="219">
        <v>16.377899709949098</v>
      </c>
      <c r="H170" t="s">
        <v>309</v>
      </c>
      <c r="K170" s="218">
        <v>28684.024214528185</v>
      </c>
    </row>
    <row r="171" ht="15.75" customHeight="1"/>
    <row r="172" ht="15.75" customHeight="1">
      <c r="C172" s="220" t="s">
        <v>310</v>
      </c>
      <c r="D172" s="221"/>
      <c r="E172" s="221"/>
      <c r="F172" s="222">
        <v>2093197.913216862</v>
      </c>
      <c r="G172" s="219" t="s">
        <v>311</v>
      </c>
    </row>
    <row r="173" ht="15.75" customHeight="1">
      <c r="G173" s="223" t="s">
        <v>312</v>
      </c>
    </row>
    <row r="174" ht="15.75" customHeight="1"/>
    <row r="175" ht="15.75" customHeight="1">
      <c r="A175" s="192" t="s">
        <v>313</v>
      </c>
    </row>
    <row r="176" ht="15.75" customHeight="1"/>
    <row r="177" ht="15.75" customHeight="1"/>
    <row r="178" ht="15.75" customHeight="1">
      <c r="B178" s="148"/>
      <c r="C178" s="148"/>
      <c r="D178" s="148"/>
      <c r="E178" s="148"/>
      <c r="F178" s="224" t="s">
        <v>314</v>
      </c>
      <c r="G178" s="225"/>
      <c r="H178" s="226"/>
    </row>
    <row r="179" ht="15.75" customHeight="1">
      <c r="B179" s="148"/>
      <c r="C179" s="152" t="s">
        <v>315</v>
      </c>
      <c r="D179" s="137" t="s">
        <v>316</v>
      </c>
      <c r="E179" s="134">
        <v>107.46</v>
      </c>
      <c r="F179" s="134" t="s">
        <v>317</v>
      </c>
      <c r="G179" s="134">
        <v>18912.96</v>
      </c>
      <c r="H179" s="227">
        <v>30771.230656</v>
      </c>
    </row>
    <row r="180" ht="15.75" customHeight="1">
      <c r="B180" s="148"/>
      <c r="C180" s="148"/>
      <c r="D180" s="142" t="s">
        <v>318</v>
      </c>
      <c r="E180" s="140">
        <v>124.68</v>
      </c>
      <c r="F180" s="140" t="s">
        <v>317</v>
      </c>
      <c r="G180" s="140">
        <v>21943.68</v>
      </c>
      <c r="H180" s="228">
        <v>34772.69027199999</v>
      </c>
      <c r="J180" s="229" t="s">
        <v>319</v>
      </c>
      <c r="L180" s="218">
        <v>84.80750608343467</v>
      </c>
    </row>
    <row r="181" ht="15.75" customHeight="1">
      <c r="B181" s="148"/>
      <c r="C181" s="148"/>
      <c r="D181" s="142" t="s">
        <v>320</v>
      </c>
      <c r="E181" s="140">
        <v>21496.0</v>
      </c>
      <c r="F181" s="140"/>
      <c r="G181" s="140">
        <v>21496.0</v>
      </c>
      <c r="H181" s="228">
        <v>31289.098368</v>
      </c>
      <c r="J181" s="229" t="s">
        <v>321</v>
      </c>
      <c r="L181" s="218">
        <v>93.44110298476136</v>
      </c>
    </row>
    <row r="182" ht="15.75" customHeight="1">
      <c r="B182" s="148"/>
      <c r="C182" s="148"/>
      <c r="D182" s="142" t="s">
        <v>322</v>
      </c>
      <c r="E182" s="140">
        <v>21496.0</v>
      </c>
      <c r="F182" s="140"/>
      <c r="G182" s="140">
        <v>21496.0</v>
      </c>
      <c r="H182" s="228">
        <v>31289.098368</v>
      </c>
      <c r="J182" s="229"/>
    </row>
    <row r="183" ht="15.75" customHeight="1">
      <c r="B183" s="148"/>
      <c r="C183" s="148"/>
      <c r="D183" s="142" t="s">
        <v>323</v>
      </c>
      <c r="E183" s="140">
        <v>21496.0</v>
      </c>
      <c r="F183" s="140"/>
      <c r="G183" s="140">
        <v>21496.0</v>
      </c>
      <c r="H183" s="228">
        <v>31289.098368</v>
      </c>
      <c r="J183" s="229" t="s">
        <v>324</v>
      </c>
      <c r="L183" s="218">
        <v>711.4675655501788</v>
      </c>
    </row>
    <row r="184" ht="15.75" customHeight="1">
      <c r="B184" s="148"/>
      <c r="C184" s="148"/>
      <c r="D184" s="142" t="s">
        <v>325</v>
      </c>
      <c r="E184" s="140">
        <v>21496.0</v>
      </c>
      <c r="F184" s="140"/>
      <c r="G184" s="140">
        <v>21496.0</v>
      </c>
      <c r="H184" s="228">
        <v>31289.098368</v>
      </c>
      <c r="J184" s="229" t="s">
        <v>326</v>
      </c>
      <c r="L184" s="218">
        <v>783.8965810112086</v>
      </c>
    </row>
    <row r="185" ht="15.75" customHeight="1">
      <c r="B185" s="230" t="s">
        <v>327</v>
      </c>
      <c r="C185" s="37"/>
      <c r="D185" s="142" t="s">
        <v>328</v>
      </c>
      <c r="E185" s="140">
        <v>23049.0</v>
      </c>
      <c r="F185" s="140"/>
      <c r="G185" s="140">
        <v>23049.0</v>
      </c>
      <c r="H185" s="228">
        <v>33347.289268</v>
      </c>
    </row>
    <row r="186" ht="15.75" customHeight="1">
      <c r="B186" s="231">
        <v>0.8</v>
      </c>
      <c r="C186" s="232" t="s">
        <v>329</v>
      </c>
      <c r="D186" s="142" t="s">
        <v>330</v>
      </c>
      <c r="E186" s="140">
        <v>30000.0</v>
      </c>
      <c r="F186" s="140" t="s">
        <v>331</v>
      </c>
      <c r="G186" s="140"/>
      <c r="H186" s="228">
        <v>30000.0</v>
      </c>
    </row>
    <row r="187" ht="15.75" customHeight="1">
      <c r="B187" s="233">
        <v>0.1</v>
      </c>
      <c r="C187" s="232" t="s">
        <v>332</v>
      </c>
      <c r="D187" s="142" t="s">
        <v>333</v>
      </c>
      <c r="E187" s="140">
        <v>140.27</v>
      </c>
      <c r="F187" s="140" t="s">
        <v>317</v>
      </c>
      <c r="G187" s="140">
        <v>24687.52</v>
      </c>
      <c r="H187" s="228">
        <v>35518.819824000006</v>
      </c>
    </row>
    <row r="188" ht="15.75" customHeight="1">
      <c r="B188" s="233">
        <v>0.1</v>
      </c>
      <c r="C188" s="232" t="s">
        <v>334</v>
      </c>
      <c r="D188" s="142" t="s">
        <v>335</v>
      </c>
      <c r="E188" s="140">
        <v>26920.0</v>
      </c>
      <c r="F188" s="140"/>
      <c r="G188" s="140">
        <v>26920.0</v>
      </c>
      <c r="H188" s="228">
        <v>38477.525568</v>
      </c>
      <c r="J188" t="s">
        <v>336</v>
      </c>
      <c r="L188" s="218">
        <v>2263546.122624</v>
      </c>
    </row>
    <row r="189" ht="15.75" customHeight="1">
      <c r="B189" s="148"/>
      <c r="C189" s="148"/>
      <c r="D189" s="142" t="s">
        <v>337</v>
      </c>
      <c r="E189" s="140">
        <v>26920.0</v>
      </c>
      <c r="F189" s="140"/>
      <c r="G189" s="140">
        <v>26920.0</v>
      </c>
      <c r="H189" s="228">
        <v>38477.525568</v>
      </c>
      <c r="J189" t="s">
        <v>338</v>
      </c>
      <c r="L189" s="218">
        <v>1958.9067408246542</v>
      </c>
    </row>
    <row r="190" ht="15.75" customHeight="1">
      <c r="B190" s="148"/>
      <c r="C190" s="148"/>
      <c r="D190" s="142" t="s">
        <v>339</v>
      </c>
      <c r="E190" s="140">
        <v>40000.0</v>
      </c>
      <c r="F190" s="140"/>
      <c r="G190" s="140">
        <v>40000.0</v>
      </c>
      <c r="H190" s="228">
        <v>55812.449567999996</v>
      </c>
    </row>
    <row r="191" ht="15.75" customHeight="1">
      <c r="B191" s="148"/>
      <c r="C191" s="148"/>
      <c r="D191" s="147" t="s">
        <v>340</v>
      </c>
      <c r="E191" s="145"/>
      <c r="F191" s="145"/>
      <c r="G191" s="145"/>
      <c r="H191" s="146"/>
      <c r="J191" s="234" t="s">
        <v>341</v>
      </c>
      <c r="L191" s="218">
        <v>2037191.5103616002</v>
      </c>
    </row>
    <row r="192" ht="15.75" customHeight="1">
      <c r="B192" s="148"/>
      <c r="C192" s="148"/>
      <c r="D192" s="235" t="s">
        <v>342</v>
      </c>
      <c r="E192" s="236"/>
      <c r="F192" s="225"/>
      <c r="G192" s="226"/>
      <c r="H192" s="237">
        <v>422333.9241959999</v>
      </c>
      <c r="J192" t="s">
        <v>343</v>
      </c>
      <c r="L192" s="218">
        <v>1832529.21510768</v>
      </c>
    </row>
    <row r="193" ht="15.75" customHeight="1"/>
    <row r="194" ht="15.75" customHeight="1">
      <c r="J194" t="s">
        <v>344</v>
      </c>
      <c r="L194" s="218">
        <v>20342.911074227588</v>
      </c>
    </row>
    <row r="195" ht="15.75" customHeight="1">
      <c r="A195" s="192" t="s">
        <v>345</v>
      </c>
    </row>
    <row r="196" ht="15.75" customHeight="1">
      <c r="J196" t="s">
        <v>346</v>
      </c>
      <c r="L196" s="218">
        <v>184319.38417969254</v>
      </c>
    </row>
    <row r="197" ht="15.75" customHeight="1"/>
    <row r="198" ht="15.75" customHeight="1">
      <c r="C198" s="238" t="s">
        <v>345</v>
      </c>
      <c r="D198" s="239"/>
      <c r="E198" s="240"/>
    </row>
    <row r="199" ht="15.75" customHeight="1">
      <c r="C199" s="241"/>
      <c r="D199" s="44"/>
      <c r="E199" s="45"/>
    </row>
    <row r="200" ht="15.75" customHeight="1">
      <c r="C200" s="140" t="s">
        <v>347</v>
      </c>
      <c r="D200" s="231">
        <v>0.01</v>
      </c>
      <c r="E200" s="140" t="s">
        <v>348</v>
      </c>
    </row>
    <row r="201" ht="15.75" customHeight="1">
      <c r="C201" s="140" t="s">
        <v>349</v>
      </c>
      <c r="D201" s="231">
        <v>0.015</v>
      </c>
      <c r="E201" s="140" t="s">
        <v>350</v>
      </c>
    </row>
    <row r="202" ht="15.75" customHeight="1">
      <c r="C202" s="140" t="s">
        <v>351</v>
      </c>
      <c r="D202" s="231">
        <v>0.02</v>
      </c>
      <c r="E202" s="140" t="s">
        <v>352</v>
      </c>
    </row>
    <row r="203" ht="15.75" customHeight="1">
      <c r="C203" s="140" t="s">
        <v>353</v>
      </c>
      <c r="D203" s="231">
        <v>0.025</v>
      </c>
      <c r="E203" s="140" t="s">
        <v>354</v>
      </c>
    </row>
    <row r="204" ht="15.75" customHeight="1">
      <c r="C204" s="232"/>
      <c r="D204" s="36"/>
      <c r="E204" s="37"/>
    </row>
    <row r="205" ht="15.75" customHeight="1">
      <c r="C205" s="242" t="s">
        <v>355</v>
      </c>
      <c r="D205" s="231">
        <v>0.11</v>
      </c>
      <c r="E205" s="140" t="s">
        <v>356</v>
      </c>
    </row>
    <row r="206" ht="15.75" customHeight="1">
      <c r="C206" s="78"/>
      <c r="D206" s="231">
        <v>0.05</v>
      </c>
      <c r="E206" s="140" t="s">
        <v>357</v>
      </c>
    </row>
    <row r="207" ht="15.75" customHeight="1">
      <c r="C207" s="232"/>
      <c r="D207" s="36"/>
      <c r="E207" s="37"/>
    </row>
    <row r="208" ht="15.75" customHeight="1">
      <c r="C208" s="140"/>
      <c r="D208" s="231">
        <v>0.85</v>
      </c>
      <c r="E208" s="140" t="s">
        <v>358</v>
      </c>
    </row>
    <row r="209" ht="15.75" customHeight="1"/>
    <row r="210" ht="15.75" customHeight="1">
      <c r="B210" s="201"/>
    </row>
    <row r="211" ht="15.75" customHeight="1">
      <c r="C211" s="185" t="s">
        <v>347</v>
      </c>
      <c r="D211" s="243">
        <v>234596.36593379994</v>
      </c>
      <c r="F211" s="244" t="s">
        <v>359</v>
      </c>
      <c r="G211" s="67"/>
      <c r="H211" s="245">
        <v>356458.0323342</v>
      </c>
      <c r="J211" s="246" t="s">
        <v>360</v>
      </c>
    </row>
    <row r="212" ht="15.75" customHeight="1">
      <c r="C212" s="185" t="s">
        <v>349</v>
      </c>
      <c r="D212" s="243">
        <v>9714.426</v>
      </c>
      <c r="F212" t="s">
        <v>361</v>
      </c>
      <c r="H212" s="218">
        <v>308.4827889904112</v>
      </c>
      <c r="J212" s="247">
        <v>278655.36042134126</v>
      </c>
    </row>
    <row r="213" ht="15.75" customHeight="1">
      <c r="C213" s="185" t="s">
        <v>362</v>
      </c>
      <c r="D213" s="243">
        <v>53108.678700000004</v>
      </c>
      <c r="F213" t="s">
        <v>363</v>
      </c>
      <c r="H213" s="218">
        <v>2587.925397561092</v>
      </c>
    </row>
    <row r="214" ht="15.75" customHeight="1">
      <c r="C214" s="185" t="s">
        <v>353</v>
      </c>
      <c r="D214" s="243">
        <v>59038.5617004</v>
      </c>
    </row>
    <row r="215" ht="15.75" customHeight="1">
      <c r="F215" s="201" t="s">
        <v>305</v>
      </c>
    </row>
    <row r="216" ht="15.75" customHeight="1">
      <c r="F216" t="s">
        <v>364</v>
      </c>
      <c r="H216" s="218">
        <v>288581.23329793976</v>
      </c>
    </row>
    <row r="217" ht="15.75" customHeight="1">
      <c r="F217" t="s">
        <v>363</v>
      </c>
      <c r="H217" s="218">
        <v>2587.925397561092</v>
      </c>
    </row>
    <row r="218" ht="15.75" customHeight="1">
      <c r="F218" t="s">
        <v>365</v>
      </c>
      <c r="H218" s="218">
        <v>65288.87363869914</v>
      </c>
    </row>
    <row r="219" ht="15.75" customHeight="1"/>
    <row r="220" ht="15.75" customHeight="1"/>
    <row r="221" ht="15.75" customHeight="1">
      <c r="C221" s="248"/>
    </row>
    <row r="222" ht="15.75" customHeight="1">
      <c r="A222" s="249" t="s">
        <v>366</v>
      </c>
      <c r="C222" s="248"/>
    </row>
    <row r="223" ht="15.75" customHeight="1">
      <c r="C223" s="248"/>
    </row>
    <row r="224" ht="15.75" customHeight="1">
      <c r="C224" s="250" t="s">
        <v>367</v>
      </c>
      <c r="D224" s="140">
        <v>3000.0</v>
      </c>
      <c r="E224" s="140" t="s">
        <v>368</v>
      </c>
    </row>
    <row r="225" ht="15.75" customHeight="1">
      <c r="C225" s="250" t="s">
        <v>369</v>
      </c>
      <c r="D225" s="140">
        <v>5.0</v>
      </c>
      <c r="E225" s="140"/>
    </row>
    <row r="226" ht="15.75" customHeight="1">
      <c r="C226" s="250" t="s">
        <v>370</v>
      </c>
      <c r="D226" s="140">
        <v>10.0</v>
      </c>
      <c r="E226" s="140"/>
    </row>
    <row r="227" ht="15.75" customHeight="1">
      <c r="C227" s="250" t="s">
        <v>371</v>
      </c>
      <c r="D227" s="140">
        <v>200.0</v>
      </c>
      <c r="E227" s="140" t="s">
        <v>372</v>
      </c>
    </row>
    <row r="228" ht="15.75" customHeight="1">
      <c r="C228" s="250" t="s">
        <v>373</v>
      </c>
      <c r="D228" s="140">
        <v>50.0</v>
      </c>
      <c r="E228" s="140"/>
    </row>
    <row r="229" ht="15.75" customHeight="1">
      <c r="C229" s="250" t="s">
        <v>374</v>
      </c>
      <c r="D229" s="140">
        <v>50000.0</v>
      </c>
      <c r="E229" s="140"/>
    </row>
    <row r="230" ht="15.75" customHeight="1">
      <c r="C230" s="248"/>
    </row>
    <row r="231" ht="15.75" customHeight="1">
      <c r="C231" s="248"/>
    </row>
    <row r="232" ht="15.75" customHeight="1">
      <c r="A232" s="251" t="s">
        <v>375</v>
      </c>
      <c r="B232" s="179"/>
      <c r="C232" s="179"/>
      <c r="D232" s="67"/>
    </row>
    <row r="233" ht="15.75" customHeight="1">
      <c r="C233" s="248"/>
    </row>
    <row r="234" ht="15.75" customHeight="1">
      <c r="B234" s="40"/>
      <c r="C234" s="40"/>
      <c r="D234" s="40"/>
      <c r="E234" s="252"/>
      <c r="F234" s="252"/>
      <c r="G234" s="252"/>
      <c r="H234" s="252"/>
    </row>
    <row r="235" ht="15.75" customHeight="1">
      <c r="B235" s="252"/>
      <c r="C235" s="252"/>
      <c r="D235" s="253"/>
      <c r="E235" s="254" t="s">
        <v>376</v>
      </c>
      <c r="F235" s="255"/>
      <c r="G235" s="254" t="s">
        <v>377</v>
      </c>
      <c r="H235" s="255"/>
    </row>
    <row r="236" ht="15.75" customHeight="1">
      <c r="B236" s="256" t="s">
        <v>378</v>
      </c>
      <c r="C236" s="257" t="s">
        <v>379</v>
      </c>
      <c r="D236" s="255" t="s">
        <v>380</v>
      </c>
      <c r="E236" s="258"/>
      <c r="F236" s="253"/>
      <c r="G236" s="258"/>
      <c r="H236" s="253"/>
    </row>
    <row r="237" ht="15.75" customHeight="1">
      <c r="B237" s="259" t="s">
        <v>381</v>
      </c>
      <c r="C237" s="260" t="s">
        <v>19</v>
      </c>
      <c r="D237" s="261"/>
      <c r="E237" s="262">
        <v>11880.0</v>
      </c>
      <c r="F237" s="263"/>
      <c r="G237" s="262">
        <v>14850.0</v>
      </c>
      <c r="H237" s="264"/>
    </row>
    <row r="238" ht="15.75" customHeight="1">
      <c r="B238" s="259" t="s">
        <v>382</v>
      </c>
      <c r="C238" s="260" t="s">
        <v>19</v>
      </c>
      <c r="D238" s="261"/>
      <c r="E238" s="265">
        <v>142.5</v>
      </c>
      <c r="F238" s="266"/>
      <c r="G238" s="265">
        <v>142.5</v>
      </c>
      <c r="H238" s="267"/>
    </row>
    <row r="239" ht="15.75" customHeight="1">
      <c r="B239" s="259" t="s">
        <v>383</v>
      </c>
      <c r="C239" s="260" t="s">
        <v>19</v>
      </c>
      <c r="D239" s="261"/>
      <c r="E239" s="262">
        <v>12022.0</v>
      </c>
      <c r="F239" s="263"/>
      <c r="G239" s="265">
        <v>14850.0</v>
      </c>
      <c r="H239" s="264"/>
    </row>
    <row r="240" ht="15.75" customHeight="1">
      <c r="B240" s="259" t="s">
        <v>384</v>
      </c>
      <c r="C240" s="260" t="s">
        <v>385</v>
      </c>
      <c r="D240" s="261"/>
      <c r="E240" s="268">
        <v>238.91</v>
      </c>
      <c r="F240" s="269"/>
      <c r="G240" s="268">
        <v>274.88</v>
      </c>
      <c r="H240" s="270"/>
    </row>
    <row r="241" ht="15.75" customHeight="1">
      <c r="B241" s="259" t="s">
        <v>386</v>
      </c>
      <c r="C241" s="260" t="s">
        <v>385</v>
      </c>
      <c r="D241" s="261"/>
      <c r="E241" s="268">
        <v>20.77</v>
      </c>
      <c r="F241" s="269"/>
      <c r="G241" s="271">
        <v>20.77</v>
      </c>
      <c r="H241" s="270"/>
    </row>
    <row r="242" ht="15.75" customHeight="1">
      <c r="B242" s="259" t="s">
        <v>387</v>
      </c>
      <c r="C242" s="260" t="s">
        <v>385</v>
      </c>
      <c r="D242" s="272"/>
      <c r="E242" s="268">
        <v>1195.17</v>
      </c>
      <c r="F242" s="269"/>
      <c r="G242" s="271">
        <v>1430.39</v>
      </c>
      <c r="H242" s="270"/>
      <c r="J242">
        <v>177949.9855286333</v>
      </c>
    </row>
    <row r="243" ht="15.75" customHeight="1">
      <c r="B243" s="259" t="s">
        <v>388</v>
      </c>
      <c r="C243" s="260" t="s">
        <v>385</v>
      </c>
      <c r="D243" s="265">
        <v>102.0</v>
      </c>
      <c r="E243" s="273">
        <v>758.0925</v>
      </c>
      <c r="F243" s="268"/>
      <c r="G243" s="273">
        <v>758.0925</v>
      </c>
      <c r="H243" s="270"/>
    </row>
    <row r="244" ht="15.75" customHeight="1">
      <c r="B244" s="274" t="s">
        <v>389</v>
      </c>
      <c r="C244" s="275" t="s">
        <v>385</v>
      </c>
      <c r="D244" s="276">
        <v>102.0</v>
      </c>
      <c r="E244" s="277">
        <v>1851.65</v>
      </c>
      <c r="F244" s="278"/>
      <c r="G244" s="279">
        <v>1430.39</v>
      </c>
      <c r="H244" s="280"/>
    </row>
    <row r="245" ht="15.75" customHeight="1"/>
    <row r="246" ht="15.75" customHeight="1"/>
    <row r="247" ht="15.75" customHeight="1">
      <c r="A247" s="251" t="s">
        <v>390</v>
      </c>
      <c r="B247" s="179"/>
      <c r="C247" s="179"/>
      <c r="D247" s="67"/>
    </row>
    <row r="248" ht="15.75" customHeight="1"/>
    <row r="249" ht="15.75" customHeight="1"/>
    <row r="250" ht="15.75" customHeight="1">
      <c r="A250" s="40"/>
      <c r="B250" s="34" t="s">
        <v>391</v>
      </c>
      <c r="C250" s="34"/>
      <c r="D250" s="34"/>
      <c r="E250" s="41" t="s">
        <v>392</v>
      </c>
      <c r="F250" s="281" t="s">
        <v>393</v>
      </c>
      <c r="G250" s="281"/>
      <c r="H250" s="40"/>
      <c r="I250" s="40"/>
      <c r="J250" s="40"/>
      <c r="K250" s="282"/>
      <c r="L250" s="40"/>
      <c r="M250" s="40"/>
    </row>
    <row r="251" ht="15.75" customHeight="1">
      <c r="A251" s="40"/>
      <c r="B251" s="40"/>
      <c r="C251" s="252"/>
      <c r="D251" s="252"/>
      <c r="E251" s="252"/>
      <c r="F251" s="252"/>
      <c r="G251" s="252"/>
      <c r="H251" s="252"/>
      <c r="I251" s="40"/>
      <c r="J251" s="40"/>
      <c r="K251" s="40"/>
      <c r="L251" s="40"/>
      <c r="M251" s="40"/>
    </row>
    <row r="252" ht="15.75" customHeight="1">
      <c r="A252" s="40"/>
      <c r="B252" s="283"/>
      <c r="C252" s="254" t="s">
        <v>394</v>
      </c>
      <c r="D252" s="254" t="s">
        <v>395</v>
      </c>
      <c r="E252" s="254" t="s">
        <v>396</v>
      </c>
      <c r="F252" s="254"/>
      <c r="G252" s="254"/>
      <c r="H252" s="255"/>
      <c r="I252" s="40"/>
      <c r="J252" s="40"/>
      <c r="K252" s="40"/>
      <c r="L252" s="40"/>
      <c r="M252" s="40"/>
    </row>
    <row r="253" ht="15.75" customHeight="1">
      <c r="A253" s="40"/>
      <c r="B253" s="283"/>
      <c r="C253" s="260" t="s">
        <v>397</v>
      </c>
      <c r="D253" s="268">
        <v>379.05</v>
      </c>
      <c r="E253" s="284"/>
      <c r="F253" s="284"/>
      <c r="G253" s="284"/>
      <c r="H253" s="284"/>
      <c r="I253" s="285">
        <v>4873.0</v>
      </c>
      <c r="J253" s="40"/>
      <c r="K253" s="40"/>
      <c r="L253" s="40"/>
      <c r="M253" s="40"/>
    </row>
    <row r="254" ht="15.75" customHeight="1">
      <c r="A254" s="40"/>
      <c r="B254" s="283"/>
      <c r="C254" s="260" t="s">
        <v>398</v>
      </c>
      <c r="D254" s="268">
        <v>252.7</v>
      </c>
      <c r="E254" s="284"/>
      <c r="F254" s="284"/>
      <c r="G254" s="284"/>
      <c r="H254" s="284"/>
      <c r="I254" s="285">
        <v>3249.0</v>
      </c>
      <c r="J254" s="40"/>
      <c r="K254" s="40"/>
      <c r="L254" s="40"/>
      <c r="M254" s="40"/>
    </row>
    <row r="255" ht="15.75" customHeight="1">
      <c r="A255" s="40"/>
      <c r="B255" s="283"/>
      <c r="C255" s="260" t="s">
        <v>399</v>
      </c>
      <c r="D255" s="268">
        <v>126.35</v>
      </c>
      <c r="E255" s="284"/>
      <c r="F255" s="284"/>
      <c r="G255" s="284"/>
      <c r="H255" s="284"/>
      <c r="I255" s="285">
        <v>1624.0</v>
      </c>
      <c r="J255" s="40"/>
      <c r="K255" s="40"/>
      <c r="L255" s="40"/>
      <c r="M255" s="40"/>
    </row>
    <row r="256" ht="15.75" customHeight="1">
      <c r="A256" s="40"/>
      <c r="B256" s="283"/>
      <c r="C256" s="260" t="s">
        <v>400</v>
      </c>
      <c r="D256" s="286">
        <v>758.0925</v>
      </c>
      <c r="E256" s="287">
        <v>758.0925</v>
      </c>
      <c r="F256" s="265" t="s">
        <v>18</v>
      </c>
      <c r="G256" s="268"/>
      <c r="H256" s="288"/>
      <c r="I256" s="285">
        <v>9747.0</v>
      </c>
      <c r="J256" s="40"/>
      <c r="K256" s="40"/>
      <c r="L256" s="289" t="s">
        <v>401</v>
      </c>
      <c r="M256" s="40"/>
    </row>
    <row r="257" ht="15.75" customHeight="1">
      <c r="A257" s="40"/>
      <c r="B257" s="283"/>
      <c r="C257" s="260" t="s">
        <v>402</v>
      </c>
      <c r="D257" s="268">
        <v>1389.84</v>
      </c>
      <c r="E257" s="287">
        <v>758.0925</v>
      </c>
      <c r="F257" s="265" t="s">
        <v>18</v>
      </c>
      <c r="G257" s="268"/>
      <c r="H257" s="288"/>
      <c r="I257" s="285">
        <v>17869.0</v>
      </c>
      <c r="J257" s="40"/>
      <c r="K257" s="40"/>
      <c r="L257" s="40"/>
      <c r="M257" s="40"/>
    </row>
    <row r="258" ht="15.75" customHeight="1">
      <c r="A258" s="40"/>
      <c r="B258" s="283"/>
      <c r="C258" s="260" t="s">
        <v>403</v>
      </c>
      <c r="D258" s="268">
        <v>1263.49</v>
      </c>
      <c r="E258" s="284"/>
      <c r="F258" s="284"/>
      <c r="G258" s="284"/>
      <c r="H258" s="284"/>
      <c r="I258" s="285">
        <v>16244.0</v>
      </c>
      <c r="J258" s="40"/>
      <c r="K258" s="40"/>
      <c r="L258" s="40"/>
      <c r="M258" s="40"/>
    </row>
    <row r="259" ht="15.75" customHeight="1">
      <c r="A259" s="40"/>
      <c r="B259" s="283"/>
      <c r="C259" s="260" t="s">
        <v>404</v>
      </c>
      <c r="D259" s="268">
        <v>1137.14</v>
      </c>
      <c r="E259" s="284"/>
      <c r="F259" s="284"/>
      <c r="G259" s="284"/>
      <c r="H259" s="284"/>
      <c r="I259" s="285">
        <v>14620.0</v>
      </c>
      <c r="J259" s="40"/>
      <c r="K259" s="40"/>
      <c r="L259" s="40"/>
      <c r="M259" s="40"/>
    </row>
    <row r="260" ht="15.75" customHeight="1">
      <c r="A260" s="40"/>
      <c r="B260" s="283"/>
      <c r="C260" s="260" t="s">
        <v>405</v>
      </c>
      <c r="D260" s="268">
        <v>1010.79</v>
      </c>
      <c r="E260" s="284"/>
      <c r="F260" s="284"/>
      <c r="G260" s="284"/>
      <c r="H260" s="284"/>
      <c r="I260" s="285">
        <v>12996.0</v>
      </c>
      <c r="J260" s="40"/>
      <c r="K260" s="40"/>
      <c r="L260" s="40"/>
      <c r="M260" s="40"/>
    </row>
    <row r="261" ht="15.75" customHeight="1">
      <c r="A261" s="40"/>
      <c r="B261" s="283"/>
      <c r="C261" s="260" t="s">
        <v>406</v>
      </c>
      <c r="D261" s="268">
        <v>884.44</v>
      </c>
      <c r="E261" s="284"/>
      <c r="F261" s="284"/>
      <c r="G261" s="284"/>
      <c r="H261" s="284"/>
      <c r="I261" s="285">
        <v>11371.0</v>
      </c>
      <c r="J261" s="40"/>
      <c r="K261" s="40"/>
      <c r="L261" s="40"/>
      <c r="M261" s="40"/>
    </row>
    <row r="262" ht="15.75" customHeight="1">
      <c r="A262" s="40"/>
      <c r="B262" s="283"/>
      <c r="C262" s="260" t="s">
        <v>407</v>
      </c>
      <c r="D262" s="268">
        <v>758.09</v>
      </c>
      <c r="E262" s="284"/>
      <c r="F262" s="284"/>
      <c r="G262" s="284"/>
      <c r="H262" s="284"/>
      <c r="I262" s="285">
        <v>9747.0</v>
      </c>
      <c r="J262" s="40"/>
      <c r="K262" s="40"/>
      <c r="L262" s="40"/>
      <c r="M262" s="40"/>
    </row>
    <row r="263" ht="15.75" customHeight="1">
      <c r="A263" s="40"/>
      <c r="B263" s="283"/>
      <c r="C263" s="260" t="s">
        <v>408</v>
      </c>
      <c r="D263" s="268">
        <v>631.74</v>
      </c>
      <c r="E263" s="284"/>
      <c r="F263" s="284"/>
      <c r="G263" s="284"/>
      <c r="H263" s="284"/>
      <c r="I263" s="285">
        <v>8122.0</v>
      </c>
      <c r="J263" s="40"/>
      <c r="K263" s="40"/>
      <c r="L263" s="40"/>
      <c r="M263" s="40"/>
    </row>
    <row r="264" ht="15.75" customHeight="1">
      <c r="A264" s="40"/>
      <c r="B264" s="283"/>
      <c r="C264" s="275" t="s">
        <v>409</v>
      </c>
      <c r="D264" s="277">
        <v>505.4</v>
      </c>
      <c r="E264" s="284"/>
      <c r="F264" s="284"/>
      <c r="G264" s="284"/>
      <c r="H264" s="284"/>
      <c r="I264" s="285">
        <v>6498.0</v>
      </c>
      <c r="J264" s="40"/>
      <c r="K264" s="40"/>
      <c r="L264" s="40"/>
      <c r="M264" s="40"/>
    </row>
    <row r="265" ht="15.7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</row>
    <row r="266" ht="15.7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</row>
    <row r="267" ht="15.75" customHeight="1">
      <c r="A267" s="40"/>
      <c r="B267" s="40" t="s">
        <v>410</v>
      </c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</row>
    <row r="268" ht="15.7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</row>
    <row r="269" ht="15.75" customHeight="1">
      <c r="A269" s="40"/>
      <c r="B269" s="40"/>
      <c r="C269" s="290"/>
      <c r="D269" s="290"/>
      <c r="E269" s="290"/>
      <c r="F269" s="290"/>
      <c r="G269" s="290"/>
      <c r="H269" s="290"/>
      <c r="I269" s="40"/>
      <c r="J269" s="40"/>
      <c r="K269" s="40"/>
      <c r="L269" s="40"/>
      <c r="M269" s="40"/>
    </row>
    <row r="270" ht="15.75" customHeight="1">
      <c r="A270" s="40"/>
      <c r="B270" s="291"/>
      <c r="C270" s="292" t="s">
        <v>411</v>
      </c>
      <c r="D270" s="293"/>
      <c r="E270" s="268">
        <v>9097.1225</v>
      </c>
      <c r="F270" s="294" t="s">
        <v>18</v>
      </c>
      <c r="G270" s="268"/>
      <c r="H270" s="294"/>
      <c r="I270" s="40"/>
      <c r="J270" s="40"/>
      <c r="K270" s="40"/>
      <c r="L270" s="40"/>
      <c r="M270" s="40"/>
    </row>
    <row r="271" ht="15.75" customHeight="1">
      <c r="A271" s="40"/>
      <c r="B271" s="291"/>
      <c r="C271" s="292" t="s">
        <v>412</v>
      </c>
      <c r="D271" s="293"/>
      <c r="E271" s="286">
        <v>758.0935416666666</v>
      </c>
      <c r="F271" s="294" t="s">
        <v>18</v>
      </c>
      <c r="G271" s="268"/>
      <c r="H271" s="294"/>
      <c r="I271" s="295" t="s">
        <v>413</v>
      </c>
      <c r="J271" s="40" t="s">
        <v>414</v>
      </c>
      <c r="K271" s="40"/>
      <c r="L271" s="40"/>
      <c r="M271" s="40"/>
    </row>
    <row r="272" ht="15.7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</row>
    <row r="273" ht="15.75" customHeight="1">
      <c r="A273" s="40"/>
      <c r="B273" s="40"/>
      <c r="C273" s="40" t="s">
        <v>415</v>
      </c>
      <c r="D273" s="40"/>
      <c r="E273" s="40"/>
      <c r="F273" s="40"/>
      <c r="G273" s="40"/>
      <c r="H273" s="40"/>
      <c r="I273" s="40"/>
      <c r="J273" s="40"/>
      <c r="K273" s="40"/>
      <c r="L273" s="40"/>
      <c r="M273" s="40"/>
    </row>
    <row r="274" ht="15.7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</row>
    <row r="275" ht="15.75" customHeight="1"/>
    <row r="276" ht="15.75" customHeight="1"/>
    <row r="277" ht="15.75" customHeight="1"/>
    <row r="278" ht="15.75" customHeight="1">
      <c r="A278" s="251" t="s">
        <v>416</v>
      </c>
      <c r="B278" s="179"/>
      <c r="C278" s="179"/>
      <c r="D278" s="67"/>
    </row>
    <row r="279" ht="15.75" customHeight="1"/>
    <row r="280" ht="15.75" customHeight="1"/>
    <row r="281" ht="15.75" customHeight="1">
      <c r="A281" t="s">
        <v>417</v>
      </c>
      <c r="D281" s="296">
        <v>12022.0</v>
      </c>
      <c r="F281" t="s">
        <v>418</v>
      </c>
    </row>
    <row r="282" ht="15.75" customHeight="1">
      <c r="F282" t="s">
        <v>419</v>
      </c>
    </row>
    <row r="283" ht="15.75" customHeight="1">
      <c r="A283" t="s">
        <v>420</v>
      </c>
      <c r="D283">
        <v>14850.0</v>
      </c>
      <c r="F283" t="s">
        <v>421</v>
      </c>
    </row>
    <row r="284" ht="15.75" customHeight="1">
      <c r="F284" t="s">
        <v>362</v>
      </c>
      <c r="G284" s="297">
        <v>356458.0323342</v>
      </c>
    </row>
    <row r="285" ht="15.75" customHeight="1">
      <c r="A285" t="s">
        <v>422</v>
      </c>
      <c r="D285">
        <v>142.5</v>
      </c>
      <c r="F285" t="s">
        <v>241</v>
      </c>
      <c r="G285" s="298">
        <v>97591.64601341751</v>
      </c>
    </row>
    <row r="286" ht="15.75" customHeight="1">
      <c r="F286" t="s">
        <v>423</v>
      </c>
    </row>
    <row r="287" ht="15.75" customHeight="1"/>
    <row r="288" ht="15.75" customHeight="1"/>
    <row r="289" ht="15.75" customHeight="1">
      <c r="A289" t="s">
        <v>424</v>
      </c>
      <c r="D289" s="299">
        <v>758.0925</v>
      </c>
    </row>
    <row r="290" ht="15.75" customHeight="1"/>
    <row r="291" ht="15.75" customHeight="1">
      <c r="A291" t="s">
        <v>425</v>
      </c>
      <c r="D291" s="300">
        <v>758.0935416666666</v>
      </c>
    </row>
    <row r="292" ht="15.75" customHeight="1"/>
    <row r="293" ht="15.75" customHeight="1">
      <c r="A293" t="s">
        <v>426</v>
      </c>
      <c r="D293" s="218">
        <v>1751.3859971375618</v>
      </c>
    </row>
    <row r="294" ht="15.75" customHeight="1"/>
    <row r="295" ht="15.75" customHeight="1">
      <c r="A295" t="s">
        <v>427</v>
      </c>
      <c r="D295" s="301">
        <v>101.60523483656486</v>
      </c>
    </row>
    <row r="296" ht="15.75" customHeight="1"/>
    <row r="297" ht="15.75" customHeight="1"/>
    <row r="298" ht="15.75" customHeight="1">
      <c r="A298" t="s">
        <v>428</v>
      </c>
    </row>
    <row r="299" ht="15.75" customHeight="1">
      <c r="A299" t="s">
        <v>429</v>
      </c>
    </row>
    <row r="300" ht="15.75" customHeight="1"/>
    <row r="301" ht="15.75" customHeight="1">
      <c r="A301" s="302"/>
      <c r="B301" s="303" t="s">
        <v>44</v>
      </c>
      <c r="C301" s="303" t="s">
        <v>430</v>
      </c>
      <c r="D301" s="303" t="s">
        <v>431</v>
      </c>
      <c r="E301" s="303" t="s">
        <v>432</v>
      </c>
      <c r="F301" s="303" t="s">
        <v>433</v>
      </c>
    </row>
    <row r="302" ht="15.75" customHeight="1">
      <c r="A302" s="302" t="s">
        <v>434</v>
      </c>
      <c r="B302" s="304">
        <v>5048.414214259107</v>
      </c>
      <c r="C302" s="304">
        <v>5277.79919598001</v>
      </c>
      <c r="D302" s="304">
        <v>5277.79919598001</v>
      </c>
      <c r="E302" s="304">
        <v>5277.79919598001</v>
      </c>
      <c r="F302" s="304">
        <v>5277.79919598001</v>
      </c>
    </row>
    <row r="303" ht="15.75" customHeight="1">
      <c r="A303" s="302" t="s">
        <v>435</v>
      </c>
      <c r="B303" s="304">
        <v>718.332507606126</v>
      </c>
      <c r="C303" s="304">
        <v>713.1018821601965</v>
      </c>
      <c r="D303" s="304">
        <v>713.1018821601965</v>
      </c>
      <c r="E303" s="304">
        <v>713.1018821601965</v>
      </c>
      <c r="F303" s="304">
        <v>713.1018821601965</v>
      </c>
    </row>
    <row r="304" ht="15.75" customHeight="1">
      <c r="A304" s="302" t="s">
        <v>436</v>
      </c>
      <c r="B304" s="304">
        <v>253.9848576745973</v>
      </c>
      <c r="C304" s="304">
        <v>257.399380303145</v>
      </c>
      <c r="D304" s="304">
        <v>257.399380303145</v>
      </c>
      <c r="E304" s="304">
        <v>257.399380303145</v>
      </c>
      <c r="F304" s="304">
        <v>257.399380303145</v>
      </c>
    </row>
    <row r="305" ht="15.75" customHeight="1">
      <c r="A305" s="302" t="s">
        <v>437</v>
      </c>
      <c r="B305" s="304">
        <v>0.0</v>
      </c>
      <c r="C305" s="304">
        <v>0.0</v>
      </c>
      <c r="D305" s="304">
        <v>0.0</v>
      </c>
      <c r="E305" s="304">
        <v>0.0</v>
      </c>
      <c r="F305" s="304">
        <v>0.0</v>
      </c>
    </row>
    <row r="306" ht="15.75" customHeight="1">
      <c r="A306" s="302" t="s">
        <v>438</v>
      </c>
      <c r="B306" s="304">
        <v>0.0</v>
      </c>
      <c r="C306" s="304">
        <v>0.0</v>
      </c>
      <c r="D306" s="304">
        <v>0.0</v>
      </c>
      <c r="E306" s="304">
        <v>0.0</v>
      </c>
      <c r="F306" s="304">
        <v>0.0</v>
      </c>
    </row>
    <row r="307" ht="15.75" customHeight="1">
      <c r="A307" s="303" t="s">
        <v>182</v>
      </c>
      <c r="B307" s="305">
        <v>6020.73157953983</v>
      </c>
      <c r="C307" s="305">
        <v>6248.300458443352</v>
      </c>
      <c r="D307" s="305">
        <v>6248.300458443352</v>
      </c>
      <c r="E307" s="305">
        <v>6248.300458443352</v>
      </c>
      <c r="F307" s="305">
        <v>6248.300458443352</v>
      </c>
    </row>
    <row r="308" ht="15.75" customHeight="1">
      <c r="A308" s="302" t="s">
        <v>439</v>
      </c>
      <c r="B308" s="304">
        <v>6020.73157953983</v>
      </c>
      <c r="C308" s="304">
        <v>227.5688789035221</v>
      </c>
      <c r="D308" s="304">
        <v>0.0</v>
      </c>
      <c r="E308" s="304">
        <v>0.0</v>
      </c>
      <c r="F308" s="304">
        <v>0.0</v>
      </c>
    </row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</sheetData>
  <mergeCells count="56">
    <mergeCell ref="A20:B20"/>
    <mergeCell ref="B44:G44"/>
    <mergeCell ref="G4:G5"/>
    <mergeCell ref="F4:F5"/>
    <mergeCell ref="C10:C11"/>
    <mergeCell ref="B10:B11"/>
    <mergeCell ref="G15:G16"/>
    <mergeCell ref="F15:F16"/>
    <mergeCell ref="C131:F131"/>
    <mergeCell ref="C145:H145"/>
    <mergeCell ref="C144:H144"/>
    <mergeCell ref="C143:H143"/>
    <mergeCell ref="C205:C206"/>
    <mergeCell ref="C204:E204"/>
    <mergeCell ref="C151:F151"/>
    <mergeCell ref="C154:H154"/>
    <mergeCell ref="C153:H153"/>
    <mergeCell ref="C152:H152"/>
    <mergeCell ref="C164:H164"/>
    <mergeCell ref="C163:H163"/>
    <mergeCell ref="C198:E199"/>
    <mergeCell ref="E192:G192"/>
    <mergeCell ref="C155:H155"/>
    <mergeCell ref="C159:H159"/>
    <mergeCell ref="C158:H158"/>
    <mergeCell ref="C165:H165"/>
    <mergeCell ref="C147:H147"/>
    <mergeCell ref="C149:H149"/>
    <mergeCell ref="C146:H146"/>
    <mergeCell ref="F211:G211"/>
    <mergeCell ref="C207:E207"/>
    <mergeCell ref="F178:H178"/>
    <mergeCell ref="C160:H160"/>
    <mergeCell ref="E10:E11"/>
    <mergeCell ref="D10:D11"/>
    <mergeCell ref="A1:B1"/>
    <mergeCell ref="D4:D5"/>
    <mergeCell ref="C4:C5"/>
    <mergeCell ref="B4:B5"/>
    <mergeCell ref="E4:E5"/>
    <mergeCell ref="C118:G118"/>
    <mergeCell ref="C99:I100"/>
    <mergeCell ref="A95:D95"/>
    <mergeCell ref="A83:D83"/>
    <mergeCell ref="C15:C16"/>
    <mergeCell ref="B15:B16"/>
    <mergeCell ref="G10:G11"/>
    <mergeCell ref="F10:F11"/>
    <mergeCell ref="E15:E16"/>
    <mergeCell ref="D15:D16"/>
    <mergeCell ref="C119:G119"/>
    <mergeCell ref="C121:E121"/>
    <mergeCell ref="A278:D278"/>
    <mergeCell ref="A247:D247"/>
    <mergeCell ref="A232:D232"/>
    <mergeCell ref="B185:C185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00FF"/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14.43"/>
    <col customWidth="1" min="2" max="2" width="10.71"/>
    <col customWidth="1" min="3" max="3" width="24.43"/>
    <col customWidth="1" min="4" max="4" width="14.29"/>
    <col customWidth="1" min="5" max="5" width="53.71"/>
    <col customWidth="1" min="6" max="6" width="16.29"/>
    <col customWidth="1" min="7" max="7" width="18.0"/>
    <col customWidth="1" min="8" max="8" width="3.43"/>
    <col customWidth="1" min="9" max="9" width="19.57"/>
    <col customWidth="1" min="10" max="10" width="31.29"/>
    <col customWidth="1" min="11" max="11" width="8.14"/>
    <col customWidth="1" min="12" max="12" width="20.43"/>
    <col customWidth="1" min="13" max="13" width="4.86"/>
  </cols>
  <sheetData>
    <row r="4">
      <c r="B4" s="223" t="s">
        <v>440</v>
      </c>
      <c r="C4" t="s">
        <v>441</v>
      </c>
      <c r="D4" t="s">
        <v>442</v>
      </c>
      <c r="E4" t="s">
        <v>443</v>
      </c>
      <c r="F4" t="s">
        <v>444</v>
      </c>
      <c r="G4" t="s">
        <v>445</v>
      </c>
      <c r="I4" s="306" t="s">
        <v>446</v>
      </c>
    </row>
    <row r="5">
      <c r="C5" t="s">
        <v>173</v>
      </c>
      <c r="D5">
        <v>5000.0</v>
      </c>
      <c r="E5">
        <v>1.0</v>
      </c>
      <c r="F5">
        <v>5000.0</v>
      </c>
      <c r="G5" s="307"/>
    </row>
    <row r="6">
      <c r="C6" t="s">
        <v>157</v>
      </c>
      <c r="D6">
        <v>1800.0</v>
      </c>
      <c r="E6">
        <v>1.0</v>
      </c>
      <c r="F6" s="97">
        <v>1800.0</v>
      </c>
      <c r="G6" s="307"/>
    </row>
    <row r="7">
      <c r="C7" t="s">
        <v>447</v>
      </c>
      <c r="D7">
        <v>1500.0</v>
      </c>
      <c r="E7">
        <v>1.0</v>
      </c>
      <c r="F7">
        <v>1500.0</v>
      </c>
      <c r="G7" s="307"/>
    </row>
    <row r="8">
      <c r="C8" t="s">
        <v>448</v>
      </c>
      <c r="D8">
        <v>800.0</v>
      </c>
      <c r="E8">
        <v>1.0</v>
      </c>
      <c r="F8" s="97">
        <v>800.0</v>
      </c>
      <c r="G8" s="307"/>
    </row>
    <row r="9">
      <c r="C9" t="s">
        <v>164</v>
      </c>
      <c r="D9">
        <v>1400.0</v>
      </c>
      <c r="E9">
        <v>1.0</v>
      </c>
      <c r="F9" s="97">
        <v>1400.0</v>
      </c>
      <c r="G9" s="307"/>
    </row>
    <row r="10">
      <c r="C10" t="s">
        <v>449</v>
      </c>
      <c r="D10">
        <v>175.0</v>
      </c>
      <c r="E10">
        <v>2.0</v>
      </c>
      <c r="F10">
        <v>700.0</v>
      </c>
      <c r="G10" s="307"/>
    </row>
    <row r="11">
      <c r="C11" t="s">
        <v>450</v>
      </c>
      <c r="D11">
        <v>500.0</v>
      </c>
      <c r="E11">
        <v>3.0</v>
      </c>
      <c r="F11">
        <v>1500.0</v>
      </c>
      <c r="G11" s="307"/>
    </row>
    <row r="12">
      <c r="C12" t="s">
        <v>171</v>
      </c>
      <c r="D12">
        <v>300.0</v>
      </c>
      <c r="E12">
        <v>1.0</v>
      </c>
      <c r="F12">
        <v>300.0</v>
      </c>
      <c r="G12" s="307"/>
      <c r="H12" s="308"/>
      <c r="I12" s="309"/>
      <c r="J12" s="56"/>
      <c r="K12" s="56"/>
      <c r="L12" s="56"/>
      <c r="M12" s="57"/>
    </row>
    <row r="13">
      <c r="C13" t="s">
        <v>451</v>
      </c>
      <c r="D13">
        <v>1500.0</v>
      </c>
      <c r="E13">
        <v>1.0</v>
      </c>
      <c r="F13">
        <v>1500.0</v>
      </c>
      <c r="G13" s="307"/>
      <c r="H13" s="308"/>
      <c r="I13" s="62"/>
      <c r="M13" s="63"/>
    </row>
    <row r="14">
      <c r="C14" t="s">
        <v>452</v>
      </c>
      <c r="D14">
        <v>600.0</v>
      </c>
      <c r="E14">
        <v>1.0</v>
      </c>
      <c r="F14">
        <v>600.0</v>
      </c>
      <c r="G14" s="307"/>
      <c r="H14" s="308"/>
      <c r="I14" s="62"/>
      <c r="M14" s="63"/>
    </row>
    <row r="15">
      <c r="C15" t="s">
        <v>453</v>
      </c>
      <c r="D15">
        <v>210.0</v>
      </c>
      <c r="E15">
        <v>9.0</v>
      </c>
      <c r="F15">
        <v>17010.0</v>
      </c>
      <c r="G15" s="307"/>
      <c r="H15" s="308"/>
      <c r="I15" s="62"/>
      <c r="M15" s="63"/>
    </row>
    <row r="16">
      <c r="C16" t="s">
        <v>205</v>
      </c>
      <c r="D16">
        <v>10.0</v>
      </c>
      <c r="E16">
        <v>7.0</v>
      </c>
      <c r="F16">
        <v>490.0</v>
      </c>
      <c r="G16" s="307"/>
      <c r="H16" s="308"/>
      <c r="I16" s="62"/>
      <c r="M16" s="63"/>
    </row>
    <row r="17">
      <c r="C17" t="s">
        <v>209</v>
      </c>
      <c r="D17">
        <v>300.0</v>
      </c>
      <c r="E17">
        <v>4.0</v>
      </c>
      <c r="F17">
        <v>4800.0</v>
      </c>
      <c r="G17" s="307"/>
      <c r="H17" s="308"/>
      <c r="I17" s="62"/>
      <c r="M17" s="63"/>
    </row>
    <row r="18">
      <c r="C18" t="s">
        <v>211</v>
      </c>
      <c r="D18">
        <v>200.0</v>
      </c>
      <c r="E18">
        <v>1.0</v>
      </c>
      <c r="F18">
        <v>200.0</v>
      </c>
      <c r="G18" s="307"/>
      <c r="H18" s="308"/>
      <c r="I18" s="70"/>
      <c r="J18" s="71"/>
      <c r="K18" s="71"/>
      <c r="L18" s="71"/>
      <c r="M18" s="72"/>
    </row>
    <row r="19">
      <c r="C19" t="s">
        <v>454</v>
      </c>
      <c r="D19">
        <v>2.0</v>
      </c>
      <c r="E19">
        <v>7.0</v>
      </c>
      <c r="F19">
        <v>98.0</v>
      </c>
      <c r="G19" s="307"/>
    </row>
    <row r="20">
      <c r="C20" t="s">
        <v>217</v>
      </c>
      <c r="D20">
        <v>80.0</v>
      </c>
      <c r="E20">
        <v>15.0</v>
      </c>
      <c r="F20">
        <v>18000.0</v>
      </c>
      <c r="G20" s="307"/>
    </row>
    <row r="21" ht="15.75" customHeight="1">
      <c r="C21" t="s">
        <v>455</v>
      </c>
      <c r="D21">
        <v>2800.0</v>
      </c>
      <c r="E21">
        <v>5.0</v>
      </c>
      <c r="F21">
        <v>70000.0</v>
      </c>
      <c r="G21" s="307"/>
    </row>
    <row r="22" ht="15.75" customHeight="1">
      <c r="C22" t="s">
        <v>225</v>
      </c>
      <c r="D22">
        <v>700.0</v>
      </c>
      <c r="E22">
        <v>2.0</v>
      </c>
      <c r="F22">
        <v>2800.0</v>
      </c>
      <c r="G22" s="307"/>
    </row>
    <row r="23" ht="15.75" customHeight="1">
      <c r="C23" t="s">
        <v>228</v>
      </c>
      <c r="D23">
        <v>450.0</v>
      </c>
      <c r="E23">
        <v>1.0</v>
      </c>
      <c r="F23">
        <v>450.0</v>
      </c>
      <c r="G23" s="307"/>
      <c r="J23" t="s">
        <v>456</v>
      </c>
      <c r="K23" s="310">
        <v>8.0E-4</v>
      </c>
      <c r="L23" t="s">
        <v>457</v>
      </c>
      <c r="M23" s="311">
        <v>0.9</v>
      </c>
    </row>
    <row r="24" ht="15.75" customHeight="1">
      <c r="C24" t="s">
        <v>247</v>
      </c>
      <c r="D24">
        <v>6.0</v>
      </c>
      <c r="E24">
        <v>20.0</v>
      </c>
      <c r="F24">
        <v>2400.0</v>
      </c>
      <c r="G24" s="307"/>
      <c r="J24" t="s">
        <v>458</v>
      </c>
      <c r="K24" s="310">
        <v>3.0E-4</v>
      </c>
      <c r="L24" t="s">
        <v>457</v>
      </c>
      <c r="M24" s="311">
        <v>0.9</v>
      </c>
    </row>
    <row r="25" ht="15.75" customHeight="1">
      <c r="C25" t="s">
        <v>255</v>
      </c>
      <c r="D25">
        <v>7.0</v>
      </c>
      <c r="E25">
        <v>2.0</v>
      </c>
      <c r="F25">
        <v>28.0</v>
      </c>
      <c r="G25" s="307"/>
    </row>
    <row r="26" ht="15.75" customHeight="1">
      <c r="E26" t="s">
        <v>459</v>
      </c>
      <c r="F26">
        <v>131376.0</v>
      </c>
    </row>
    <row r="27" ht="15.75" customHeight="1">
      <c r="E27" t="s">
        <v>460</v>
      </c>
      <c r="F27" s="312">
        <v>131.376</v>
      </c>
      <c r="J27" t="s">
        <v>461</v>
      </c>
      <c r="K27" s="307">
        <v>0.0275</v>
      </c>
    </row>
    <row r="28" ht="15.75" customHeight="1">
      <c r="E28" t="s">
        <v>462</v>
      </c>
      <c r="F28">
        <v>2890.272</v>
      </c>
    </row>
    <row r="29" ht="15.75" customHeight="1"/>
    <row r="30" ht="15.75" customHeight="1">
      <c r="E30" t="s">
        <v>463</v>
      </c>
      <c r="F30">
        <v>316.0</v>
      </c>
    </row>
    <row r="31" ht="15.75" customHeight="1">
      <c r="E31" t="s">
        <v>464</v>
      </c>
      <c r="F31">
        <v>3.796</v>
      </c>
      <c r="G31" s="229" t="s">
        <v>465</v>
      </c>
    </row>
    <row r="32" ht="15.75" customHeight="1">
      <c r="E32" t="s">
        <v>466</v>
      </c>
      <c r="F32">
        <v>498.70329599999997</v>
      </c>
      <c r="G32" s="307"/>
    </row>
    <row r="33" ht="15.75" customHeight="1">
      <c r="E33" s="313" t="s">
        <v>467</v>
      </c>
      <c r="F33" s="313">
        <v>11287.472511999998</v>
      </c>
    </row>
    <row r="34" ht="15.75" customHeight="1">
      <c r="E34" t="s">
        <v>457</v>
      </c>
      <c r="F34" s="311">
        <v>0.96</v>
      </c>
    </row>
    <row r="35" ht="15.75" customHeight="1"/>
    <row r="36" ht="15.75" customHeight="1">
      <c r="D36" s="302" t="s">
        <v>468</v>
      </c>
      <c r="E36" s="302" t="s">
        <v>469</v>
      </c>
      <c r="F36" s="302" t="s">
        <v>109</v>
      </c>
      <c r="G36" s="302" t="s">
        <v>470</v>
      </c>
    </row>
    <row r="37" ht="15.75" customHeight="1">
      <c r="B37" s="223" t="s">
        <v>471</v>
      </c>
      <c r="C37" t="s">
        <v>472</v>
      </c>
      <c r="D37" s="302" t="s">
        <v>243</v>
      </c>
      <c r="E37" s="302">
        <v>30.0</v>
      </c>
      <c r="F37" s="302">
        <v>2.0</v>
      </c>
      <c r="G37" s="314">
        <v>60.0</v>
      </c>
    </row>
    <row r="38" ht="15.75" customHeight="1">
      <c r="D38" s="302" t="s">
        <v>473</v>
      </c>
      <c r="E38" s="302">
        <v>30.0</v>
      </c>
      <c r="F38" s="302">
        <v>2.0</v>
      </c>
      <c r="G38" s="314">
        <v>60.0</v>
      </c>
    </row>
    <row r="39" ht="15.75" customHeight="1">
      <c r="D39" s="302" t="s">
        <v>474</v>
      </c>
      <c r="E39" s="302">
        <v>11.0</v>
      </c>
      <c r="F39" s="302">
        <v>1.0</v>
      </c>
      <c r="G39" s="314">
        <v>11.0</v>
      </c>
    </row>
    <row r="40" ht="15.75" customHeight="1">
      <c r="D40" s="302" t="s">
        <v>475</v>
      </c>
      <c r="E40" s="302">
        <v>4.0</v>
      </c>
      <c r="F40" s="302">
        <v>1.0</v>
      </c>
      <c r="G40" s="314">
        <v>4.0</v>
      </c>
    </row>
    <row r="41" ht="15.75" customHeight="1">
      <c r="D41" s="302" t="s">
        <v>476</v>
      </c>
      <c r="E41" s="302">
        <v>2.0</v>
      </c>
      <c r="F41" s="302">
        <v>1.0</v>
      </c>
      <c r="G41" s="314">
        <v>2.0</v>
      </c>
    </row>
    <row r="42" ht="15.75" customHeight="1">
      <c r="F42" s="315" t="s">
        <v>477</v>
      </c>
      <c r="G42" s="316">
        <v>137.0</v>
      </c>
    </row>
    <row r="43" ht="15.75" customHeight="1">
      <c r="E43" s="317" t="s">
        <v>478</v>
      </c>
    </row>
    <row r="44" ht="15.75" customHeight="1"/>
    <row r="45" ht="15.75" customHeight="1">
      <c r="F45" t="s">
        <v>479</v>
      </c>
      <c r="G45" s="92">
        <v>230.0</v>
      </c>
    </row>
    <row r="46" ht="15.75" customHeight="1">
      <c r="F46" t="s">
        <v>480</v>
      </c>
      <c r="G46" s="92">
        <v>20.359</v>
      </c>
    </row>
    <row r="47" ht="15.75" customHeight="1">
      <c r="F47" t="s">
        <v>481</v>
      </c>
      <c r="G47" s="318">
        <v>2789.1830000000004</v>
      </c>
    </row>
    <row r="48" ht="15.75" customHeight="1">
      <c r="F48" s="313" t="s">
        <v>482</v>
      </c>
      <c r="G48" s="319">
        <v>3019.1830000000004</v>
      </c>
    </row>
    <row r="49" ht="15.75" customHeight="1"/>
    <row r="50" ht="15.75" customHeight="1">
      <c r="B50" s="223" t="s">
        <v>483</v>
      </c>
      <c r="C50" t="s">
        <v>484</v>
      </c>
      <c r="D50">
        <v>250.0</v>
      </c>
    </row>
    <row r="51" ht="15.75" customHeight="1">
      <c r="C51" t="s">
        <v>485</v>
      </c>
      <c r="D51">
        <v>6.302</v>
      </c>
    </row>
    <row r="52" ht="15.75" customHeight="1">
      <c r="C52" s="313" t="s">
        <v>486</v>
      </c>
      <c r="D52" s="313">
        <v>754.16</v>
      </c>
    </row>
    <row r="53" ht="15.75" customHeight="1"/>
    <row r="54" ht="15.75" customHeight="1"/>
    <row r="55" ht="15.75" customHeight="1">
      <c r="E55" t="s">
        <v>487</v>
      </c>
    </row>
    <row r="56" ht="15.75" customHeight="1">
      <c r="E56" t="s">
        <v>310</v>
      </c>
      <c r="F56" s="298">
        <v>104025.34667059197</v>
      </c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</sheetData>
  <mergeCells count="1">
    <mergeCell ref="I12:M18"/>
  </mergeCells>
  <hyperlinks>
    <hyperlink r:id="rId1" ref="E43"/>
  </hyperlinks>
  <printOptions gridLines="1" horizontalCentered="1"/>
  <pageMargins bottom="0.75" footer="0.0" header="0.0" left="0.7" right="0.7" top="0.75"/>
  <pageSetup paperSize="9" cellComments="atEnd" orientation="landscape" pageOrder="overThenDown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2.14"/>
    <col customWidth="1" min="2" max="2" width="22.86"/>
    <col customWidth="1" min="3" max="3" width="11.0"/>
    <col customWidth="1" min="4" max="4" width="17.29"/>
    <col customWidth="1" min="5" max="5" width="11.0"/>
    <col customWidth="1" min="6" max="6" width="6.86"/>
    <col customWidth="1" min="7" max="12" width="11.0"/>
    <col customWidth="1" min="13" max="13" width="17.0"/>
    <col customWidth="1" min="14" max="17" width="11.0"/>
  </cols>
  <sheetData>
    <row r="1" ht="14.25" customHeight="1">
      <c r="A1" s="320" t="s">
        <v>488</v>
      </c>
      <c r="E1" s="321">
        <v>10.0</v>
      </c>
    </row>
    <row r="2" ht="15.75" customHeight="1">
      <c r="G2" s="322" t="s">
        <v>489</v>
      </c>
      <c r="H2" s="323"/>
      <c r="I2" s="323"/>
      <c r="J2" s="323"/>
      <c r="K2" s="323"/>
      <c r="L2" s="323"/>
      <c r="M2" s="324"/>
    </row>
    <row r="3" ht="14.25" customHeight="1">
      <c r="A3" s="325" t="s">
        <v>490</v>
      </c>
      <c r="B3" s="326">
        <v>0.21</v>
      </c>
      <c r="G3" s="327" t="s">
        <v>491</v>
      </c>
      <c r="H3" s="328"/>
      <c r="I3" s="328"/>
      <c r="J3" s="328"/>
      <c r="K3" s="328"/>
      <c r="L3" s="328"/>
      <c r="M3" s="329"/>
    </row>
    <row r="4" ht="14.25" customHeight="1">
      <c r="A4" s="325" t="s">
        <v>492</v>
      </c>
      <c r="B4" s="326">
        <v>0.35</v>
      </c>
      <c r="G4" s="330"/>
      <c r="M4" s="331"/>
    </row>
    <row r="5" ht="14.25" customHeight="1">
      <c r="A5" s="325" t="s">
        <v>493</v>
      </c>
      <c r="B5" s="326">
        <v>0.08</v>
      </c>
      <c r="C5" t="s">
        <v>494</v>
      </c>
      <c r="G5" s="330"/>
      <c r="M5" s="331"/>
    </row>
    <row r="6" ht="14.25" customHeight="1">
      <c r="G6" s="332"/>
      <c r="H6" s="333"/>
      <c r="I6" s="333"/>
      <c r="J6" s="333"/>
      <c r="K6" s="333"/>
      <c r="L6" s="333"/>
      <c r="M6" s="334"/>
    </row>
    <row r="7" ht="14.25" customHeight="1">
      <c r="A7" s="325" t="s">
        <v>495</v>
      </c>
      <c r="B7" t="s">
        <v>496</v>
      </c>
      <c r="G7" s="335" t="s">
        <v>497</v>
      </c>
      <c r="H7" s="328"/>
      <c r="I7" s="328"/>
      <c r="J7" s="328"/>
      <c r="K7" s="328"/>
      <c r="L7" s="328"/>
      <c r="M7" s="329"/>
    </row>
    <row r="8" ht="14.25" customHeight="1">
      <c r="A8" s="336" t="s">
        <v>498</v>
      </c>
      <c r="B8" s="337">
        <v>30.0</v>
      </c>
      <c r="C8" t="s">
        <v>499</v>
      </c>
      <c r="G8" s="332"/>
      <c r="H8" s="333"/>
      <c r="I8" s="333"/>
      <c r="J8" s="333"/>
      <c r="K8" s="333"/>
      <c r="L8" s="333"/>
      <c r="M8" s="334"/>
    </row>
    <row r="9" ht="14.25" customHeight="1">
      <c r="A9" s="336" t="s">
        <v>500</v>
      </c>
      <c r="B9" s="337">
        <v>10.0</v>
      </c>
      <c r="C9" t="s">
        <v>499</v>
      </c>
      <c r="G9" s="338" t="s">
        <v>501</v>
      </c>
      <c r="H9" s="323"/>
      <c r="I9" s="323"/>
      <c r="J9" s="323"/>
      <c r="K9" s="323"/>
      <c r="L9" s="323"/>
      <c r="M9" s="324"/>
    </row>
    <row r="10" ht="14.25" customHeight="1">
      <c r="A10" s="336" t="s">
        <v>502</v>
      </c>
      <c r="B10" s="337">
        <v>10.0</v>
      </c>
      <c r="C10" t="s">
        <v>499</v>
      </c>
      <c r="G10" s="335" t="s">
        <v>503</v>
      </c>
      <c r="H10" s="328"/>
      <c r="I10" s="328"/>
      <c r="J10" s="328"/>
      <c r="K10" s="328"/>
      <c r="L10" s="328"/>
      <c r="M10" s="329"/>
    </row>
    <row r="11" ht="14.25" customHeight="1">
      <c r="A11" s="336" t="s">
        <v>504</v>
      </c>
      <c r="B11" s="337">
        <v>5.0</v>
      </c>
      <c r="C11" t="s">
        <v>499</v>
      </c>
      <c r="G11" s="332"/>
      <c r="H11" s="333"/>
      <c r="I11" s="333"/>
      <c r="J11" s="333"/>
      <c r="K11" s="333"/>
      <c r="L11" s="333"/>
      <c r="M11" s="334"/>
    </row>
    <row r="12" ht="14.25" customHeight="1">
      <c r="A12" s="336" t="s">
        <v>505</v>
      </c>
      <c r="B12" s="337">
        <v>5.0</v>
      </c>
      <c r="C12" t="s">
        <v>499</v>
      </c>
      <c r="G12" s="335" t="s">
        <v>506</v>
      </c>
      <c r="H12" s="328"/>
      <c r="I12" s="328"/>
      <c r="J12" s="328"/>
      <c r="K12" s="328"/>
      <c r="L12" s="328"/>
      <c r="M12" s="329"/>
    </row>
    <row r="13" ht="14.25" customHeight="1">
      <c r="A13" s="336" t="s">
        <v>507</v>
      </c>
      <c r="B13" s="337">
        <v>3.0</v>
      </c>
      <c r="C13" t="s">
        <v>499</v>
      </c>
      <c r="G13" s="332"/>
      <c r="H13" s="333"/>
      <c r="I13" s="333"/>
      <c r="J13" s="333"/>
      <c r="K13" s="333"/>
      <c r="L13" s="333"/>
      <c r="M13" s="334"/>
    </row>
    <row r="14" ht="12.75" customHeight="1">
      <c r="A14" s="336" t="s">
        <v>508</v>
      </c>
      <c r="B14" s="337">
        <v>5.0</v>
      </c>
      <c r="C14" t="s">
        <v>499</v>
      </c>
    </row>
    <row r="15" ht="14.25" customHeight="1">
      <c r="A15" s="336" t="s">
        <v>509</v>
      </c>
      <c r="B15" s="339">
        <v>0.09</v>
      </c>
    </row>
    <row r="16" ht="12.75" customHeight="1"/>
    <row r="17" ht="14.25" customHeight="1">
      <c r="A17" s="325" t="s">
        <v>510</v>
      </c>
      <c r="B17" s="340" t="s">
        <v>511</v>
      </c>
      <c r="C17" s="341"/>
      <c r="D17" s="341"/>
      <c r="E17" s="341"/>
      <c r="F17" s="341"/>
      <c r="G17" s="342"/>
    </row>
    <row r="18" ht="14.25" customHeight="1"/>
    <row r="19" ht="12.75" customHeight="1">
      <c r="A19" s="325" t="s">
        <v>512</v>
      </c>
      <c r="B19" s="343" t="str">
        <f>AVERAGE('Conformación de Datos'!C6:G6)</f>
        <v>14256</v>
      </c>
      <c r="C19" t="s">
        <v>513</v>
      </c>
    </row>
    <row r="20" ht="14.25" customHeight="1">
      <c r="A20" s="325" t="s">
        <v>514</v>
      </c>
      <c r="B20" s="344" t="str">
        <f>'Conformación de Datos'!C12</f>
        <v> $1,427.27</v>
      </c>
      <c r="C20" t="s">
        <v>515</v>
      </c>
    </row>
    <row r="21" ht="12.75" customHeight="1"/>
    <row r="22" ht="12.75" customHeight="1">
      <c r="A22" s="325" t="s">
        <v>516</v>
      </c>
    </row>
    <row r="23" ht="12.75" customHeight="1">
      <c r="A23" s="325" t="s">
        <v>517</v>
      </c>
      <c r="B23" s="345">
        <v>6.0</v>
      </c>
      <c r="C23" t="s">
        <v>518</v>
      </c>
    </row>
    <row r="24" ht="12.75" customHeight="1">
      <c r="A24" s="325" t="s">
        <v>519</v>
      </c>
      <c r="B24" s="345">
        <v>3.0</v>
      </c>
      <c r="C24" t="s">
        <v>518</v>
      </c>
    </row>
    <row r="25" ht="12.75" customHeight="1">
      <c r="A25" s="325" t="s">
        <v>520</v>
      </c>
      <c r="B25" s="345">
        <v>4.0</v>
      </c>
      <c r="C25" t="s">
        <v>518</v>
      </c>
    </row>
    <row r="26" ht="12.75" customHeight="1">
      <c r="B26" s="92"/>
    </row>
    <row r="27" ht="12.75" customHeight="1">
      <c r="A27" s="325" t="s">
        <v>521</v>
      </c>
      <c r="B27" s="345" t="str">
        <f>15*60</f>
        <v>900</v>
      </c>
      <c r="C27" t="s">
        <v>522</v>
      </c>
    </row>
    <row r="28" ht="14.25" customHeight="1">
      <c r="A28" s="325" t="s">
        <v>523</v>
      </c>
      <c r="B28" s="345">
        <v>19.0</v>
      </c>
      <c r="C28" t="s">
        <v>524</v>
      </c>
    </row>
    <row r="29" ht="12.75" customHeight="1">
      <c r="A29" s="325" t="s">
        <v>525</v>
      </c>
      <c r="B29" s="345">
        <v>3.0</v>
      </c>
      <c r="C29" t="s">
        <v>524</v>
      </c>
    </row>
    <row r="30" ht="12.75" customHeight="1">
      <c r="B30" s="92"/>
    </row>
    <row r="31" ht="12.75" customHeight="1">
      <c r="B31" s="92"/>
    </row>
    <row r="32" ht="14.25" customHeight="1">
      <c r="A32" s="325" t="s">
        <v>526</v>
      </c>
      <c r="B32" s="345">
        <v>41.0</v>
      </c>
      <c r="C32" t="s">
        <v>527</v>
      </c>
      <c r="D32" s="345">
        <v>1.0</v>
      </c>
      <c r="E32" t="s">
        <v>528</v>
      </c>
    </row>
    <row r="33" ht="12.75" customHeight="1">
      <c r="A33" s="201"/>
      <c r="B33" s="92"/>
    </row>
    <row r="34" ht="14.25" customHeight="1">
      <c r="A34" s="201"/>
    </row>
    <row r="35" ht="12.75" customHeight="1">
      <c r="A35" s="325" t="s">
        <v>529</v>
      </c>
      <c r="B35" s="346"/>
      <c r="C35" t="s">
        <v>530</v>
      </c>
      <c r="G35" s="347" t="s">
        <v>531</v>
      </c>
    </row>
    <row r="36" ht="12.75" customHeight="1">
      <c r="A36" s="325" t="s">
        <v>532</v>
      </c>
      <c r="B36" s="348"/>
      <c r="C36" s="349"/>
      <c r="D36" s="350"/>
    </row>
    <row r="37" ht="12.75" customHeight="1">
      <c r="A37" s="325" t="s">
        <v>533</v>
      </c>
      <c r="B37" s="351"/>
    </row>
    <row r="38" ht="14.25" customHeight="1">
      <c r="A38" s="325"/>
    </row>
    <row r="39" ht="12.75" customHeight="1">
      <c r="A39" s="325" t="s">
        <v>534</v>
      </c>
      <c r="B39" s="352"/>
    </row>
    <row r="40" ht="12.75" customHeight="1">
      <c r="A40" s="325" t="s">
        <v>535</v>
      </c>
      <c r="B40" s="352"/>
    </row>
    <row r="41" ht="12.75" customHeight="1">
      <c r="A41" s="325" t="s">
        <v>536</v>
      </c>
      <c r="B41" s="352"/>
      <c r="C41" t="s">
        <v>530</v>
      </c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4.2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>
      <c r="Q248" s="347" t="s">
        <v>537</v>
      </c>
    </row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</sheetData>
  <mergeCells count="7">
    <mergeCell ref="G12:M13"/>
    <mergeCell ref="B36:D36"/>
    <mergeCell ref="G2:M2"/>
    <mergeCell ref="G3:M6"/>
    <mergeCell ref="G7:M8"/>
    <mergeCell ref="G9:M9"/>
    <mergeCell ref="G10:M11"/>
  </mergeCells>
  <printOptions/>
  <pageMargins bottom="0.75" footer="0.0" header="0.0" left="0.7" right="0.7" top="0.75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5.29"/>
    <col customWidth="1" min="2" max="3" width="14.71"/>
    <col customWidth="1" min="4" max="4" width="19.29"/>
    <col customWidth="1" min="5" max="5" width="19.14"/>
    <col customWidth="1" min="6" max="6" width="14.71"/>
    <col customWidth="1" min="7" max="7" width="16.57"/>
    <col customWidth="1" min="8" max="8" width="11.29"/>
    <col customWidth="1" min="9" max="25" width="9.0"/>
  </cols>
  <sheetData>
    <row r="1" ht="14.25" customHeight="1">
      <c r="A1" s="320" t="s">
        <v>538</v>
      </c>
      <c r="E1" s="321" t="str">
        <f>InfoInicial!E1</f>
        <v>10</v>
      </c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ht="13.5" customHeigh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</row>
    <row r="3" ht="16.5" customHeight="1">
      <c r="A3" s="353" t="s">
        <v>539</v>
      </c>
      <c r="B3" s="354" t="s">
        <v>540</v>
      </c>
      <c r="C3" s="355"/>
      <c r="D3" s="354" t="s">
        <v>541</v>
      </c>
      <c r="E3" s="35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</row>
    <row r="4" ht="16.5" customHeight="1">
      <c r="A4" s="357"/>
      <c r="B4" s="358" t="s">
        <v>542</v>
      </c>
      <c r="C4" s="358" t="s">
        <v>44</v>
      </c>
      <c r="D4" s="358" t="s">
        <v>542</v>
      </c>
      <c r="E4" s="359" t="s">
        <v>44</v>
      </c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</row>
    <row r="5" ht="13.5" customHeight="1">
      <c r="A5" s="360"/>
      <c r="B5" s="361"/>
      <c r="C5" s="361"/>
      <c r="D5" s="361"/>
      <c r="E5" s="361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</row>
    <row r="6" ht="12.75" customHeight="1">
      <c r="A6" s="362" t="s">
        <v>543</v>
      </c>
      <c r="B6" s="363"/>
      <c r="C6" s="363"/>
      <c r="D6" s="363"/>
      <c r="E6" s="363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</row>
    <row r="7" ht="12.75" customHeight="1">
      <c r="A7" s="364" t="s">
        <v>544</v>
      </c>
      <c r="B7" s="365" t="str">
        <f>'Conformación de Datos'!D38</f>
        <v> $ 7,502,726.0000 </v>
      </c>
      <c r="C7" s="366"/>
      <c r="D7" s="366"/>
      <c r="E7" s="36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</row>
    <row r="8" ht="12.75" customHeight="1">
      <c r="A8" s="364" t="s">
        <v>545</v>
      </c>
      <c r="B8" s="365" t="str">
        <f>'Conformación de Datos'!E41</f>
        <v> $ 8,897,274.0000 </v>
      </c>
      <c r="C8" s="366"/>
      <c r="D8" s="366"/>
      <c r="E8" s="36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</row>
    <row r="9" ht="12.75" customHeight="1">
      <c r="A9" s="364" t="s">
        <v>546</v>
      </c>
      <c r="B9" s="366" t="str">
        <f>0.8*B8</f>
        <v> $ 7,117,819.20 </v>
      </c>
      <c r="C9" s="366"/>
      <c r="D9" s="366"/>
      <c r="E9" s="36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</row>
    <row r="10" ht="12.75" customHeight="1">
      <c r="A10" s="364" t="s">
        <v>547</v>
      </c>
      <c r="B10" s="366"/>
      <c r="C10" s="366"/>
      <c r="D10" s="366"/>
      <c r="E10" s="36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</row>
    <row r="11" ht="12.75" customHeight="1">
      <c r="A11" s="364" t="s">
        <v>548</v>
      </c>
      <c r="B11" s="366"/>
      <c r="C11" s="366"/>
      <c r="D11" s="366" t="str">
        <f>('Conformación de Datos'!D25+'Conformación de Datos'!D25*0.05)*InfoInicial!B32</f>
        <v> $ 34,440.00 </v>
      </c>
      <c r="E11" s="36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</row>
    <row r="12" ht="12.75" customHeight="1">
      <c r="A12" s="364" t="s">
        <v>549</v>
      </c>
      <c r="B12" s="366" t="str">
        <f>'Conformación de Datos'!E34</f>
        <v> $ 554,000.00 </v>
      </c>
      <c r="C12" s="366"/>
      <c r="D12" s="366"/>
      <c r="E12" s="36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</row>
    <row r="13" ht="12.75" customHeight="1">
      <c r="A13" s="367" t="s">
        <v>550</v>
      </c>
      <c r="B13" s="366" t="str">
        <f>D11*0.11</f>
        <v> $ 3,788.40 </v>
      </c>
      <c r="C13" s="366"/>
      <c r="D13" s="366"/>
      <c r="E13" s="36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</row>
    <row r="14" ht="12.75" customHeight="1">
      <c r="A14" s="364" t="s">
        <v>551</v>
      </c>
      <c r="B14" s="368" t="str">
        <f>B12*0.1</f>
        <v> $ 55,400.00 </v>
      </c>
      <c r="C14" s="366"/>
      <c r="D14" s="366"/>
      <c r="E14" s="366"/>
      <c r="F14" s="219" t="s">
        <v>552</v>
      </c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</row>
    <row r="15" ht="12.75" customHeight="1">
      <c r="A15" s="364" t="s">
        <v>349</v>
      </c>
      <c r="B15" s="366" t="str">
        <f>'Conformación de Datos'!K34</f>
        <v> $ 162,500.00 </v>
      </c>
      <c r="C15" s="366"/>
      <c r="D15" s="366"/>
      <c r="E15" s="36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</row>
    <row r="16" ht="12.75" customHeight="1">
      <c r="A16" s="364" t="s">
        <v>553</v>
      </c>
      <c r="B16" s="366" t="s">
        <v>240</v>
      </c>
      <c r="C16" s="366"/>
      <c r="D16" s="366"/>
      <c r="E16" s="36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</row>
    <row r="17" ht="12.75" customHeight="1">
      <c r="A17" s="364" t="s">
        <v>554</v>
      </c>
      <c r="B17" s="366" t="str">
        <f>'Conformación de Datos'!G81</f>
        <v> $ 1,144,687.32 </v>
      </c>
      <c r="C17" s="366"/>
      <c r="D17" s="366"/>
      <c r="E17" s="36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</row>
    <row r="18" ht="12.75" customHeight="1">
      <c r="A18" s="364" t="s">
        <v>555</v>
      </c>
      <c r="B18" s="366" t="s">
        <v>240</v>
      </c>
      <c r="C18" s="366"/>
      <c r="D18" s="366"/>
      <c r="E18" s="36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</row>
    <row r="19" ht="12.75" customHeight="1">
      <c r="A19" s="364" t="s">
        <v>509</v>
      </c>
      <c r="B19" s="368" t="str">
        <f>SUM(B7:B18)*0.09</f>
        <v> $ 2,289,437.54 </v>
      </c>
      <c r="C19" s="366"/>
      <c r="D19" s="366"/>
      <c r="E19" s="366"/>
      <c r="F19" s="219" t="s">
        <v>556</v>
      </c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</row>
    <row r="20" ht="12.75" customHeight="1">
      <c r="A20" s="364"/>
      <c r="B20" s="366"/>
      <c r="C20" s="366"/>
      <c r="D20" s="366"/>
      <c r="E20" s="366"/>
      <c r="F20" s="223" t="s">
        <v>557</v>
      </c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</row>
    <row r="21" ht="12.75" customHeight="1">
      <c r="A21" s="362" t="s">
        <v>558</v>
      </c>
      <c r="B21" s="366" t="str">
        <f t="shared" ref="B21:E21" si="1">SUM(B7:B19)</f>
        <v> $ 27,727,632.46 </v>
      </c>
      <c r="C21" s="366" t="str">
        <f t="shared" si="1"/>
        <v> $ -   </v>
      </c>
      <c r="D21" s="366" t="str">
        <f t="shared" si="1"/>
        <v> $ 34,440.00 </v>
      </c>
      <c r="E21" s="366" t="str">
        <f t="shared" si="1"/>
        <v> $ -   </v>
      </c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</row>
    <row r="22" ht="12.75" customHeight="1">
      <c r="A22" s="364"/>
      <c r="B22" s="366"/>
      <c r="C22" s="366"/>
      <c r="D22" s="366"/>
      <c r="E22" s="36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</row>
    <row r="23" ht="12.75" customHeight="1">
      <c r="A23" s="362" t="s">
        <v>559</v>
      </c>
      <c r="B23" s="366"/>
      <c r="C23" s="366"/>
      <c r="D23" s="366"/>
      <c r="E23" s="36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</row>
    <row r="24" ht="12.75" customHeight="1">
      <c r="A24" s="364" t="s">
        <v>560</v>
      </c>
      <c r="B24" s="366" t="str">
        <f>SUM(B7:D19)*0.0004</f>
        <v> $ 11,104.83 </v>
      </c>
      <c r="C24" s="366"/>
      <c r="D24" s="366"/>
      <c r="E24" s="36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</row>
    <row r="25" ht="12.75" customHeight="1">
      <c r="A25" s="364" t="s">
        <v>561</v>
      </c>
      <c r="B25" s="366" t="str">
        <f>'Conformación de Datos'!C85</f>
        <v> $ 16,160.00 </v>
      </c>
      <c r="C25" s="366"/>
      <c r="D25" s="366"/>
      <c r="E25" s="36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</row>
    <row r="26" ht="12.75" customHeight="1">
      <c r="A26" s="364" t="s">
        <v>562</v>
      </c>
      <c r="B26" s="366" t="str">
        <f>SUM(B7:D19)*0.0006</f>
        <v> $ 16,657.24 </v>
      </c>
      <c r="C26" s="366"/>
      <c r="D26" s="366"/>
      <c r="E26" s="36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</row>
    <row r="27" ht="12.75" customHeight="1">
      <c r="A27" s="367" t="s">
        <v>563</v>
      </c>
      <c r="B27" s="366"/>
      <c r="C27" s="368" t="str">
        <f>'Conformación de Datos'!J212</f>
        <v> $ 278,655.36 </v>
      </c>
      <c r="D27" s="366"/>
      <c r="E27" s="366"/>
      <c r="F27" s="219" t="s">
        <v>564</v>
      </c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</row>
    <row r="28" ht="12.75" customHeight="1">
      <c r="A28" s="367" t="s">
        <v>565</v>
      </c>
      <c r="B28" s="366" t="s">
        <v>240</v>
      </c>
      <c r="C28" s="366"/>
      <c r="D28" s="366"/>
      <c r="E28" s="366"/>
      <c r="F28" s="223" t="s">
        <v>557</v>
      </c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</row>
    <row r="29" ht="12.75" customHeight="1">
      <c r="A29" s="367" t="s">
        <v>566</v>
      </c>
      <c r="B29" s="366" t="s">
        <v>240</v>
      </c>
      <c r="C29" s="366"/>
      <c r="D29" s="366"/>
      <c r="E29" s="36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</row>
    <row r="30" ht="12.75" customHeight="1">
      <c r="A30" s="364" t="s">
        <v>509</v>
      </c>
      <c r="B30" s="368" t="str">
        <f>SUM(B24:B28)*0.09</f>
        <v> $ 3,952.99 </v>
      </c>
      <c r="C30" s="366"/>
      <c r="D30" s="366"/>
      <c r="E30" s="366"/>
      <c r="F30" s="219" t="s">
        <v>567</v>
      </c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</row>
    <row r="31" ht="12.75" customHeight="1">
      <c r="A31" s="364"/>
      <c r="B31" s="366"/>
      <c r="C31" s="366"/>
      <c r="D31" s="366"/>
      <c r="E31" s="366"/>
      <c r="F31" s="223" t="s">
        <v>557</v>
      </c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</row>
    <row r="32" ht="12.75" customHeight="1">
      <c r="A32" s="362" t="s">
        <v>568</v>
      </c>
      <c r="B32" s="366" t="str">
        <f t="shared" ref="B32:E32" si="2">SUM(B24:B31)</f>
        <v> $ 47,875.06 </v>
      </c>
      <c r="C32" s="366" t="str">
        <f t="shared" si="2"/>
        <v> $ 278,655.36 </v>
      </c>
      <c r="D32" s="366" t="str">
        <f t="shared" si="2"/>
        <v> $ -   </v>
      </c>
      <c r="E32" s="366" t="str">
        <f t="shared" si="2"/>
        <v> $ -   </v>
      </c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</row>
    <row r="33" ht="12.75" customHeight="1">
      <c r="A33" s="364"/>
      <c r="B33" s="366"/>
      <c r="C33" s="366"/>
      <c r="D33" s="366"/>
      <c r="E33" s="36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</row>
    <row r="34" ht="12.75" customHeight="1">
      <c r="A34" s="362" t="s">
        <v>569</v>
      </c>
      <c r="B34" s="366" t="str">
        <f t="shared" ref="B34:E34" si="3">+B32+B21</f>
        <v> $ 27,775,507.52 </v>
      </c>
      <c r="C34" s="366" t="str">
        <f t="shared" si="3"/>
        <v> $ 278,655.36 </v>
      </c>
      <c r="D34" s="366" t="str">
        <f t="shared" si="3"/>
        <v> $ 34,440.00 </v>
      </c>
      <c r="E34" s="366" t="str">
        <f t="shared" si="3"/>
        <v> $ -   </v>
      </c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</row>
    <row r="35" ht="12.75" customHeight="1">
      <c r="A35" s="362" t="s">
        <v>570</v>
      </c>
      <c r="B35" s="366" t="str">
        <f>B34*InfoInicial!B3</f>
        <v> $ 5,832,856.58 </v>
      </c>
      <c r="C35" s="366" t="str">
        <f>C34*InfoInicial!B3</f>
        <v> $ 58,517.63 </v>
      </c>
      <c r="D35" s="366"/>
      <c r="E35" s="36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</row>
    <row r="36" ht="12.75" customHeight="1">
      <c r="A36" s="364"/>
      <c r="B36" s="366"/>
      <c r="C36" s="366"/>
      <c r="D36" s="366"/>
      <c r="E36" s="36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</row>
    <row r="37" ht="13.5" customHeight="1">
      <c r="A37" s="369" t="s">
        <v>571</v>
      </c>
      <c r="B37" s="370" t="str">
        <f t="shared" ref="B37:E37" si="4">B35+B32+B21</f>
        <v> $ 33,608,364.10 </v>
      </c>
      <c r="C37" s="370" t="str">
        <f t="shared" si="4"/>
        <v> $ 337,172.99 </v>
      </c>
      <c r="D37" s="370" t="str">
        <f t="shared" si="4"/>
        <v> $ 34,440.00 </v>
      </c>
      <c r="E37" s="370" t="str">
        <f t="shared" si="4"/>
        <v> $ -   </v>
      </c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</row>
    <row r="38" ht="13.5" customHeight="1">
      <c r="A38" s="306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</row>
    <row r="39" ht="13.5" customHeight="1">
      <c r="A39" s="306"/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25" t="s">
        <v>495</v>
      </c>
      <c r="M39" t="s">
        <v>496</v>
      </c>
      <c r="P39" s="306"/>
      <c r="Q39" s="306"/>
      <c r="R39" s="306"/>
      <c r="S39" s="306"/>
      <c r="T39" s="306"/>
      <c r="U39" s="306"/>
      <c r="V39" s="306"/>
      <c r="W39" s="306"/>
      <c r="X39" s="306"/>
      <c r="Y39" s="306"/>
    </row>
    <row r="40" ht="13.5" customHeight="1">
      <c r="A40" s="371" t="s">
        <v>572</v>
      </c>
      <c r="B40" s="372" t="s">
        <v>573</v>
      </c>
      <c r="C40" s="372" t="s">
        <v>574</v>
      </c>
      <c r="D40" s="354" t="s">
        <v>575</v>
      </c>
      <c r="E40" s="373"/>
      <c r="F40" s="355"/>
      <c r="G40" s="374" t="s">
        <v>576</v>
      </c>
      <c r="H40" s="306"/>
      <c r="I40" s="306"/>
      <c r="J40" s="306"/>
      <c r="K40" s="306"/>
      <c r="L40" s="336" t="s">
        <v>498</v>
      </c>
      <c r="M40" s="337">
        <v>30.0</v>
      </c>
      <c r="N40" t="s">
        <v>499</v>
      </c>
      <c r="P40" s="306"/>
      <c r="Q40" s="306"/>
      <c r="R40" s="306"/>
      <c r="S40" s="306"/>
      <c r="T40" s="306"/>
      <c r="U40" s="306"/>
      <c r="V40" s="306"/>
      <c r="W40" s="306"/>
      <c r="X40" s="306"/>
      <c r="Y40" s="306"/>
    </row>
    <row r="41" ht="13.5" customHeight="1">
      <c r="A41" s="375"/>
      <c r="B41" s="358" t="s">
        <v>577</v>
      </c>
      <c r="C41" s="358"/>
      <c r="D41" s="358" t="s">
        <v>578</v>
      </c>
      <c r="E41" s="358" t="s">
        <v>579</v>
      </c>
      <c r="F41" s="358"/>
      <c r="G41" s="376"/>
      <c r="H41" s="306"/>
      <c r="I41" s="306"/>
      <c r="J41" s="306"/>
      <c r="K41" s="306"/>
      <c r="L41" s="336" t="s">
        <v>500</v>
      </c>
      <c r="M41" s="337">
        <v>10.0</v>
      </c>
      <c r="N41" t="s">
        <v>499</v>
      </c>
      <c r="P41" s="306"/>
      <c r="Q41" s="306"/>
      <c r="R41" s="306"/>
      <c r="S41" s="306"/>
      <c r="T41" s="306"/>
      <c r="U41" s="306"/>
      <c r="V41" s="306"/>
      <c r="W41" s="306"/>
      <c r="X41" s="306"/>
      <c r="Y41" s="306"/>
    </row>
    <row r="42" ht="13.5" customHeight="1">
      <c r="A42" s="377" t="s">
        <v>580</v>
      </c>
      <c r="B42" s="378"/>
      <c r="C42" s="378"/>
      <c r="D42" s="378"/>
      <c r="E42" s="378"/>
      <c r="F42" s="379"/>
      <c r="G42" s="380"/>
      <c r="H42" s="306"/>
      <c r="I42" s="306"/>
      <c r="J42" s="306"/>
      <c r="K42" s="306"/>
      <c r="L42" s="336" t="s">
        <v>502</v>
      </c>
      <c r="M42" s="337">
        <v>10.0</v>
      </c>
      <c r="N42" t="s">
        <v>499</v>
      </c>
      <c r="P42" s="306"/>
      <c r="Q42" s="306"/>
      <c r="R42" s="306"/>
      <c r="S42" s="306"/>
      <c r="T42" s="306"/>
      <c r="U42" s="306"/>
      <c r="V42" s="306"/>
      <c r="W42" s="306"/>
      <c r="X42" s="306"/>
      <c r="Y42" s="306"/>
    </row>
    <row r="43" ht="12.75" customHeight="1">
      <c r="A43" s="381"/>
      <c r="B43" s="382"/>
      <c r="C43" s="382"/>
      <c r="D43" s="382"/>
      <c r="E43" s="382"/>
      <c r="F43" s="383"/>
      <c r="G43" s="384"/>
      <c r="H43" s="306"/>
      <c r="I43" s="306"/>
      <c r="J43" s="306"/>
      <c r="K43" s="306"/>
      <c r="L43" s="336" t="s">
        <v>504</v>
      </c>
      <c r="M43" s="337">
        <v>5.0</v>
      </c>
      <c r="N43" t="s">
        <v>499</v>
      </c>
      <c r="P43" s="306"/>
      <c r="Q43" s="306"/>
      <c r="R43" s="306"/>
      <c r="S43" s="306"/>
      <c r="T43" s="306"/>
      <c r="U43" s="306"/>
      <c r="V43" s="306"/>
      <c r="W43" s="306"/>
      <c r="X43" s="306"/>
      <c r="Y43" s="306"/>
    </row>
    <row r="44" ht="12.75" customHeight="1">
      <c r="A44" s="364" t="s">
        <v>544</v>
      </c>
      <c r="B44" s="366" t="str">
        <f t="shared" ref="B44:B46" si="5">SUM(B7:E7)</f>
        <v> $ 7,502,726.00 </v>
      </c>
      <c r="C44" s="385"/>
      <c r="D44" s="366" t="str">
        <f t="shared" ref="D44:D51" si="6">ROUND(B44*C44,1)</f>
        <v> $ -   </v>
      </c>
      <c r="E44" s="366" t="str">
        <f t="shared" ref="E44:E51" si="7">ROUND(B44*C44,1)</f>
        <v> $ -   </v>
      </c>
      <c r="F44" s="366"/>
      <c r="G44" s="386" t="str">
        <f t="shared" ref="G44:G51" si="8">B44-D44*3-E44*2</f>
        <v> $ 7,502,726.00 </v>
      </c>
      <c r="H44" s="306"/>
      <c r="I44" s="306"/>
      <c r="J44" s="306"/>
      <c r="K44" s="306"/>
      <c r="L44" s="336" t="s">
        <v>505</v>
      </c>
      <c r="M44" s="337">
        <v>5.0</v>
      </c>
      <c r="N44" t="s">
        <v>499</v>
      </c>
      <c r="P44" s="306"/>
      <c r="Q44" s="306"/>
      <c r="R44" s="306"/>
      <c r="S44" s="306"/>
      <c r="T44" s="306"/>
      <c r="U44" s="306"/>
      <c r="V44" s="306"/>
      <c r="W44" s="306"/>
      <c r="X44" s="306"/>
      <c r="Y44" s="306"/>
    </row>
    <row r="45" ht="12.75" customHeight="1">
      <c r="A45" s="364" t="s">
        <v>545</v>
      </c>
      <c r="B45" s="366" t="str">
        <f t="shared" si="5"/>
        <v> $ 8,897,274.00 </v>
      </c>
      <c r="C45" s="385">
        <v>0.05</v>
      </c>
      <c r="D45" s="366" t="str">
        <f t="shared" si="6"/>
        <v> $ 444,863.70 </v>
      </c>
      <c r="E45" s="366" t="str">
        <f t="shared" si="7"/>
        <v> $ 444,863.70 </v>
      </c>
      <c r="F45" s="366"/>
      <c r="G45" s="386" t="str">
        <f t="shared" si="8"/>
        <v> $ 6,672,955.50 </v>
      </c>
      <c r="H45" s="306"/>
      <c r="I45" s="306"/>
      <c r="J45" s="306"/>
      <c r="K45" s="306"/>
      <c r="L45" s="336" t="s">
        <v>507</v>
      </c>
      <c r="M45" s="337">
        <v>3.0</v>
      </c>
      <c r="N45" t="s">
        <v>499</v>
      </c>
      <c r="P45" s="306"/>
      <c r="Q45" s="306"/>
      <c r="R45" s="306"/>
      <c r="S45" s="306"/>
      <c r="T45" s="306"/>
      <c r="U45" s="306"/>
      <c r="V45" s="306"/>
      <c r="W45" s="306"/>
      <c r="X45" s="306"/>
      <c r="Y45" s="306"/>
    </row>
    <row r="46" ht="12.75" customHeight="1">
      <c r="A46" s="364" t="s">
        <v>546</v>
      </c>
      <c r="B46" s="366" t="str">
        <f t="shared" si="5"/>
        <v> $ 7,117,819.20 </v>
      </c>
      <c r="C46" s="385" t="str">
        <f t="shared" ref="C46:C47" si="9">1/10</f>
        <v>10.00%</v>
      </c>
      <c r="D46" s="366" t="str">
        <f t="shared" si="6"/>
        <v> $ 711,781.90 </v>
      </c>
      <c r="E46" s="366" t="str">
        <f t="shared" si="7"/>
        <v> $ 711,781.90 </v>
      </c>
      <c r="F46" s="366"/>
      <c r="G46" s="386" t="str">
        <f t="shared" si="8"/>
        <v> $ 3,558,909.70 </v>
      </c>
      <c r="H46" s="306"/>
      <c r="I46" s="306"/>
      <c r="J46" s="306"/>
      <c r="K46" s="306"/>
      <c r="L46" s="336" t="s">
        <v>508</v>
      </c>
      <c r="M46" s="337">
        <v>5.0</v>
      </c>
      <c r="N46" t="s">
        <v>499</v>
      </c>
      <c r="P46" s="306"/>
      <c r="Q46" s="306"/>
      <c r="R46" s="306"/>
      <c r="S46" s="306"/>
      <c r="T46" s="306"/>
      <c r="U46" s="306"/>
      <c r="V46" s="306"/>
      <c r="W46" s="306"/>
      <c r="X46" s="306"/>
      <c r="Y46" s="306"/>
    </row>
    <row r="47" ht="12.75" customHeight="1">
      <c r="A47" s="367" t="s">
        <v>547</v>
      </c>
      <c r="B47" s="366" t="str">
        <f>SUM(B11:E14)</f>
        <v> $ 647,628.40 </v>
      </c>
      <c r="C47" s="385" t="str">
        <f t="shared" si="9"/>
        <v>10.00%</v>
      </c>
      <c r="D47" s="366" t="str">
        <f t="shared" si="6"/>
        <v> $ 64,762.80 </v>
      </c>
      <c r="E47" s="366" t="str">
        <f t="shared" si="7"/>
        <v> $ 64,762.80 </v>
      </c>
      <c r="F47" s="366"/>
      <c r="G47" s="386" t="str">
        <f t="shared" si="8"/>
        <v> $ 323,814.40 </v>
      </c>
      <c r="H47" s="306"/>
      <c r="I47" s="306"/>
      <c r="J47" s="306"/>
      <c r="K47" s="306"/>
      <c r="L47" s="336" t="s">
        <v>509</v>
      </c>
      <c r="M47" s="339">
        <v>0.09</v>
      </c>
      <c r="P47" s="306"/>
      <c r="Q47" s="306"/>
      <c r="R47" s="306"/>
      <c r="S47" s="306"/>
      <c r="T47" s="306"/>
      <c r="U47" s="306"/>
      <c r="V47" s="306"/>
      <c r="W47" s="306"/>
      <c r="X47" s="306"/>
      <c r="Y47" s="306"/>
    </row>
    <row r="48" ht="12.75" customHeight="1">
      <c r="A48" s="367" t="s">
        <v>553</v>
      </c>
      <c r="B48" s="366" t="str">
        <f t="shared" ref="B48:B49" si="10">SUM(B16:E16)</f>
        <v> $ -   </v>
      </c>
      <c r="C48" s="385" t="str">
        <f t="shared" ref="C48:C49" si="11">1/5</f>
        <v>20.00%</v>
      </c>
      <c r="D48" s="366" t="str">
        <f t="shared" si="6"/>
        <v> $ -   </v>
      </c>
      <c r="E48" s="366" t="str">
        <f t="shared" si="7"/>
        <v> $ -   </v>
      </c>
      <c r="F48" s="366"/>
      <c r="G48" s="386" t="str">
        <f t="shared" si="8"/>
        <v> $ -   </v>
      </c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</row>
    <row r="49" ht="12.75" customHeight="1">
      <c r="A49" s="367" t="s">
        <v>554</v>
      </c>
      <c r="B49" s="366" t="str">
        <f t="shared" si="10"/>
        <v> $ 1,144,687.32 </v>
      </c>
      <c r="C49" s="385" t="str">
        <f t="shared" si="11"/>
        <v>20.00%</v>
      </c>
      <c r="D49" s="366" t="str">
        <f t="shared" si="6"/>
        <v> $ 228,937.50 </v>
      </c>
      <c r="E49" s="366" t="str">
        <f t="shared" si="7"/>
        <v> $ 228,937.50 </v>
      </c>
      <c r="F49" s="366"/>
      <c r="G49" s="386" t="str">
        <f t="shared" si="8"/>
        <v> $ (0.18)</v>
      </c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</row>
    <row r="50" ht="12.75" customHeight="1">
      <c r="A50" s="367" t="s">
        <v>509</v>
      </c>
      <c r="B50" s="366" t="str">
        <f>SUM(B19:E19)</f>
        <v> $ 2,289,437.54 </v>
      </c>
      <c r="C50" s="387">
        <v>0.2</v>
      </c>
      <c r="D50" s="366" t="str">
        <f t="shared" si="6"/>
        <v> $ 457,887.50 </v>
      </c>
      <c r="E50" s="366" t="str">
        <f t="shared" si="7"/>
        <v> $ 457,887.50 </v>
      </c>
      <c r="F50" s="366"/>
      <c r="G50" s="386" t="str">
        <f t="shared" si="8"/>
        <v> $ 0.04 </v>
      </c>
      <c r="H50" s="306"/>
      <c r="I50" s="306"/>
      <c r="J50" s="306"/>
      <c r="K50" s="306"/>
      <c r="L50" s="336" t="s">
        <v>581</v>
      </c>
      <c r="M50" s="307">
        <v>0.9</v>
      </c>
      <c r="N50" s="306"/>
      <c r="O50" s="219" t="s">
        <v>582</v>
      </c>
      <c r="P50" s="306"/>
      <c r="Q50" s="306"/>
      <c r="R50" s="306"/>
      <c r="S50" s="306"/>
      <c r="T50" s="306"/>
      <c r="U50" s="306"/>
      <c r="V50" s="306"/>
      <c r="W50" s="306"/>
      <c r="X50" s="306"/>
      <c r="Y50" s="306"/>
    </row>
    <row r="51" ht="12.75" customHeight="1">
      <c r="A51" s="367" t="s">
        <v>349</v>
      </c>
      <c r="B51" s="366" t="str">
        <f>SUM(B15:E15)</f>
        <v> $ 162,500.00 </v>
      </c>
      <c r="C51" s="385" t="str">
        <f>1/5</f>
        <v>20.00%</v>
      </c>
      <c r="D51" s="366" t="str">
        <f t="shared" si="6"/>
        <v> $ 32,500.00 </v>
      </c>
      <c r="E51" s="366" t="str">
        <f t="shared" si="7"/>
        <v> $ 32,500.00 </v>
      </c>
      <c r="F51" s="366"/>
      <c r="G51" s="386" t="str">
        <f t="shared" si="8"/>
        <v> $ -   </v>
      </c>
      <c r="H51" s="306"/>
      <c r="I51" s="306"/>
      <c r="J51" s="306"/>
      <c r="K51" s="306"/>
      <c r="L51" s="336" t="s">
        <v>583</v>
      </c>
      <c r="M51" s="307">
        <v>1.0</v>
      </c>
      <c r="N51" s="306"/>
      <c r="O51" s="223" t="s">
        <v>584</v>
      </c>
      <c r="P51" s="306"/>
      <c r="Q51" s="306"/>
      <c r="R51" s="306"/>
      <c r="S51" s="306"/>
      <c r="T51" s="306"/>
      <c r="U51" s="306"/>
      <c r="V51" s="306"/>
      <c r="W51" s="306"/>
      <c r="X51" s="306"/>
      <c r="Y51" s="306"/>
    </row>
    <row r="52" ht="12.75" customHeight="1">
      <c r="A52" s="388" t="s">
        <v>585</v>
      </c>
      <c r="B52" s="366" t="str">
        <f>SUM(B44:B51)</f>
        <v> $ 27,762,072.46 </v>
      </c>
      <c r="C52" s="366"/>
      <c r="D52" s="366" t="str">
        <f t="shared" ref="D52:G52" si="12">SUM(D44:D51)</f>
        <v> $ 1,940,733.40 </v>
      </c>
      <c r="E52" s="366" t="str">
        <f t="shared" si="12"/>
        <v> $ 1,940,733.40 </v>
      </c>
      <c r="F52" s="366" t="str">
        <f t="shared" si="12"/>
        <v> $ -   </v>
      </c>
      <c r="G52" s="366" t="str">
        <f t="shared" si="12"/>
        <v> $ 18,058,405.46 </v>
      </c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</row>
    <row r="53" ht="12.75" customHeight="1">
      <c r="A53" s="362"/>
      <c r="B53" s="389"/>
      <c r="C53" s="385"/>
      <c r="D53" s="366"/>
      <c r="E53" s="366"/>
      <c r="F53" s="390"/>
      <c r="G53" s="391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</row>
    <row r="54" ht="12.75" customHeight="1">
      <c r="A54" s="388" t="s">
        <v>586</v>
      </c>
      <c r="B54" s="366" t="str">
        <f>SUM(B32:E32)</f>
        <v> $ 326,530.42 </v>
      </c>
      <c r="C54" s="385" t="str">
        <f>1/5</f>
        <v>20.00%</v>
      </c>
      <c r="D54" s="366" t="str">
        <f>B54*C54</f>
        <v> $ 65,306.08 </v>
      </c>
      <c r="E54" s="366" t="str">
        <f>B54*C54</f>
        <v> $ 65,306.08 </v>
      </c>
      <c r="F54" s="366"/>
      <c r="G54" s="386" t="str">
        <f>B54-D54*3-E54*2</f>
        <v> $ (0.00)</v>
      </c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</row>
    <row r="55" ht="12.75" customHeight="1">
      <c r="A55" s="388"/>
      <c r="B55" s="366"/>
      <c r="C55" s="366"/>
      <c r="D55" s="366"/>
      <c r="E55" s="366"/>
      <c r="F55" s="366"/>
      <c r="G55" s="38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</row>
    <row r="56" ht="12.75" customHeight="1">
      <c r="A56" s="362"/>
      <c r="B56" s="363"/>
      <c r="C56" s="363"/>
      <c r="D56" s="392"/>
      <c r="E56" s="393"/>
      <c r="F56" s="394"/>
      <c r="G56" s="395"/>
      <c r="H56" s="39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</row>
    <row r="57" ht="13.5" customHeight="1">
      <c r="A57" s="369" t="s">
        <v>587</v>
      </c>
      <c r="B57" s="370" t="str">
        <f>B52+B54</f>
        <v> $ 28,088,602.88 </v>
      </c>
      <c r="C57" s="370" t="str">
        <f>C52</f>
        <v/>
      </c>
      <c r="D57" s="370" t="str">
        <f t="shared" ref="D57:E57" si="13">D52+D54</f>
        <v> $ 2,006,039.48 </v>
      </c>
      <c r="E57" s="370" t="str">
        <f t="shared" si="13"/>
        <v> $ 2,006,039.48 </v>
      </c>
      <c r="F57" s="370" t="str">
        <f t="shared" ref="F57:G57" si="14">F52</f>
        <v> $ -   </v>
      </c>
      <c r="G57" s="370" t="str">
        <f t="shared" si="14"/>
        <v> $ 18,058,405.46 </v>
      </c>
      <c r="H57" s="397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</row>
    <row r="58" ht="12.75" customHeight="1">
      <c r="A58" s="306"/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</row>
    <row r="59" ht="12.75" customHeight="1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</row>
    <row r="60" ht="12.75" customHeight="1">
      <c r="A60" s="306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</row>
    <row r="61" ht="12.75" customHeight="1">
      <c r="A61" s="306" t="s">
        <v>588</v>
      </c>
      <c r="B61" s="306" t="str">
        <f>E57/'Conformación de Datos'!I164</f>
        <v>1736.056636</v>
      </c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</row>
    <row r="62" ht="12.75" customHeight="1">
      <c r="A62" s="306" t="s">
        <v>589</v>
      </c>
      <c r="B62" s="306" t="str">
        <f>D57/('Conformación de Datos'!I146+('Conformación de Datos'!I152/2))</f>
        <v>2125.323498</v>
      </c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</row>
    <row r="63" ht="12.75" customHeight="1">
      <c r="A63" s="306"/>
      <c r="B63" s="306"/>
      <c r="C63" s="306"/>
      <c r="D63" s="298" t="str">
        <f>'E-Inv AF y Am'!C57</f>
        <v/>
      </c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</row>
    <row r="64" ht="12.75" customHeight="1">
      <c r="A64" s="306"/>
      <c r="B64" s="306" t="str">
        <f>'Conformación de Datos'!I152/2</f>
        <v>8.389205135</v>
      </c>
      <c r="C64" s="306"/>
      <c r="D64" s="298" t="str">
        <f>'E-Inv AF y Am'!C57</f>
        <v/>
      </c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</row>
    <row r="65" ht="12.75" customHeight="1">
      <c r="A65" s="306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</row>
    <row r="66" ht="12.75" customHeight="1">
      <c r="A66" s="306"/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</row>
    <row r="67" ht="12.75" customHeight="1">
      <c r="A67" s="306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</row>
    <row r="68" ht="12.75" customHeight="1">
      <c r="A68" s="306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</row>
    <row r="69" ht="12.75" customHeight="1">
      <c r="A69" s="306"/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</row>
    <row r="70" ht="12.75" customHeight="1">
      <c r="A70" s="306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</row>
    <row r="71" ht="12.75" customHeight="1">
      <c r="A71" s="306"/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</row>
    <row r="72" ht="12.75" customHeight="1">
      <c r="A72" s="306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</row>
    <row r="73" ht="12.75" customHeight="1">
      <c r="A73" s="306"/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</row>
    <row r="74" ht="12.75" customHeight="1">
      <c r="A74" s="306"/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</row>
    <row r="75" ht="12.75" customHeight="1">
      <c r="A75" s="306"/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</row>
    <row r="76" ht="12.75" customHeight="1">
      <c r="A76" s="306"/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</row>
    <row r="77" ht="12.75" customHeight="1">
      <c r="A77" s="306"/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</row>
    <row r="78" ht="12.75" customHeight="1">
      <c r="A78" s="306"/>
      <c r="B78" s="306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</row>
    <row r="79" ht="12.75" customHeight="1">
      <c r="A79" s="306"/>
      <c r="B79" s="306"/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6"/>
    </row>
    <row r="80" ht="12.75" customHeight="1">
      <c r="A80" s="306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</row>
    <row r="81" ht="12.75" customHeight="1">
      <c r="A81" s="306"/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</row>
    <row r="82" ht="12.75" customHeight="1">
      <c r="A82" s="306"/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</row>
    <row r="83" ht="12.75" customHeight="1">
      <c r="A83" s="306"/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</row>
    <row r="84" ht="12.75" customHeight="1">
      <c r="A84" s="306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</row>
    <row r="85" ht="12.75" customHeight="1">
      <c r="A85" s="306"/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</row>
    <row r="86" ht="12.75" customHeight="1">
      <c r="A86" s="306"/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</row>
    <row r="87" ht="12.75" customHeight="1">
      <c r="A87" s="306"/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</row>
    <row r="88" ht="12.75" customHeight="1">
      <c r="A88" s="306"/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</row>
    <row r="89" ht="12.75" customHeight="1">
      <c r="A89" s="306"/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</row>
    <row r="90" ht="12.75" customHeight="1">
      <c r="A90" s="306"/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</row>
    <row r="91" ht="12.75" customHeight="1">
      <c r="A91" s="306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</row>
    <row r="92" ht="12.75" customHeigh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</row>
    <row r="93" ht="12.75" customHeight="1">
      <c r="A93" s="306"/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</row>
    <row r="94" ht="12.75" customHeight="1">
      <c r="A94" s="306"/>
      <c r="B94" s="306"/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</row>
    <row r="95" ht="12.75" customHeight="1">
      <c r="A95" s="306"/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</row>
    <row r="96" ht="12.75" customHeight="1">
      <c r="A96" s="306"/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</row>
    <row r="97" ht="12.75" customHeight="1">
      <c r="A97" s="306"/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</row>
    <row r="98" ht="12.75" customHeight="1">
      <c r="A98" s="306"/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</row>
    <row r="99" ht="12.75" customHeight="1">
      <c r="A99" s="306"/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</row>
    <row r="100" ht="12.75" customHeight="1">
      <c r="A100" s="306"/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</row>
    <row r="101" ht="12.75" customHeight="1">
      <c r="A101" s="306"/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</row>
    <row r="102" ht="12.75" customHeight="1">
      <c r="A102" s="306"/>
      <c r="B102" s="306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</row>
    <row r="103" ht="12.75" customHeight="1">
      <c r="A103" s="306"/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</row>
    <row r="104" ht="12.75" customHeight="1">
      <c r="A104" s="306"/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</row>
    <row r="105" ht="12.75" customHeight="1">
      <c r="A105" s="306"/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</row>
    <row r="106" ht="12.75" customHeight="1">
      <c r="A106" s="306"/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</row>
    <row r="107" ht="12.75" customHeight="1">
      <c r="A107" s="306"/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</row>
    <row r="108" ht="12.75" customHeight="1">
      <c r="A108" s="306"/>
      <c r="B108" s="306"/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</row>
    <row r="109" ht="12.75" customHeight="1">
      <c r="A109" s="306"/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</row>
    <row r="110" ht="12.75" customHeight="1">
      <c r="A110" s="306"/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</row>
    <row r="111" ht="12.75" customHeight="1">
      <c r="A111" s="306"/>
      <c r="B111" s="306"/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6"/>
      <c r="X111" s="306"/>
      <c r="Y111" s="306"/>
    </row>
    <row r="112" ht="12.75" customHeight="1">
      <c r="A112" s="306"/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</row>
    <row r="113" ht="12.75" customHeight="1">
      <c r="A113" s="306"/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</row>
    <row r="114" ht="12.75" customHeight="1">
      <c r="A114" s="306"/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</row>
    <row r="115" ht="12.75" customHeight="1">
      <c r="A115" s="306"/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</row>
    <row r="116" ht="12.75" customHeight="1">
      <c r="A116" s="306"/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</row>
    <row r="117" ht="12.75" customHeight="1">
      <c r="A117" s="306"/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  <c r="S117" s="306"/>
      <c r="T117" s="306"/>
      <c r="U117" s="306"/>
      <c r="V117" s="306"/>
      <c r="W117" s="306"/>
      <c r="X117" s="306"/>
      <c r="Y117" s="306"/>
    </row>
    <row r="118" ht="12.75" customHeight="1">
      <c r="A118" s="306"/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R118" s="306"/>
      <c r="S118" s="306"/>
      <c r="T118" s="306"/>
      <c r="U118" s="306"/>
      <c r="V118" s="306"/>
      <c r="W118" s="306"/>
      <c r="X118" s="306"/>
      <c r="Y118" s="306"/>
    </row>
    <row r="119" ht="12.75" customHeight="1">
      <c r="A119" s="306"/>
      <c r="B119" s="306"/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</row>
    <row r="120" ht="12.75" customHeight="1">
      <c r="A120" s="306"/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</row>
    <row r="121" ht="12.75" customHeight="1">
      <c r="A121" s="306"/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</row>
    <row r="122" ht="12.75" customHeigh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  <c r="X122" s="306"/>
      <c r="Y122" s="306"/>
    </row>
    <row r="123" ht="12.75" customHeight="1">
      <c r="A123" s="306"/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</row>
    <row r="124" ht="12.75" customHeight="1">
      <c r="A124" s="306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</row>
    <row r="125" ht="12.75" customHeight="1">
      <c r="A125" s="306"/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</row>
    <row r="126" ht="12.75" customHeight="1">
      <c r="A126" s="306"/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</row>
    <row r="127" ht="12.75" customHeight="1">
      <c r="A127" s="306"/>
      <c r="B127" s="306"/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</row>
    <row r="128" ht="12.75" customHeight="1">
      <c r="A128" s="306"/>
      <c r="B128" s="306"/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6"/>
      <c r="T128" s="306"/>
      <c r="U128" s="306"/>
      <c r="V128" s="306"/>
      <c r="W128" s="306"/>
      <c r="X128" s="306"/>
      <c r="Y128" s="306"/>
    </row>
    <row r="129" ht="12.75" customHeight="1">
      <c r="A129" s="306"/>
      <c r="B129" s="306"/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</row>
    <row r="130" ht="12.75" customHeight="1">
      <c r="A130" s="306"/>
      <c r="B130" s="306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</row>
    <row r="131" ht="12.75" customHeight="1">
      <c r="A131" s="306"/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</row>
    <row r="132" ht="12.75" customHeight="1">
      <c r="A132" s="306"/>
      <c r="B132" s="306"/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</row>
    <row r="133" ht="12.75" customHeight="1">
      <c r="A133" s="306"/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</row>
    <row r="134" ht="12.75" customHeight="1">
      <c r="A134" s="306"/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</row>
    <row r="135" ht="12.75" customHeight="1">
      <c r="A135" s="306"/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</row>
    <row r="136" ht="12.75" customHeight="1">
      <c r="A136" s="306"/>
      <c r="B136" s="306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</row>
    <row r="137" ht="12.75" customHeight="1">
      <c r="A137" s="306"/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  <c r="Y137" s="306"/>
    </row>
    <row r="138" ht="12.75" customHeight="1">
      <c r="A138" s="306"/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</row>
    <row r="139" ht="12.75" customHeight="1">
      <c r="A139" s="306"/>
      <c r="B139" s="306"/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</row>
    <row r="140" ht="12.75" customHeight="1">
      <c r="A140" s="306"/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</row>
    <row r="141" ht="12.75" customHeight="1">
      <c r="A141" s="306"/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</row>
    <row r="142" ht="12.75" customHeight="1">
      <c r="A142" s="306"/>
      <c r="B142" s="306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</row>
    <row r="143" ht="12.75" customHeight="1">
      <c r="A143" s="306"/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6"/>
      <c r="U143" s="306"/>
      <c r="V143" s="306"/>
      <c r="W143" s="306"/>
      <c r="X143" s="306"/>
      <c r="Y143" s="306"/>
    </row>
    <row r="144" ht="12.75" customHeight="1">
      <c r="A144" s="306"/>
      <c r="B144" s="306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</row>
    <row r="145" ht="12.75" customHeight="1">
      <c r="A145" s="306"/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</row>
    <row r="146" ht="12.75" customHeight="1">
      <c r="A146" s="306"/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</row>
    <row r="147" ht="12.75" customHeight="1">
      <c r="A147" s="306"/>
      <c r="B147" s="306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</row>
    <row r="148" ht="12.75" customHeight="1">
      <c r="A148" s="306"/>
      <c r="B148" s="306"/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</row>
    <row r="149" ht="12.75" customHeight="1">
      <c r="A149" s="306"/>
      <c r="B149" s="306"/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</row>
    <row r="150" ht="12.75" customHeight="1">
      <c r="A150" s="306"/>
      <c r="B150" s="306"/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</row>
    <row r="151" ht="12.75" customHeight="1">
      <c r="A151" s="306"/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306"/>
      <c r="Y151" s="306"/>
    </row>
    <row r="152" ht="12.75" customHeight="1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</row>
    <row r="153" ht="12.75" customHeight="1">
      <c r="A153" s="306"/>
      <c r="B153" s="306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</row>
    <row r="154" ht="12.75" customHeight="1">
      <c r="A154" s="306"/>
      <c r="B154" s="306"/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306"/>
      <c r="X154" s="306"/>
      <c r="Y154" s="306"/>
    </row>
    <row r="155" ht="12.75" customHeight="1">
      <c r="A155" s="306"/>
      <c r="B155" s="306"/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306"/>
      <c r="X155" s="306"/>
      <c r="Y155" s="306"/>
    </row>
    <row r="156" ht="12.75" customHeight="1">
      <c r="A156" s="306"/>
      <c r="B156" s="306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306"/>
      <c r="X156" s="306"/>
      <c r="Y156" s="306"/>
    </row>
    <row r="157" ht="12.75" customHeight="1">
      <c r="A157" s="306"/>
      <c r="B157" s="306"/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</row>
    <row r="158" ht="12.75" customHeight="1">
      <c r="A158" s="306"/>
      <c r="B158" s="306"/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</row>
    <row r="159" ht="12.75" customHeight="1">
      <c r="A159" s="306"/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</row>
    <row r="160" ht="12.75" customHeight="1">
      <c r="A160" s="306"/>
      <c r="B160" s="306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</row>
    <row r="161" ht="12.75" customHeight="1">
      <c r="A161" s="306"/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</row>
    <row r="162" ht="12.75" customHeight="1">
      <c r="A162" s="306"/>
      <c r="B162" s="306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</row>
    <row r="163" ht="12.75" customHeight="1">
      <c r="A163" s="306"/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</row>
    <row r="164" ht="12.75" customHeight="1">
      <c r="A164" s="306"/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</row>
    <row r="165" ht="12.75" customHeight="1">
      <c r="A165" s="306"/>
      <c r="B165" s="306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</row>
    <row r="166" ht="12.75" customHeight="1">
      <c r="A166" s="306"/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</row>
    <row r="167" ht="12.75" customHeight="1">
      <c r="A167" s="306"/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</row>
    <row r="168" ht="12.75" customHeight="1">
      <c r="A168" s="306"/>
      <c r="B168" s="306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</row>
    <row r="169" ht="12.75" customHeight="1">
      <c r="A169" s="306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6"/>
      <c r="T169" s="306"/>
      <c r="U169" s="306"/>
      <c r="V169" s="306"/>
      <c r="W169" s="306"/>
      <c r="X169" s="306"/>
      <c r="Y169" s="306"/>
    </row>
    <row r="170" ht="12.75" customHeight="1">
      <c r="A170" s="306"/>
      <c r="B170" s="306"/>
      <c r="C170" s="306"/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</row>
    <row r="171" ht="12.75" customHeight="1">
      <c r="A171" s="306"/>
      <c r="B171" s="306"/>
      <c r="C171" s="306"/>
      <c r="D171" s="306"/>
      <c r="E171" s="306"/>
      <c r="F171" s="306"/>
      <c r="G171" s="306"/>
      <c r="H171" s="306"/>
      <c r="I171" s="306"/>
      <c r="J171" s="306"/>
      <c r="K171" s="306"/>
      <c r="L171" s="306"/>
      <c r="M171" s="306"/>
      <c r="N171" s="306"/>
      <c r="O171" s="306"/>
      <c r="P171" s="306"/>
      <c r="Q171" s="306"/>
      <c r="R171" s="306"/>
      <c r="S171" s="306"/>
      <c r="T171" s="306"/>
      <c r="U171" s="306"/>
      <c r="V171" s="306"/>
      <c r="W171" s="306"/>
      <c r="X171" s="306"/>
      <c r="Y171" s="306"/>
    </row>
    <row r="172" ht="12.75" customHeight="1">
      <c r="A172" s="306"/>
      <c r="B172" s="306"/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</row>
    <row r="173" ht="12.75" customHeight="1">
      <c r="A173" s="306"/>
      <c r="B173" s="306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306"/>
      <c r="X173" s="306"/>
      <c r="Y173" s="306"/>
    </row>
    <row r="174" ht="12.75" customHeight="1">
      <c r="A174" s="306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</row>
    <row r="175" ht="12.75" customHeight="1">
      <c r="A175" s="306"/>
      <c r="B175" s="306"/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</row>
    <row r="176" ht="12.75" customHeight="1">
      <c r="A176" s="306"/>
      <c r="B176" s="306"/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/>
    </row>
    <row r="177" ht="12.75" customHeight="1">
      <c r="A177" s="306"/>
      <c r="B177" s="306"/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306"/>
      <c r="X177" s="306"/>
      <c r="Y177" s="306"/>
    </row>
    <row r="178" ht="12.75" customHeight="1">
      <c r="A178" s="306"/>
      <c r="B178" s="306"/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</row>
    <row r="179" ht="12.75" customHeight="1">
      <c r="A179" s="306"/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/>
      <c r="V179" s="306"/>
      <c r="W179" s="306"/>
      <c r="X179" s="306"/>
      <c r="Y179" s="306"/>
    </row>
    <row r="180" ht="12.75" customHeight="1">
      <c r="A180" s="306"/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</row>
    <row r="181" ht="12.75" customHeight="1">
      <c r="A181" s="306"/>
      <c r="B181" s="306"/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  <c r="Y181" s="306"/>
    </row>
    <row r="182" ht="12.75" customHeigh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</row>
    <row r="183" ht="12.75" customHeight="1">
      <c r="A183" s="306"/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</row>
    <row r="184" ht="12.75" customHeight="1">
      <c r="A184" s="306"/>
      <c r="B184" s="306"/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</row>
    <row r="185" ht="12.75" customHeight="1">
      <c r="A185" s="306"/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</row>
    <row r="186" ht="12.75" customHeight="1">
      <c r="A186" s="306"/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</row>
    <row r="187" ht="12.75" customHeight="1">
      <c r="A187" s="306"/>
      <c r="B187" s="306"/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</row>
    <row r="188" ht="12.75" customHeight="1">
      <c r="A188" s="306"/>
      <c r="B188" s="306"/>
      <c r="C188" s="306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</row>
    <row r="189" ht="12.75" customHeight="1">
      <c r="A189" s="306"/>
      <c r="B189" s="306"/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</row>
    <row r="190" ht="12.75" customHeight="1">
      <c r="A190" s="306"/>
      <c r="B190" s="306"/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</row>
    <row r="191" ht="12.75" customHeight="1">
      <c r="A191" s="306"/>
      <c r="B191" s="306"/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</row>
    <row r="192" ht="12.75" customHeight="1">
      <c r="A192" s="306"/>
      <c r="B192" s="306"/>
      <c r="C192" s="306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</row>
    <row r="193" ht="12.75" customHeight="1">
      <c r="A193" s="306"/>
      <c r="B193" s="306"/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6"/>
      <c r="V193" s="306"/>
      <c r="W193" s="306"/>
      <c r="X193" s="306"/>
      <c r="Y193" s="306"/>
    </row>
    <row r="194" ht="12.75" customHeight="1">
      <c r="A194" s="306"/>
      <c r="B194" s="306"/>
      <c r="C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</row>
    <row r="195" ht="12.75" customHeight="1">
      <c r="A195" s="306"/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</row>
    <row r="196" ht="12.75" customHeight="1">
      <c r="A196" s="306"/>
      <c r="B196" s="306"/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</row>
    <row r="197" ht="12.75" customHeight="1">
      <c r="A197" s="306"/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  <c r="S197" s="306"/>
      <c r="T197" s="306"/>
      <c r="U197" s="306"/>
      <c r="V197" s="306"/>
      <c r="W197" s="306"/>
      <c r="X197" s="306"/>
      <c r="Y197" s="306"/>
    </row>
    <row r="198" ht="12.75" customHeight="1">
      <c r="A198" s="306"/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</row>
    <row r="199" ht="12.75" customHeight="1">
      <c r="A199" s="306"/>
      <c r="B199" s="306"/>
      <c r="C199" s="306"/>
      <c r="D199" s="306"/>
      <c r="E199" s="306"/>
      <c r="F199" s="306"/>
      <c r="G199" s="306"/>
      <c r="H199" s="306"/>
      <c r="I199" s="306"/>
      <c r="J199" s="306"/>
      <c r="K199" s="306"/>
      <c r="L199" s="306"/>
      <c r="M199" s="306"/>
      <c r="N199" s="306"/>
      <c r="O199" s="306"/>
      <c r="P199" s="306"/>
      <c r="Q199" s="306"/>
      <c r="R199" s="306"/>
      <c r="S199" s="306"/>
      <c r="T199" s="306"/>
      <c r="U199" s="306"/>
      <c r="V199" s="306"/>
      <c r="W199" s="306"/>
      <c r="X199" s="306"/>
      <c r="Y199" s="306"/>
    </row>
    <row r="200" ht="12.75" customHeight="1">
      <c r="A200" s="306"/>
      <c r="B200" s="306"/>
      <c r="C200" s="306"/>
      <c r="D200" s="306"/>
      <c r="E200" s="306"/>
      <c r="F200" s="306"/>
      <c r="G200" s="306"/>
      <c r="H200" s="306"/>
      <c r="I200" s="306"/>
      <c r="J200" s="306"/>
      <c r="K200" s="306"/>
      <c r="L200" s="306"/>
      <c r="M200" s="306"/>
      <c r="N200" s="306"/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</row>
    <row r="201" ht="12.75" customHeight="1">
      <c r="A201" s="306"/>
      <c r="B201" s="306"/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</row>
    <row r="202" ht="12.75" customHeight="1">
      <c r="A202" s="306"/>
      <c r="B202" s="306"/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  <c r="T202" s="306"/>
      <c r="U202" s="306"/>
      <c r="V202" s="306"/>
      <c r="W202" s="306"/>
      <c r="X202" s="306"/>
      <c r="Y202" s="306"/>
    </row>
    <row r="203" ht="12.75" customHeight="1">
      <c r="A203" s="306"/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</row>
    <row r="204" ht="12.75" customHeight="1">
      <c r="A204" s="306"/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</row>
    <row r="205" ht="12.75" customHeight="1">
      <c r="A205" s="306"/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</row>
    <row r="206" ht="12.75" customHeight="1">
      <c r="A206" s="306"/>
      <c r="B206" s="306"/>
      <c r="C206" s="306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  <c r="T206" s="306"/>
      <c r="U206" s="306"/>
      <c r="V206" s="306"/>
      <c r="W206" s="306"/>
      <c r="X206" s="306"/>
      <c r="Y206" s="306"/>
    </row>
    <row r="207" ht="12.75" customHeight="1">
      <c r="A207" s="306"/>
      <c r="B207" s="306"/>
      <c r="C207" s="306"/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  <c r="S207" s="306"/>
      <c r="T207" s="306"/>
      <c r="U207" s="306"/>
      <c r="V207" s="306"/>
      <c r="W207" s="306"/>
      <c r="X207" s="306"/>
      <c r="Y207" s="306"/>
    </row>
    <row r="208" ht="12.75" customHeight="1">
      <c r="A208" s="306"/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  <c r="T208" s="306"/>
      <c r="U208" s="306"/>
      <c r="V208" s="306"/>
      <c r="W208" s="306"/>
      <c r="X208" s="306"/>
      <c r="Y208" s="306"/>
    </row>
    <row r="209" ht="12.75" customHeight="1">
      <c r="A209" s="306"/>
      <c r="B209" s="306"/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  <c r="T209" s="306"/>
      <c r="U209" s="306"/>
      <c r="V209" s="306"/>
      <c r="W209" s="306"/>
      <c r="X209" s="306"/>
      <c r="Y209" s="306"/>
    </row>
    <row r="210" ht="12.75" customHeight="1">
      <c r="A210" s="306"/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/>
      <c r="Y210" s="306"/>
    </row>
    <row r="211" ht="12.75" customHeight="1">
      <c r="A211" s="306"/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  <c r="X211" s="306"/>
      <c r="Y211" s="306"/>
    </row>
    <row r="212" ht="12.75" customHeight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  <c r="X212" s="306"/>
      <c r="Y212" s="306"/>
    </row>
    <row r="213" ht="12.75" customHeight="1">
      <c r="A213" s="306"/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  <c r="T213" s="306"/>
      <c r="U213" s="306"/>
      <c r="V213" s="306"/>
      <c r="W213" s="306"/>
      <c r="X213" s="306"/>
      <c r="Y213" s="306"/>
    </row>
    <row r="214" ht="12.75" customHeight="1">
      <c r="A214" s="306"/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  <c r="S214" s="306"/>
      <c r="T214" s="306"/>
      <c r="U214" s="306"/>
      <c r="V214" s="306"/>
      <c r="W214" s="306"/>
      <c r="X214" s="306"/>
      <c r="Y214" s="306"/>
    </row>
    <row r="215" ht="12.75" customHeight="1">
      <c r="A215" s="306"/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  <c r="T215" s="306"/>
      <c r="U215" s="306"/>
      <c r="V215" s="306"/>
      <c r="W215" s="306"/>
      <c r="X215" s="306"/>
      <c r="Y215" s="306"/>
    </row>
    <row r="216" ht="12.75" customHeight="1">
      <c r="A216" s="306"/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  <c r="T216" s="306"/>
      <c r="U216" s="306"/>
      <c r="V216" s="306"/>
      <c r="W216" s="306"/>
      <c r="X216" s="306"/>
      <c r="Y216" s="306"/>
    </row>
    <row r="217" ht="12.75" customHeight="1">
      <c r="A217" s="306"/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  <c r="T217" s="306"/>
      <c r="U217" s="306"/>
      <c r="V217" s="306"/>
      <c r="W217" s="306"/>
      <c r="X217" s="306"/>
      <c r="Y217" s="306"/>
    </row>
    <row r="218" ht="12.75" customHeight="1">
      <c r="A218" s="306"/>
      <c r="B218" s="306"/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  <c r="T218" s="306"/>
      <c r="U218" s="306"/>
      <c r="V218" s="306"/>
      <c r="W218" s="306"/>
      <c r="X218" s="306"/>
      <c r="Y218" s="306"/>
    </row>
    <row r="219" ht="12.75" customHeight="1">
      <c r="A219" s="306"/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</row>
    <row r="220" ht="12.75" customHeight="1">
      <c r="A220" s="306"/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</row>
    <row r="221" ht="12.75" customHeight="1">
      <c r="A221" s="306"/>
      <c r="B221" s="306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</row>
    <row r="222" ht="12.75" customHeight="1">
      <c r="A222" s="306"/>
      <c r="B222" s="306"/>
      <c r="C222" s="306"/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  <c r="S222" s="306"/>
      <c r="T222" s="306"/>
      <c r="U222" s="306"/>
      <c r="V222" s="306"/>
      <c r="W222" s="306"/>
      <c r="X222" s="306"/>
      <c r="Y222" s="306"/>
    </row>
    <row r="223" ht="12.75" customHeight="1">
      <c r="A223" s="306"/>
      <c r="B223" s="306"/>
      <c r="C223" s="306"/>
      <c r="D223" s="306"/>
      <c r="E223" s="306"/>
      <c r="F223" s="306"/>
      <c r="G223" s="306"/>
      <c r="H223" s="306"/>
      <c r="I223" s="306"/>
      <c r="J223" s="306"/>
      <c r="K223" s="306"/>
      <c r="L223" s="306"/>
      <c r="M223" s="306"/>
      <c r="N223" s="306"/>
      <c r="O223" s="306"/>
      <c r="P223" s="306"/>
      <c r="Q223" s="306"/>
      <c r="R223" s="306"/>
      <c r="S223" s="306"/>
      <c r="T223" s="306"/>
      <c r="U223" s="306"/>
      <c r="V223" s="306"/>
      <c r="W223" s="306"/>
      <c r="X223" s="306"/>
      <c r="Y223" s="306"/>
    </row>
    <row r="224" ht="12.75" customHeight="1">
      <c r="A224" s="306"/>
      <c r="B224" s="306"/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  <c r="T224" s="306"/>
      <c r="U224" s="306"/>
      <c r="V224" s="306"/>
      <c r="W224" s="306"/>
      <c r="X224" s="306"/>
      <c r="Y224" s="306"/>
    </row>
    <row r="225" ht="12.75" customHeight="1">
      <c r="A225" s="306"/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306"/>
      <c r="O225" s="306"/>
      <c r="P225" s="306"/>
      <c r="Q225" s="306"/>
      <c r="R225" s="306"/>
      <c r="S225" s="306"/>
      <c r="T225" s="306"/>
      <c r="U225" s="306"/>
      <c r="V225" s="306"/>
      <c r="W225" s="306"/>
      <c r="X225" s="306"/>
      <c r="Y225" s="306"/>
    </row>
    <row r="226" ht="12.75" customHeight="1">
      <c r="A226" s="306"/>
      <c r="B226" s="306"/>
      <c r="C226" s="306"/>
      <c r="D226" s="306"/>
      <c r="E226" s="306"/>
      <c r="F226" s="306"/>
      <c r="G226" s="306"/>
      <c r="H226" s="306"/>
      <c r="I226" s="306"/>
      <c r="J226" s="306"/>
      <c r="K226" s="306"/>
      <c r="L226" s="306"/>
      <c r="M226" s="306"/>
      <c r="N226" s="306"/>
      <c r="O226" s="306"/>
      <c r="P226" s="306"/>
      <c r="Q226" s="306"/>
      <c r="R226" s="306"/>
      <c r="S226" s="306"/>
      <c r="T226" s="306"/>
      <c r="U226" s="306"/>
      <c r="V226" s="306"/>
      <c r="W226" s="306"/>
      <c r="X226" s="306"/>
      <c r="Y226" s="306"/>
    </row>
    <row r="227" ht="12.75" customHeight="1">
      <c r="A227" s="306"/>
      <c r="B227" s="306"/>
      <c r="C227" s="306"/>
      <c r="D227" s="306"/>
      <c r="E227" s="306"/>
      <c r="F227" s="306"/>
      <c r="G227" s="306"/>
      <c r="H227" s="306"/>
      <c r="I227" s="306"/>
      <c r="J227" s="306"/>
      <c r="K227" s="306"/>
      <c r="L227" s="306"/>
      <c r="M227" s="306"/>
      <c r="N227" s="306"/>
      <c r="O227" s="306"/>
      <c r="P227" s="306"/>
      <c r="Q227" s="306"/>
      <c r="R227" s="306"/>
      <c r="S227" s="306"/>
      <c r="T227" s="306"/>
      <c r="U227" s="306"/>
      <c r="V227" s="306"/>
      <c r="W227" s="306"/>
      <c r="X227" s="306"/>
      <c r="Y227" s="306"/>
    </row>
    <row r="228" ht="12.75" customHeight="1">
      <c r="A228" s="306"/>
      <c r="B228" s="306"/>
      <c r="C228" s="306"/>
      <c r="D228" s="306"/>
      <c r="E228" s="306"/>
      <c r="F228" s="306"/>
      <c r="G228" s="306"/>
      <c r="H228" s="306"/>
      <c r="I228" s="306"/>
      <c r="J228" s="306"/>
      <c r="K228" s="306"/>
      <c r="L228" s="306"/>
      <c r="M228" s="306"/>
      <c r="N228" s="306"/>
      <c r="O228" s="306"/>
      <c r="P228" s="306"/>
      <c r="Q228" s="306"/>
      <c r="R228" s="306"/>
      <c r="S228" s="306"/>
      <c r="T228" s="306"/>
      <c r="U228" s="306"/>
      <c r="V228" s="306"/>
      <c r="W228" s="306"/>
      <c r="X228" s="306"/>
      <c r="Y228" s="306"/>
    </row>
    <row r="229" ht="12.75" customHeight="1">
      <c r="A229" s="306"/>
      <c r="B229" s="306"/>
      <c r="C229" s="306"/>
      <c r="D229" s="306"/>
      <c r="E229" s="306"/>
      <c r="F229" s="306"/>
      <c r="G229" s="306"/>
      <c r="H229" s="306"/>
      <c r="I229" s="306"/>
      <c r="J229" s="306"/>
      <c r="K229" s="306"/>
      <c r="L229" s="306"/>
      <c r="M229" s="306"/>
      <c r="N229" s="306"/>
      <c r="O229" s="306"/>
      <c r="P229" s="306"/>
      <c r="Q229" s="306"/>
      <c r="R229" s="306"/>
      <c r="S229" s="306"/>
      <c r="T229" s="306"/>
      <c r="U229" s="306"/>
      <c r="V229" s="306"/>
      <c r="W229" s="306"/>
      <c r="X229" s="306"/>
      <c r="Y229" s="306"/>
    </row>
    <row r="230" ht="12.75" customHeight="1">
      <c r="A230" s="306"/>
      <c r="B230" s="306"/>
      <c r="C230" s="306"/>
      <c r="D230" s="306"/>
      <c r="E230" s="306"/>
      <c r="F230" s="306"/>
      <c r="G230" s="306"/>
      <c r="H230" s="306"/>
      <c r="I230" s="306"/>
      <c r="J230" s="306"/>
      <c r="K230" s="306"/>
      <c r="L230" s="306"/>
      <c r="M230" s="306"/>
      <c r="N230" s="306"/>
      <c r="O230" s="306"/>
      <c r="P230" s="306"/>
      <c r="Q230" s="306"/>
      <c r="R230" s="306"/>
      <c r="S230" s="306"/>
      <c r="T230" s="306"/>
      <c r="U230" s="306"/>
      <c r="V230" s="306"/>
      <c r="W230" s="306"/>
      <c r="X230" s="306"/>
      <c r="Y230" s="306"/>
    </row>
    <row r="231" ht="12.75" customHeight="1">
      <c r="A231" s="306"/>
      <c r="B231" s="306"/>
      <c r="C231" s="306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  <c r="S231" s="306"/>
      <c r="T231" s="306"/>
      <c r="U231" s="306"/>
      <c r="V231" s="306"/>
      <c r="W231" s="306"/>
      <c r="X231" s="306"/>
      <c r="Y231" s="306"/>
    </row>
    <row r="232" ht="12.75" customHeight="1">
      <c r="A232" s="306"/>
      <c r="B232" s="306"/>
      <c r="C232" s="306"/>
      <c r="D232" s="306"/>
      <c r="E232" s="306"/>
      <c r="F232" s="306"/>
      <c r="G232" s="306"/>
      <c r="H232" s="306"/>
      <c r="I232" s="306"/>
      <c r="J232" s="306"/>
      <c r="K232" s="306"/>
      <c r="L232" s="306"/>
      <c r="M232" s="306"/>
      <c r="N232" s="306"/>
      <c r="O232" s="306"/>
      <c r="P232" s="306"/>
      <c r="Q232" s="306"/>
      <c r="R232" s="306"/>
      <c r="S232" s="306"/>
      <c r="T232" s="306"/>
      <c r="U232" s="306"/>
      <c r="V232" s="306"/>
      <c r="W232" s="306"/>
      <c r="X232" s="306"/>
      <c r="Y232" s="306"/>
    </row>
    <row r="233" ht="12.75" customHeight="1">
      <c r="A233" s="306"/>
      <c r="B233" s="306"/>
      <c r="C233" s="306"/>
      <c r="D233" s="306"/>
      <c r="E233" s="306"/>
      <c r="F233" s="306"/>
      <c r="G233" s="306"/>
      <c r="H233" s="306"/>
      <c r="I233" s="306"/>
      <c r="J233" s="306"/>
      <c r="K233" s="306"/>
      <c r="L233" s="306"/>
      <c r="M233" s="306"/>
      <c r="N233" s="306"/>
      <c r="O233" s="306"/>
      <c r="P233" s="306"/>
      <c r="Q233" s="306"/>
      <c r="R233" s="306"/>
      <c r="S233" s="306"/>
      <c r="T233" s="306"/>
      <c r="U233" s="306"/>
      <c r="V233" s="306"/>
      <c r="W233" s="306"/>
      <c r="X233" s="306"/>
      <c r="Y233" s="306"/>
    </row>
    <row r="234" ht="12.75" customHeight="1">
      <c r="A234" s="306"/>
      <c r="B234" s="306"/>
      <c r="C234" s="306"/>
      <c r="D234" s="306"/>
      <c r="E234" s="306"/>
      <c r="F234" s="306"/>
      <c r="G234" s="306"/>
      <c r="H234" s="306"/>
      <c r="I234" s="306"/>
      <c r="J234" s="306"/>
      <c r="K234" s="306"/>
      <c r="L234" s="306"/>
      <c r="M234" s="306"/>
      <c r="N234" s="306"/>
      <c r="O234" s="306"/>
      <c r="P234" s="306"/>
      <c r="Q234" s="306"/>
      <c r="R234" s="306"/>
      <c r="S234" s="306"/>
      <c r="T234" s="306"/>
      <c r="U234" s="306"/>
      <c r="V234" s="306"/>
      <c r="W234" s="306"/>
      <c r="X234" s="306"/>
      <c r="Y234" s="306"/>
    </row>
    <row r="235" ht="12.75" customHeight="1">
      <c r="A235" s="306"/>
      <c r="B235" s="306"/>
      <c r="C235" s="306"/>
      <c r="D235" s="306"/>
      <c r="E235" s="306"/>
      <c r="F235" s="306"/>
      <c r="G235" s="306"/>
      <c r="H235" s="306"/>
      <c r="I235" s="306"/>
      <c r="J235" s="306"/>
      <c r="K235" s="306"/>
      <c r="L235" s="306"/>
      <c r="M235" s="306"/>
      <c r="N235" s="306"/>
      <c r="O235" s="306"/>
      <c r="P235" s="306"/>
      <c r="Q235" s="306"/>
      <c r="R235" s="306"/>
      <c r="S235" s="306"/>
      <c r="T235" s="306"/>
      <c r="U235" s="306"/>
      <c r="V235" s="306"/>
      <c r="W235" s="306"/>
      <c r="X235" s="306"/>
      <c r="Y235" s="306"/>
    </row>
    <row r="236" ht="12.75" customHeight="1">
      <c r="A236" s="306"/>
      <c r="B236" s="306"/>
      <c r="C236" s="306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306"/>
      <c r="O236" s="306"/>
      <c r="P236" s="306"/>
      <c r="Q236" s="306"/>
      <c r="R236" s="306"/>
      <c r="S236" s="306"/>
      <c r="T236" s="306"/>
      <c r="U236" s="306"/>
      <c r="V236" s="306"/>
      <c r="W236" s="306"/>
      <c r="X236" s="306"/>
      <c r="Y236" s="306"/>
    </row>
    <row r="237" ht="12.75" customHeight="1">
      <c r="A237" s="306"/>
      <c r="B237" s="306"/>
      <c r="C237" s="306"/>
      <c r="D237" s="306"/>
      <c r="E237" s="306"/>
      <c r="F237" s="306"/>
      <c r="G237" s="306"/>
      <c r="H237" s="306"/>
      <c r="I237" s="306"/>
      <c r="J237" s="306"/>
      <c r="K237" s="306"/>
      <c r="L237" s="306"/>
      <c r="M237" s="306"/>
      <c r="N237" s="306"/>
      <c r="O237" s="306"/>
      <c r="P237" s="306"/>
      <c r="Q237" s="306"/>
      <c r="R237" s="306"/>
      <c r="S237" s="306"/>
      <c r="T237" s="306"/>
      <c r="U237" s="306"/>
      <c r="V237" s="306"/>
      <c r="W237" s="306"/>
      <c r="X237" s="306"/>
      <c r="Y237" s="306"/>
    </row>
    <row r="238" ht="12.75" customHeight="1">
      <c r="A238" s="306"/>
      <c r="B238" s="306"/>
      <c r="C238" s="306"/>
      <c r="D238" s="306"/>
      <c r="E238" s="306"/>
      <c r="F238" s="306"/>
      <c r="G238" s="306"/>
      <c r="H238" s="306"/>
      <c r="I238" s="306"/>
      <c r="J238" s="306"/>
      <c r="K238" s="306"/>
      <c r="L238" s="306"/>
      <c r="M238" s="306"/>
      <c r="N238" s="306"/>
      <c r="O238" s="306"/>
      <c r="P238" s="306"/>
      <c r="Q238" s="306"/>
      <c r="R238" s="306"/>
      <c r="S238" s="306"/>
      <c r="T238" s="306"/>
      <c r="U238" s="306"/>
      <c r="V238" s="306"/>
      <c r="W238" s="306"/>
      <c r="X238" s="306"/>
      <c r="Y238" s="306"/>
    </row>
    <row r="239" ht="12.75" customHeight="1">
      <c r="A239" s="306"/>
      <c r="B239" s="306"/>
      <c r="C239" s="306"/>
      <c r="D239" s="306"/>
      <c r="E239" s="306"/>
      <c r="F239" s="306"/>
      <c r="G239" s="306"/>
      <c r="H239" s="306"/>
      <c r="I239" s="306"/>
      <c r="J239" s="306"/>
      <c r="K239" s="306"/>
      <c r="L239" s="306"/>
      <c r="M239" s="306"/>
      <c r="N239" s="306"/>
      <c r="O239" s="306"/>
      <c r="P239" s="306"/>
      <c r="Q239" s="306"/>
      <c r="R239" s="306"/>
      <c r="S239" s="306"/>
      <c r="T239" s="306"/>
      <c r="U239" s="306"/>
      <c r="V239" s="306"/>
      <c r="W239" s="306"/>
      <c r="X239" s="306"/>
      <c r="Y239" s="306"/>
    </row>
    <row r="240" ht="12.75" customHeight="1">
      <c r="A240" s="306"/>
      <c r="B240" s="306"/>
      <c r="C240" s="306"/>
      <c r="D240" s="306"/>
      <c r="E240" s="306"/>
      <c r="F240" s="306"/>
      <c r="G240" s="306"/>
      <c r="H240" s="306"/>
      <c r="I240" s="306"/>
      <c r="J240" s="306"/>
      <c r="K240" s="306"/>
      <c r="L240" s="306"/>
      <c r="M240" s="306"/>
      <c r="N240" s="306"/>
      <c r="O240" s="306"/>
      <c r="P240" s="306"/>
      <c r="Q240" s="306"/>
      <c r="R240" s="306"/>
      <c r="S240" s="306"/>
      <c r="T240" s="306"/>
      <c r="U240" s="306"/>
      <c r="V240" s="306"/>
      <c r="W240" s="306"/>
      <c r="X240" s="306"/>
      <c r="Y240" s="306"/>
    </row>
    <row r="241" ht="12.75" customHeight="1">
      <c r="A241" s="306"/>
      <c r="B241" s="306"/>
      <c r="C241" s="306"/>
      <c r="D241" s="306"/>
      <c r="E241" s="306"/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  <c r="X241" s="306"/>
      <c r="Y241" s="306"/>
    </row>
    <row r="242" ht="12.75" customHeight="1">
      <c r="A242" s="306"/>
      <c r="B242" s="306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  <c r="X242" s="306"/>
      <c r="Y242" s="306"/>
    </row>
    <row r="243" ht="12.75" customHeight="1">
      <c r="A243" s="306"/>
      <c r="B243" s="306"/>
      <c r="C243" s="306"/>
      <c r="D243" s="306"/>
      <c r="E243" s="306"/>
      <c r="F243" s="306"/>
      <c r="G243" s="306"/>
      <c r="H243" s="306"/>
      <c r="I243" s="306"/>
      <c r="J243" s="306"/>
      <c r="K243" s="306"/>
      <c r="L243" s="306"/>
      <c r="M243" s="306"/>
      <c r="N243" s="306"/>
      <c r="O243" s="306"/>
      <c r="P243" s="306"/>
      <c r="Q243" s="306"/>
      <c r="R243" s="306"/>
      <c r="S243" s="306"/>
      <c r="T243" s="306"/>
      <c r="U243" s="306"/>
      <c r="V243" s="306"/>
      <c r="W243" s="306"/>
      <c r="X243" s="306"/>
      <c r="Y243" s="306"/>
    </row>
    <row r="244" ht="12.75" customHeight="1">
      <c r="A244" s="306"/>
      <c r="B244" s="306"/>
      <c r="C244" s="306"/>
      <c r="D244" s="306"/>
      <c r="E244" s="306"/>
      <c r="F244" s="306"/>
      <c r="G244" s="306"/>
      <c r="H244" s="306"/>
      <c r="I244" s="306"/>
      <c r="J244" s="306"/>
      <c r="K244" s="306"/>
      <c r="L244" s="306"/>
      <c r="M244" s="306"/>
      <c r="N244" s="306"/>
      <c r="O244" s="306"/>
      <c r="P244" s="306"/>
      <c r="Q244" s="306"/>
      <c r="R244" s="306"/>
      <c r="S244" s="306"/>
      <c r="T244" s="306"/>
      <c r="U244" s="306"/>
      <c r="V244" s="306"/>
      <c r="W244" s="306"/>
      <c r="X244" s="306"/>
      <c r="Y244" s="306"/>
    </row>
    <row r="245" ht="12.75" customHeight="1">
      <c r="A245" s="306"/>
      <c r="B245" s="306"/>
      <c r="C245" s="306"/>
      <c r="D245" s="306"/>
      <c r="E245" s="306"/>
      <c r="F245" s="306"/>
      <c r="G245" s="306"/>
      <c r="H245" s="306"/>
      <c r="I245" s="306"/>
      <c r="J245" s="306"/>
      <c r="K245" s="306"/>
      <c r="L245" s="306"/>
      <c r="M245" s="306"/>
      <c r="N245" s="306"/>
      <c r="O245" s="306"/>
      <c r="P245" s="306"/>
      <c r="Q245" s="306"/>
      <c r="R245" s="306"/>
      <c r="S245" s="306"/>
      <c r="T245" s="306"/>
      <c r="U245" s="306"/>
      <c r="V245" s="306"/>
      <c r="W245" s="306"/>
      <c r="X245" s="306"/>
      <c r="Y245" s="306"/>
    </row>
    <row r="246" ht="12.75" customHeight="1">
      <c r="A246" s="306"/>
      <c r="B246" s="306"/>
      <c r="C246" s="306"/>
      <c r="D246" s="306"/>
      <c r="E246" s="306"/>
      <c r="F246" s="306"/>
      <c r="G246" s="306"/>
      <c r="H246" s="306"/>
      <c r="I246" s="306"/>
      <c r="J246" s="306"/>
      <c r="K246" s="306"/>
      <c r="L246" s="306"/>
      <c r="M246" s="306"/>
      <c r="N246" s="306"/>
      <c r="O246" s="306"/>
      <c r="P246" s="306"/>
      <c r="Q246" s="306"/>
      <c r="R246" s="306"/>
      <c r="S246" s="306"/>
      <c r="T246" s="306"/>
      <c r="U246" s="306"/>
      <c r="V246" s="306"/>
      <c r="W246" s="306"/>
      <c r="X246" s="306"/>
      <c r="Y246" s="306"/>
    </row>
    <row r="247" ht="12.75" customHeight="1">
      <c r="A247" s="306"/>
      <c r="B247" s="306"/>
      <c r="C247" s="306"/>
      <c r="D247" s="306"/>
      <c r="E247" s="306"/>
      <c r="F247" s="306"/>
      <c r="G247" s="306"/>
      <c r="H247" s="306"/>
      <c r="I247" s="306"/>
      <c r="J247" s="306"/>
      <c r="K247" s="306"/>
      <c r="L247" s="306"/>
      <c r="M247" s="306"/>
      <c r="N247" s="306"/>
      <c r="O247" s="306"/>
      <c r="P247" s="306"/>
      <c r="Q247" s="306"/>
      <c r="R247" s="306"/>
      <c r="S247" s="306"/>
      <c r="T247" s="306"/>
      <c r="U247" s="306"/>
      <c r="V247" s="306"/>
      <c r="W247" s="306"/>
      <c r="X247" s="306"/>
      <c r="Y247" s="306"/>
    </row>
    <row r="248" ht="12.75" customHeight="1">
      <c r="A248" s="306"/>
      <c r="B248" s="306"/>
      <c r="C248" s="306"/>
      <c r="D248" s="306"/>
      <c r="E248" s="306"/>
      <c r="F248" s="306"/>
      <c r="G248" s="306"/>
      <c r="H248" s="306"/>
      <c r="I248" s="306"/>
      <c r="J248" s="306"/>
      <c r="K248" s="306"/>
      <c r="L248" s="306"/>
      <c r="M248" s="306"/>
      <c r="N248" s="306"/>
      <c r="O248" s="306"/>
      <c r="P248" s="306"/>
      <c r="Q248" s="306"/>
      <c r="R248" s="306"/>
      <c r="S248" s="306"/>
      <c r="T248" s="306"/>
      <c r="U248" s="306"/>
      <c r="V248" s="306"/>
      <c r="W248" s="306"/>
      <c r="X248" s="306"/>
      <c r="Y248" s="306"/>
    </row>
    <row r="249" ht="12.75" customHeight="1">
      <c r="A249" s="306"/>
      <c r="B249" s="306"/>
      <c r="C249" s="306"/>
      <c r="D249" s="306"/>
      <c r="E249" s="306"/>
      <c r="F249" s="306"/>
      <c r="G249" s="306"/>
      <c r="H249" s="306"/>
      <c r="I249" s="306"/>
      <c r="J249" s="306"/>
      <c r="K249" s="306"/>
      <c r="L249" s="306"/>
      <c r="M249" s="306"/>
      <c r="N249" s="306"/>
      <c r="O249" s="306"/>
      <c r="P249" s="306"/>
      <c r="Q249" s="306"/>
      <c r="R249" s="306"/>
      <c r="S249" s="306"/>
      <c r="T249" s="306"/>
      <c r="U249" s="306"/>
      <c r="V249" s="306"/>
      <c r="W249" s="306"/>
      <c r="X249" s="306"/>
      <c r="Y249" s="306"/>
    </row>
    <row r="250" ht="12.75" customHeight="1">
      <c r="A250" s="306"/>
      <c r="B250" s="306"/>
      <c r="C250" s="306"/>
      <c r="D250" s="306"/>
      <c r="E250" s="306"/>
      <c r="F250" s="306"/>
      <c r="G250" s="306"/>
      <c r="H250" s="306"/>
      <c r="I250" s="306"/>
      <c r="J250" s="306"/>
      <c r="K250" s="306"/>
      <c r="L250" s="306"/>
      <c r="M250" s="306"/>
      <c r="N250" s="306"/>
      <c r="O250" s="306"/>
      <c r="P250" s="306"/>
      <c r="Q250" s="306"/>
      <c r="R250" s="306"/>
      <c r="S250" s="306"/>
      <c r="T250" s="306"/>
      <c r="U250" s="306"/>
      <c r="V250" s="306"/>
      <c r="W250" s="306"/>
      <c r="X250" s="306"/>
      <c r="Y250" s="306"/>
    </row>
    <row r="251" ht="12.75" customHeight="1">
      <c r="A251" s="306"/>
      <c r="B251" s="306"/>
      <c r="C251" s="306"/>
      <c r="D251" s="306"/>
      <c r="E251" s="306"/>
      <c r="F251" s="306"/>
      <c r="G251" s="306"/>
      <c r="H251" s="306"/>
      <c r="I251" s="306"/>
      <c r="J251" s="306"/>
      <c r="K251" s="306"/>
      <c r="L251" s="306"/>
      <c r="M251" s="306"/>
      <c r="N251" s="306"/>
      <c r="O251" s="306"/>
      <c r="P251" s="306"/>
      <c r="Q251" s="306"/>
      <c r="R251" s="306"/>
      <c r="S251" s="306"/>
      <c r="T251" s="306"/>
      <c r="U251" s="306"/>
      <c r="V251" s="306"/>
      <c r="W251" s="306"/>
      <c r="X251" s="306"/>
      <c r="Y251" s="306"/>
    </row>
    <row r="252" ht="12.75" customHeight="1">
      <c r="A252" s="306"/>
      <c r="B252" s="306"/>
      <c r="C252" s="306"/>
      <c r="D252" s="306"/>
      <c r="E252" s="306"/>
      <c r="F252" s="306"/>
      <c r="G252" s="306"/>
      <c r="H252" s="306"/>
      <c r="I252" s="306"/>
      <c r="J252" s="306"/>
      <c r="K252" s="306"/>
      <c r="L252" s="306"/>
      <c r="M252" s="306"/>
      <c r="N252" s="306"/>
      <c r="O252" s="306"/>
      <c r="P252" s="306"/>
      <c r="Q252" s="306"/>
      <c r="R252" s="306"/>
      <c r="S252" s="306"/>
      <c r="T252" s="306"/>
      <c r="U252" s="306"/>
      <c r="V252" s="306"/>
      <c r="W252" s="306"/>
      <c r="X252" s="306"/>
      <c r="Y252" s="306"/>
    </row>
    <row r="253" ht="12.75" customHeight="1">
      <c r="A253" s="306"/>
      <c r="B253" s="306"/>
      <c r="C253" s="306"/>
      <c r="D253" s="306"/>
      <c r="E253" s="306"/>
      <c r="F253" s="306"/>
      <c r="G253" s="306"/>
      <c r="H253" s="306"/>
      <c r="I253" s="306"/>
      <c r="J253" s="306"/>
      <c r="K253" s="306"/>
      <c r="L253" s="306"/>
      <c r="M253" s="306"/>
      <c r="N253" s="306"/>
      <c r="O253" s="306"/>
      <c r="P253" s="306"/>
      <c r="Q253" s="306"/>
      <c r="R253" s="306"/>
      <c r="S253" s="306"/>
      <c r="T253" s="306"/>
      <c r="U253" s="306"/>
      <c r="V253" s="306"/>
      <c r="W253" s="306"/>
      <c r="X253" s="306"/>
      <c r="Y253" s="306"/>
    </row>
    <row r="254" ht="12.75" customHeight="1">
      <c r="A254" s="306"/>
      <c r="B254" s="306"/>
      <c r="C254" s="306"/>
      <c r="D254" s="306"/>
      <c r="E254" s="306"/>
      <c r="F254" s="306"/>
      <c r="G254" s="306"/>
      <c r="H254" s="306"/>
      <c r="I254" s="306"/>
      <c r="J254" s="306"/>
      <c r="K254" s="306"/>
      <c r="L254" s="306"/>
      <c r="M254" s="306"/>
      <c r="N254" s="306"/>
      <c r="O254" s="306"/>
      <c r="P254" s="306"/>
      <c r="Q254" s="306"/>
      <c r="R254" s="306"/>
      <c r="S254" s="306"/>
      <c r="T254" s="306"/>
      <c r="U254" s="306"/>
      <c r="V254" s="306"/>
      <c r="W254" s="306"/>
      <c r="X254" s="306"/>
      <c r="Y254" s="306"/>
    </row>
    <row r="255" ht="12.75" customHeight="1">
      <c r="A255" s="306"/>
      <c r="B255" s="306"/>
      <c r="C255" s="306"/>
      <c r="D255" s="306"/>
      <c r="E255" s="306"/>
      <c r="F255" s="306"/>
      <c r="G255" s="306"/>
      <c r="H255" s="306"/>
      <c r="I255" s="306"/>
      <c r="J255" s="306"/>
      <c r="K255" s="306"/>
      <c r="L255" s="306"/>
      <c r="M255" s="306"/>
      <c r="N255" s="306"/>
      <c r="O255" s="306"/>
      <c r="P255" s="306"/>
      <c r="Q255" s="306"/>
      <c r="R255" s="306"/>
      <c r="S255" s="306"/>
      <c r="T255" s="306"/>
      <c r="U255" s="306"/>
      <c r="V255" s="306"/>
      <c r="W255" s="306"/>
      <c r="X255" s="306"/>
      <c r="Y255" s="306"/>
    </row>
    <row r="256" ht="12.75" customHeight="1">
      <c r="A256" s="306"/>
      <c r="B256" s="306"/>
      <c r="C256" s="306"/>
      <c r="D256" s="306"/>
      <c r="E256" s="306"/>
      <c r="F256" s="306"/>
      <c r="G256" s="306"/>
      <c r="H256" s="306"/>
      <c r="I256" s="306"/>
      <c r="J256" s="306"/>
      <c r="K256" s="306"/>
      <c r="L256" s="306"/>
      <c r="M256" s="306"/>
      <c r="N256" s="306"/>
      <c r="O256" s="306"/>
      <c r="P256" s="306"/>
      <c r="Q256" s="306"/>
      <c r="R256" s="306"/>
      <c r="S256" s="306"/>
      <c r="T256" s="306"/>
      <c r="U256" s="306"/>
      <c r="V256" s="306"/>
      <c r="W256" s="306"/>
      <c r="X256" s="306"/>
      <c r="Y256" s="306"/>
    </row>
    <row r="257" ht="12.75" customHeight="1">
      <c r="A257" s="306"/>
      <c r="B257" s="306"/>
      <c r="C257" s="306"/>
      <c r="D257" s="306"/>
      <c r="E257" s="306"/>
      <c r="F257" s="306"/>
      <c r="G257" s="306"/>
      <c r="H257" s="306"/>
      <c r="I257" s="306"/>
      <c r="J257" s="306"/>
      <c r="K257" s="306"/>
      <c r="L257" s="306"/>
      <c r="M257" s="306"/>
      <c r="N257" s="306"/>
      <c r="O257" s="306"/>
      <c r="P257" s="306"/>
      <c r="Q257" s="306"/>
      <c r="R257" s="306"/>
      <c r="S257" s="306"/>
      <c r="T257" s="306"/>
      <c r="U257" s="306"/>
      <c r="V257" s="306"/>
      <c r="W257" s="306"/>
      <c r="X257" s="306"/>
      <c r="Y257" s="306"/>
    </row>
    <row r="258" ht="12.75" customHeight="1">
      <c r="A258" s="306"/>
      <c r="B258" s="306"/>
      <c r="C258" s="306"/>
      <c r="D258" s="306"/>
      <c r="E258" s="306"/>
      <c r="F258" s="306"/>
      <c r="G258" s="306"/>
      <c r="H258" s="306"/>
      <c r="I258" s="306"/>
      <c r="J258" s="306"/>
      <c r="K258" s="306"/>
      <c r="L258" s="306"/>
      <c r="M258" s="306"/>
      <c r="N258" s="306"/>
      <c r="O258" s="306"/>
      <c r="P258" s="306"/>
      <c r="Q258" s="306"/>
      <c r="R258" s="306"/>
      <c r="S258" s="306"/>
      <c r="T258" s="306"/>
      <c r="U258" s="306"/>
      <c r="V258" s="306"/>
      <c r="W258" s="306"/>
      <c r="X258" s="306"/>
      <c r="Y258" s="306"/>
    </row>
    <row r="259" ht="12.75" customHeight="1">
      <c r="A259" s="306"/>
      <c r="B259" s="306"/>
      <c r="C259" s="306"/>
      <c r="D259" s="306"/>
      <c r="E259" s="306"/>
      <c r="F259" s="306"/>
      <c r="G259" s="306"/>
      <c r="H259" s="306"/>
      <c r="I259" s="306"/>
      <c r="J259" s="306"/>
      <c r="K259" s="306"/>
      <c r="L259" s="306"/>
      <c r="M259" s="306"/>
      <c r="N259" s="306"/>
      <c r="O259" s="306"/>
      <c r="P259" s="306"/>
      <c r="Q259" s="306"/>
      <c r="R259" s="306"/>
      <c r="S259" s="306"/>
      <c r="T259" s="306"/>
      <c r="U259" s="306"/>
      <c r="V259" s="306"/>
      <c r="W259" s="306"/>
      <c r="X259" s="306"/>
      <c r="Y259" s="306"/>
    </row>
    <row r="260" ht="12.75" customHeight="1">
      <c r="A260" s="306"/>
      <c r="B260" s="306"/>
      <c r="C260" s="306"/>
      <c r="D260" s="306"/>
      <c r="E260" s="306"/>
      <c r="F260" s="306"/>
      <c r="G260" s="306"/>
      <c r="H260" s="306"/>
      <c r="I260" s="306"/>
      <c r="J260" s="306"/>
      <c r="K260" s="306"/>
      <c r="L260" s="306"/>
      <c r="M260" s="306"/>
      <c r="N260" s="306"/>
      <c r="O260" s="306"/>
      <c r="P260" s="306"/>
      <c r="Q260" s="306"/>
      <c r="R260" s="306"/>
      <c r="S260" s="306"/>
      <c r="T260" s="306"/>
      <c r="U260" s="306"/>
      <c r="V260" s="306"/>
      <c r="W260" s="306"/>
      <c r="X260" s="306"/>
      <c r="Y260" s="306"/>
    </row>
    <row r="261" ht="12.75" customHeight="1">
      <c r="A261" s="306"/>
      <c r="B261" s="306"/>
      <c r="C261" s="306"/>
      <c r="D261" s="306"/>
      <c r="E261" s="306"/>
      <c r="F261" s="306"/>
      <c r="G261" s="306"/>
      <c r="H261" s="306"/>
      <c r="I261" s="306"/>
      <c r="J261" s="306"/>
      <c r="K261" s="306"/>
      <c r="L261" s="306"/>
      <c r="M261" s="306"/>
      <c r="N261" s="306"/>
      <c r="O261" s="306"/>
      <c r="P261" s="306"/>
      <c r="Q261" s="306"/>
      <c r="R261" s="306"/>
      <c r="S261" s="306"/>
      <c r="T261" s="306"/>
      <c r="U261" s="306"/>
      <c r="V261" s="306"/>
      <c r="W261" s="306"/>
      <c r="X261" s="306"/>
      <c r="Y261" s="306"/>
    </row>
    <row r="262" ht="12.75" customHeight="1">
      <c r="A262" s="306"/>
      <c r="B262" s="306"/>
      <c r="C262" s="306"/>
      <c r="D262" s="306"/>
      <c r="E262" s="306"/>
      <c r="F262" s="306"/>
      <c r="G262" s="306"/>
      <c r="H262" s="306"/>
      <c r="I262" s="306"/>
      <c r="J262" s="306"/>
      <c r="K262" s="306"/>
      <c r="L262" s="306"/>
      <c r="M262" s="306"/>
      <c r="N262" s="306"/>
      <c r="O262" s="306"/>
      <c r="P262" s="306"/>
      <c r="Q262" s="306"/>
      <c r="R262" s="306"/>
      <c r="S262" s="306"/>
      <c r="T262" s="306"/>
      <c r="U262" s="306"/>
      <c r="V262" s="306"/>
      <c r="W262" s="306"/>
      <c r="X262" s="306"/>
      <c r="Y262" s="306"/>
    </row>
    <row r="263" ht="12.75" customHeight="1">
      <c r="A263" s="306"/>
      <c r="B263" s="306"/>
      <c r="C263" s="306"/>
      <c r="D263" s="306"/>
      <c r="E263" s="306"/>
      <c r="F263" s="306"/>
      <c r="G263" s="306"/>
      <c r="H263" s="306"/>
      <c r="I263" s="306"/>
      <c r="J263" s="306"/>
      <c r="K263" s="306"/>
      <c r="L263" s="306"/>
      <c r="M263" s="306"/>
      <c r="N263" s="306"/>
      <c r="O263" s="306"/>
      <c r="P263" s="306"/>
      <c r="Q263" s="306"/>
      <c r="R263" s="306"/>
      <c r="S263" s="306"/>
      <c r="T263" s="306"/>
      <c r="U263" s="306"/>
      <c r="V263" s="306"/>
      <c r="W263" s="306"/>
      <c r="X263" s="306"/>
      <c r="Y263" s="306"/>
    </row>
    <row r="264" ht="12.75" customHeight="1">
      <c r="A264" s="306"/>
      <c r="B264" s="306"/>
      <c r="C264" s="306"/>
      <c r="D264" s="306"/>
      <c r="E264" s="306"/>
      <c r="F264" s="306"/>
      <c r="G264" s="306"/>
      <c r="H264" s="306"/>
      <c r="I264" s="306"/>
      <c r="J264" s="306"/>
      <c r="K264" s="306"/>
      <c r="L264" s="306"/>
      <c r="M264" s="306"/>
      <c r="N264" s="306"/>
      <c r="O264" s="306"/>
      <c r="P264" s="306"/>
      <c r="Q264" s="306"/>
      <c r="R264" s="306"/>
      <c r="S264" s="306"/>
      <c r="T264" s="306"/>
      <c r="U264" s="306"/>
      <c r="V264" s="306"/>
      <c r="W264" s="306"/>
      <c r="X264" s="306"/>
      <c r="Y264" s="306"/>
    </row>
  </sheetData>
  <mergeCells count="3">
    <mergeCell ref="B3:C3"/>
    <mergeCell ref="D3:E3"/>
    <mergeCell ref="D40:F40"/>
  </mergeCells>
  <printOptions/>
  <pageMargins bottom="0.75" footer="0.0" header="0.0" left="0.7" right="0.7" top="0.75"/>
  <pageSetup fitToHeight="0" paperSize="9" orientation="landscape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1C232"/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9.86"/>
    <col customWidth="1" min="2" max="2" width="19.71"/>
    <col customWidth="1" min="3" max="5" width="14.43"/>
    <col customWidth="1" min="6" max="6" width="18.14"/>
    <col customWidth="1" min="7" max="7" width="15.29"/>
  </cols>
  <sheetData>
    <row r="1">
      <c r="A1" s="320"/>
      <c r="B1" s="320" t="s">
        <v>488</v>
      </c>
      <c r="F1" s="306"/>
      <c r="G1" s="398" t="str">
        <f>InfoInicial!E1</f>
        <v>10</v>
      </c>
      <c r="H1" s="321"/>
      <c r="I1" s="306"/>
      <c r="J1" s="306"/>
    </row>
    <row r="2">
      <c r="A2" s="399"/>
      <c r="B2" s="400" t="s">
        <v>590</v>
      </c>
      <c r="C2" s="401"/>
      <c r="D2" s="401"/>
      <c r="E2" s="401"/>
      <c r="F2" s="401"/>
      <c r="G2" s="401"/>
      <c r="H2" s="402"/>
      <c r="I2" s="306"/>
      <c r="J2" s="306"/>
    </row>
    <row r="3">
      <c r="A3" s="403"/>
      <c r="B3" s="404" t="s">
        <v>591</v>
      </c>
      <c r="C3" s="405" t="s">
        <v>592</v>
      </c>
      <c r="D3" s="406"/>
      <c r="E3" s="405" t="s">
        <v>593</v>
      </c>
      <c r="F3" s="406"/>
      <c r="G3" s="405" t="s">
        <v>594</v>
      </c>
      <c r="H3" s="407"/>
      <c r="I3" s="306"/>
      <c r="J3" s="306"/>
    </row>
    <row r="4">
      <c r="A4" s="403"/>
      <c r="B4" s="404" t="s">
        <v>573</v>
      </c>
      <c r="C4" s="408" t="s">
        <v>595</v>
      </c>
      <c r="D4" s="408" t="s">
        <v>596</v>
      </c>
      <c r="E4" s="408" t="s">
        <v>595</v>
      </c>
      <c r="F4" s="408" t="s">
        <v>596</v>
      </c>
      <c r="G4" s="408" t="s">
        <v>595</v>
      </c>
      <c r="H4" s="409" t="s">
        <v>596</v>
      </c>
      <c r="I4" s="306"/>
      <c r="J4" s="306"/>
    </row>
    <row r="5">
      <c r="A5" s="410"/>
      <c r="B5" s="367" t="s">
        <v>597</v>
      </c>
      <c r="C5" s="393" t="str">
        <f>'E-Cal Inv.'!I8</f>
        <v> $ 28,088,602.88 </v>
      </c>
      <c r="D5" s="411" t="str">
        <f t="shared" ref="D5:D7" si="1">C5/$C$8</f>
        <v>75%</v>
      </c>
      <c r="E5" s="393" t="str">
        <f>('E-Inv AF y Am'!B47+'E-Inv AF y Am'!B51+'E-Inv AF y Am'!B46+'E-Inv AF y Am'!B45)</f>
        <v> $ 16,825,221.60 </v>
      </c>
      <c r="F5" s="411" t="str">
        <f>E5/C8</f>
        <v>45%</v>
      </c>
      <c r="G5" s="393" t="str">
        <f t="shared" ref="G5:G7" si="2">C5-E5</f>
        <v> $ 11,263,381.28 </v>
      </c>
      <c r="H5" s="412" t="str">
        <f>G5/C8</f>
        <v>30%</v>
      </c>
      <c r="I5" s="306"/>
      <c r="J5" s="306"/>
      <c r="K5" s="306"/>
    </row>
    <row r="6">
      <c r="A6" s="306"/>
      <c r="B6" s="364" t="s">
        <v>598</v>
      </c>
      <c r="C6" s="393" t="str">
        <f>'E-Cal Inv.'!I18</f>
        <v> $ 3,295,484.63 </v>
      </c>
      <c r="D6" s="411" t="str">
        <f t="shared" si="1"/>
        <v>9%</v>
      </c>
      <c r="E6" s="393" t="str">
        <f>'E-Cal Inv.'!I14+'E-Cal Inv.'!I15</f>
        <v> $ 1,536,034.95 </v>
      </c>
      <c r="F6" s="411" t="str">
        <f>E6/C8</f>
        <v>4%</v>
      </c>
      <c r="G6" s="393" t="str">
        <f t="shared" si="2"/>
        <v> $ 1,759,449.68 </v>
      </c>
      <c r="H6" s="412" t="str">
        <f>G6/C8</f>
        <v>5%</v>
      </c>
      <c r="I6" s="306"/>
      <c r="J6" s="306"/>
      <c r="K6" s="306"/>
    </row>
    <row r="7">
      <c r="A7" s="306"/>
      <c r="B7" s="364" t="s">
        <v>599</v>
      </c>
      <c r="C7" s="393" t="str">
        <f>'E-Cal Inv.'!I23</f>
        <v> $ 6,236,087.53 </v>
      </c>
      <c r="D7" s="411" t="str">
        <f t="shared" si="1"/>
        <v>17%</v>
      </c>
      <c r="E7" s="393">
        <v>0.0</v>
      </c>
      <c r="F7" s="411" t="str">
        <f>E7/C8</f>
        <v>0%</v>
      </c>
      <c r="G7" s="393" t="str">
        <f t="shared" si="2"/>
        <v> $ 6,236,087.53 </v>
      </c>
      <c r="H7" s="412" t="str">
        <f>G7/C8</f>
        <v>17%</v>
      </c>
      <c r="I7" s="306"/>
      <c r="J7" s="306" t="s">
        <v>600</v>
      </c>
      <c r="K7" t="s">
        <v>601</v>
      </c>
      <c r="L7">
        <v>0.15</v>
      </c>
      <c r="M7" t="s">
        <v>602</v>
      </c>
    </row>
    <row r="8">
      <c r="A8" s="201"/>
      <c r="B8" s="375" t="s">
        <v>282</v>
      </c>
      <c r="C8" s="413" t="str">
        <f t="shared" ref="C8:E8" si="3">SUM(C5:C7)</f>
        <v> $ 37,620,175.04 </v>
      </c>
      <c r="D8" s="414" t="str">
        <f t="shared" si="3"/>
        <v>100%</v>
      </c>
      <c r="E8" s="413" t="str">
        <f t="shared" si="3"/>
        <v> $ 18,361,256.55 </v>
      </c>
      <c r="F8" s="414" t="str">
        <f>E8/C8</f>
        <v>49%</v>
      </c>
      <c r="G8" s="413" t="str">
        <f t="shared" ref="G8:H8" si="4">SUM(G5:G7)</f>
        <v> $ 19,258,918.49 </v>
      </c>
      <c r="H8" s="415" t="str">
        <f t="shared" si="4"/>
        <v>51%</v>
      </c>
      <c r="I8" s="306"/>
      <c r="J8" s="306"/>
      <c r="K8" s="311"/>
      <c r="M8" t="s">
        <v>603</v>
      </c>
    </row>
    <row r="9">
      <c r="A9" s="201"/>
      <c r="B9" s="201"/>
      <c r="C9" s="397"/>
      <c r="D9" s="416"/>
      <c r="E9" s="397"/>
      <c r="F9" s="397"/>
      <c r="G9" s="397"/>
      <c r="H9" s="397"/>
      <c r="I9" s="306"/>
      <c r="J9" s="306" t="s">
        <v>604</v>
      </c>
    </row>
    <row r="11">
      <c r="B11" s="417" t="s">
        <v>605</v>
      </c>
      <c r="C11" s="417" t="s">
        <v>8</v>
      </c>
      <c r="D11" s="417" t="s">
        <v>606</v>
      </c>
      <c r="E11" s="417" t="s">
        <v>607</v>
      </c>
      <c r="F11" s="417" t="s">
        <v>608</v>
      </c>
      <c r="G11" s="417" t="s">
        <v>609</v>
      </c>
    </row>
    <row r="12">
      <c r="B12" s="302">
        <v>30.0</v>
      </c>
      <c r="C12" s="302">
        <v>6.0</v>
      </c>
      <c r="D12" s="302">
        <v>1.0</v>
      </c>
      <c r="E12" s="304" t="str">
        <f>$E$32</f>
        <v> $663,856.29</v>
      </c>
      <c r="F12" s="304" t="str">
        <f>E12*L7/6</f>
        <v> $16,596.41</v>
      </c>
      <c r="G12" s="302"/>
    </row>
    <row r="13">
      <c r="B13" s="302">
        <v>31.0</v>
      </c>
      <c r="C13" s="302">
        <v>12.0</v>
      </c>
      <c r="D13" s="302">
        <v>1.0</v>
      </c>
      <c r="E13" s="418" t="str">
        <f t="shared" ref="E13:E21" si="5">$E$6</f>
        <v> $ 1,536,034.95 </v>
      </c>
      <c r="F13" s="304" t="str">
        <f t="shared" ref="F13:F21" si="6">E12*$L$7/2</f>
        <v> $49,789.22</v>
      </c>
      <c r="G13" s="304" t="str">
        <f>F12+F13</f>
        <v> $66,385.63</v>
      </c>
    </row>
    <row r="14">
      <c r="B14" s="302">
        <v>30.0</v>
      </c>
      <c r="C14" s="302">
        <v>6.0</v>
      </c>
      <c r="D14" s="302">
        <v>2.0</v>
      </c>
      <c r="E14" s="418" t="str">
        <f t="shared" si="5"/>
        <v> $ 1,536,034.95 </v>
      </c>
      <c r="F14" s="302" t="str">
        <f t="shared" si="6"/>
        <v>115202.6211</v>
      </c>
      <c r="G14" s="302"/>
    </row>
    <row r="15">
      <c r="B15" s="302">
        <v>31.0</v>
      </c>
      <c r="C15" s="302">
        <v>12.0</v>
      </c>
      <c r="D15" s="302">
        <v>2.0</v>
      </c>
      <c r="E15" s="418" t="str">
        <f t="shared" si="5"/>
        <v> $ 1,536,034.95 </v>
      </c>
      <c r="F15" s="302" t="str">
        <f t="shared" si="6"/>
        <v>115202.6211</v>
      </c>
      <c r="G15" s="302" t="str">
        <f>F14+F15</f>
        <v>230405.2421</v>
      </c>
    </row>
    <row r="16">
      <c r="B16" s="302">
        <v>30.0</v>
      </c>
      <c r="C16" s="302">
        <v>6.0</v>
      </c>
      <c r="D16" s="302">
        <v>3.0</v>
      </c>
      <c r="E16" s="418" t="str">
        <f t="shared" si="5"/>
        <v> $ 1,536,034.95 </v>
      </c>
      <c r="F16" s="302" t="str">
        <f t="shared" si="6"/>
        <v>115202.6211</v>
      </c>
      <c r="G16" s="302"/>
    </row>
    <row r="17">
      <c r="B17" s="302">
        <v>31.0</v>
      </c>
      <c r="C17" s="302">
        <v>12.0</v>
      </c>
      <c r="D17" s="302">
        <v>3.0</v>
      </c>
      <c r="E17" s="418" t="str">
        <f t="shared" si="5"/>
        <v> $ 1,536,034.95 </v>
      </c>
      <c r="F17" s="302" t="str">
        <f t="shared" si="6"/>
        <v>115202.6211</v>
      </c>
      <c r="G17" s="302" t="str">
        <f>F16+F17</f>
        <v>230405.2421</v>
      </c>
    </row>
    <row r="18">
      <c r="B18" s="302">
        <v>30.0</v>
      </c>
      <c r="C18" s="302">
        <v>6.0</v>
      </c>
      <c r="D18" s="302">
        <v>4.0</v>
      </c>
      <c r="E18" s="418" t="str">
        <f t="shared" si="5"/>
        <v> $ 1,536,034.95 </v>
      </c>
      <c r="F18" s="302" t="str">
        <f t="shared" si="6"/>
        <v>115202.6211</v>
      </c>
      <c r="G18" s="302"/>
    </row>
    <row r="19">
      <c r="B19" s="302">
        <v>31.0</v>
      </c>
      <c r="C19" s="302">
        <v>12.0</v>
      </c>
      <c r="D19" s="302">
        <v>4.0</v>
      </c>
      <c r="E19" s="418" t="str">
        <f t="shared" si="5"/>
        <v> $ 1,536,034.95 </v>
      </c>
      <c r="F19" s="302" t="str">
        <f t="shared" si="6"/>
        <v>115202.6211</v>
      </c>
      <c r="G19" s="302" t="str">
        <f>F18+F19</f>
        <v>230405.2421</v>
      </c>
    </row>
    <row r="20">
      <c r="B20" s="302">
        <v>30.0</v>
      </c>
      <c r="C20" s="302">
        <v>6.0</v>
      </c>
      <c r="D20" s="302">
        <v>5.0</v>
      </c>
      <c r="E20" s="418" t="str">
        <f t="shared" si="5"/>
        <v> $ 1,536,034.95 </v>
      </c>
      <c r="F20" s="302" t="str">
        <f t="shared" si="6"/>
        <v>115202.6211</v>
      </c>
      <c r="G20" s="302"/>
    </row>
    <row r="21" ht="15.75" customHeight="1">
      <c r="B21" s="302">
        <v>31.0</v>
      </c>
      <c r="C21" s="302">
        <v>12.0</v>
      </c>
      <c r="D21" s="302">
        <v>5.0</v>
      </c>
      <c r="E21" s="418" t="str">
        <f t="shared" si="5"/>
        <v> $ 1,536,034.95 </v>
      </c>
      <c r="F21" s="302" t="str">
        <f t="shared" si="6"/>
        <v>115202.6211</v>
      </c>
      <c r="G21" s="302" t="str">
        <f>F20+F21</f>
        <v>230405.2421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>
      <c r="B27" s="140" t="s">
        <v>610</v>
      </c>
      <c r="C27" s="140" t="s">
        <v>611</v>
      </c>
      <c r="D27" s="140" t="s">
        <v>612</v>
      </c>
      <c r="E27" s="140" t="s">
        <v>613</v>
      </c>
      <c r="F27" s="140" t="s">
        <v>614</v>
      </c>
      <c r="G27" s="140" t="s">
        <v>615</v>
      </c>
    </row>
    <row r="28" ht="15.75" customHeight="1">
      <c r="B28" s="419" t="s">
        <v>400</v>
      </c>
      <c r="C28" s="420">
        <v>758.0925</v>
      </c>
      <c r="D28" s="243" t="str">
        <f>$C$28*'Conformación de Datos'!$I$110</f>
        <v> $1,327,712.59</v>
      </c>
      <c r="E28" s="243" t="str">
        <f t="shared" ref="E28:E29" si="7">D28/2</f>
        <v> $663,856.29</v>
      </c>
      <c r="F28" s="302" t="s">
        <v>407</v>
      </c>
      <c r="G28" s="243" t="str">
        <f t="shared" ref="G28:G29" si="8">$E$28*($L$7/12*6)</f>
        <v> $49,789.22</v>
      </c>
    </row>
    <row r="29" ht="15.75" customHeight="1">
      <c r="B29" s="419" t="s">
        <v>402</v>
      </c>
      <c r="C29" s="420">
        <v>758.0925</v>
      </c>
      <c r="D29" s="243" t="str">
        <f>$C$28*'Conformación de Datos'!$I$110</f>
        <v> $1,327,712.59</v>
      </c>
      <c r="E29" s="243" t="str">
        <f t="shared" si="7"/>
        <v> $663,856.29</v>
      </c>
      <c r="F29" s="302" t="s">
        <v>408</v>
      </c>
      <c r="G29" s="243" t="str">
        <f t="shared" si="8"/>
        <v> $49,789.22</v>
      </c>
    </row>
    <row r="30" ht="15.75" customHeight="1">
      <c r="D30" s="421" t="str">
        <f t="shared" ref="D30:E30" si="9">D28+D29</f>
        <v> $2,655,425.18</v>
      </c>
      <c r="E30" s="421" t="str">
        <f t="shared" si="9"/>
        <v> $1,327,712.59</v>
      </c>
      <c r="F30" s="201"/>
      <c r="G30" s="421" t="str">
        <f>G28+G29</f>
        <v> $99,578.44</v>
      </c>
    </row>
    <row r="31" ht="15.75" customHeight="1"/>
    <row r="32" ht="15.75" customHeight="1">
      <c r="B32" t="s">
        <v>616</v>
      </c>
      <c r="E32" s="218" t="str">
        <f>G30/L7</f>
        <v> $663,856.29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</sheetData>
  <mergeCells count="3">
    <mergeCell ref="C3:D3"/>
    <mergeCell ref="E3:F3"/>
    <mergeCell ref="G3:H3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0.86"/>
    <col customWidth="1" min="2" max="2" width="35.29"/>
    <col customWidth="1" min="3" max="6" width="14.71"/>
    <col customWidth="1" min="7" max="7" width="17.29"/>
    <col customWidth="1" min="8" max="10" width="9.0"/>
    <col customWidth="1" min="11" max="11" width="16.86"/>
    <col customWidth="1" min="12" max="12" width="40.0"/>
    <col customWidth="1" min="13" max="26" width="9.0"/>
  </cols>
  <sheetData>
    <row r="1" ht="12.75" customHeigh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ht="12.75" customHeigh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</row>
    <row r="3" ht="14.25" customHeight="1">
      <c r="A3" s="320" t="s">
        <v>488</v>
      </c>
      <c r="E3" s="321" t="str">
        <f>InfoInicial!E1</f>
        <v>10</v>
      </c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</row>
    <row r="4" ht="16.5" customHeight="1">
      <c r="A4" s="422" t="s">
        <v>617</v>
      </c>
      <c r="B4" s="423"/>
      <c r="C4" s="423"/>
      <c r="D4" s="423"/>
      <c r="E4" s="423"/>
      <c r="F4" s="424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</row>
    <row r="5" ht="12.75" customHeight="1">
      <c r="A5" s="404"/>
      <c r="B5" s="408" t="s">
        <v>618</v>
      </c>
      <c r="C5" s="408"/>
      <c r="D5" s="408"/>
      <c r="E5" s="408"/>
      <c r="F5" s="409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</row>
    <row r="6" ht="13.5" customHeight="1">
      <c r="A6" s="404" t="s">
        <v>591</v>
      </c>
      <c r="B6" s="358" t="s">
        <v>44</v>
      </c>
      <c r="C6" s="358" t="s">
        <v>430</v>
      </c>
      <c r="D6" s="358" t="s">
        <v>431</v>
      </c>
      <c r="E6" s="358" t="s">
        <v>432</v>
      </c>
      <c r="F6" s="359" t="s">
        <v>433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</row>
    <row r="7" ht="13.5" customHeight="1">
      <c r="A7" s="360" t="s">
        <v>619</v>
      </c>
      <c r="B7" s="425" t="str">
        <f>'Conformación de Datos'!F172</f>
        <v> $ 2,093,197.91 </v>
      </c>
      <c r="C7" s="425" t="str">
        <f>'Conformación de Datos'!F112</f>
        <v> $ 2,655,433.94 </v>
      </c>
      <c r="D7" s="425" t="str">
        <f>'Conformación de Datos'!I107</f>
        <v> $ 2,655,433.94 </v>
      </c>
      <c r="E7" s="425" t="str">
        <f>'Conformación de Datos'!I107</f>
        <v> $ 2,655,433.94 </v>
      </c>
      <c r="F7" s="425" t="str">
        <f>'Conformación de Datos'!I107</f>
        <v> $ 2,655,433.94 </v>
      </c>
      <c r="G7" s="306" t="s">
        <v>620</v>
      </c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</row>
    <row r="8" ht="12.75" customHeight="1">
      <c r="A8" s="364" t="s">
        <v>621</v>
      </c>
      <c r="B8" s="393" t="str">
        <f>0.9*C8</f>
        <v> $ 2,037,191.51 </v>
      </c>
      <c r="C8" s="393" t="str">
        <f>((5*'Conformación de Datos'!$H$179)+(1*'Conformación de Datos'!$H$180))*12</f>
        <v> $ 2,263,546.12 </v>
      </c>
      <c r="D8" s="393" t="str">
        <f>C8</f>
        <v> $ 2,263,546.12 </v>
      </c>
      <c r="E8" s="393" t="str">
        <f>C8</f>
        <v> $ 2,263,546.12 </v>
      </c>
      <c r="F8" s="393" t="str">
        <f>C8</f>
        <v> $ 2,263,546.12 </v>
      </c>
      <c r="G8" s="306" t="s">
        <v>620</v>
      </c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</row>
    <row r="9" ht="12.75" customHeight="1">
      <c r="A9" s="364" t="s">
        <v>622</v>
      </c>
      <c r="B9" s="393"/>
      <c r="C9" s="393"/>
      <c r="D9" s="393"/>
      <c r="E9" s="393"/>
      <c r="F9" s="38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</row>
    <row r="10" ht="12.75" customHeight="1">
      <c r="A10" s="364" t="s">
        <v>623</v>
      </c>
      <c r="B10" s="393" t="str">
        <f>('E-Inv AF y Am'!$D$57)*'E-Inv AF y Am'!$M$50</f>
        <v> $ 1,805,435.54 </v>
      </c>
      <c r="C10" s="393" t="str">
        <f>('E-Inv AF y Am'!$D$57)*'E-Inv AF y Am'!$M$50</f>
        <v> $ 1,805,435.54 </v>
      </c>
      <c r="D10" s="393" t="str">
        <f>('E-Inv AF y Am'!$D$57)*'E-Inv AF y Am'!$M$50</f>
        <v> $ 1,805,435.54 </v>
      </c>
      <c r="E10" s="393" t="str">
        <f>('E-Inv AF y Am'!$D$57)*'E-Inv AF y Am'!$M$50</f>
        <v> $ 1,805,435.54 </v>
      </c>
      <c r="F10" s="393" t="str">
        <f>('E-Inv AF y Am'!$D$57)*'E-Inv AF y Am'!$M$50</f>
        <v> $ 1,805,435.54 </v>
      </c>
      <c r="G10" s="306" t="s">
        <v>624</v>
      </c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</row>
    <row r="11" ht="12.75" customHeight="1">
      <c r="A11" s="364" t="s">
        <v>625</v>
      </c>
      <c r="B11" s="393" t="str">
        <f>(('Conformación de Datos'!H186*'Conformación de Datos'!B186)+'Conformación de Datos'!H187+'Conformación de Datos'!H189)*0.9</f>
        <v> $ 88,196.71 </v>
      </c>
      <c r="C11" s="393" t="str">
        <f>B11/0.9</f>
        <v> $ 97,996.35 </v>
      </c>
      <c r="D11" s="393" t="str">
        <f>C11</f>
        <v> $ 97,996.35 </v>
      </c>
      <c r="E11" s="393" t="str">
        <f>C11</f>
        <v> $ 97,996.35 </v>
      </c>
      <c r="F11" s="393" t="str">
        <f>C11</f>
        <v> $ 97,996.35 </v>
      </c>
      <c r="G11" s="306" t="s">
        <v>624</v>
      </c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</row>
    <row r="12" ht="12.75" customHeight="1">
      <c r="A12" s="364" t="s">
        <v>626</v>
      </c>
      <c r="B12" s="393" t="str">
        <f>'Conformación de Datos'!H211</f>
        <v> $ 356,458.03 </v>
      </c>
      <c r="C12" s="393" t="str">
        <f>'Conformación de Datos'!$H$211</f>
        <v> $ 356,458.03 </v>
      </c>
      <c r="D12" s="393" t="str">
        <f>'Conformación de Datos'!$H$211</f>
        <v> $ 356,458.03 </v>
      </c>
      <c r="E12" s="393" t="str">
        <f>'Conformación de Datos'!$H$211</f>
        <v> $ 356,458.03 </v>
      </c>
      <c r="F12" s="393" t="str">
        <f>'Conformación de Datos'!$H$211</f>
        <v> $ 356,458.03 </v>
      </c>
      <c r="G12" s="306" t="s">
        <v>620</v>
      </c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</row>
    <row r="13" ht="12.75" customHeight="1">
      <c r="A13" s="364" t="s">
        <v>627</v>
      </c>
      <c r="B13" s="393" t="str">
        <f>C13*0.8</f>
        <v> $ 104,025.35 </v>
      </c>
      <c r="C13" s="393" t="str">
        <f>'Energìa e Impuestos'!F33*'Energìa e Impuestos'!F34*12</f>
        <v> $ 130,031.68 </v>
      </c>
      <c r="D13" s="393" t="str">
        <f>'Energìa e Impuestos'!F33*'Energìa e Impuestos'!F34*12</f>
        <v> $ 130,031.68 </v>
      </c>
      <c r="E13" s="393" t="str">
        <f>'Energìa e Impuestos'!F33*'Energìa e Impuestos'!F34*12</f>
        <v> $ 130,031.68 </v>
      </c>
      <c r="F13" s="393" t="str">
        <f>'Energìa e Impuestos'!F33*'Energìa e Impuestos'!F34*12</f>
        <v> $ 130,031.68 </v>
      </c>
      <c r="G13" s="306" t="s">
        <v>620</v>
      </c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</row>
    <row r="14" ht="12.75" customHeight="1">
      <c r="A14" s="364" t="s">
        <v>628</v>
      </c>
      <c r="B14" s="393" t="s">
        <v>240</v>
      </c>
      <c r="C14" s="393" t="s">
        <v>240</v>
      </c>
      <c r="D14" s="393" t="s">
        <v>240</v>
      </c>
      <c r="E14" s="393" t="s">
        <v>240</v>
      </c>
      <c r="F14" s="426" t="s">
        <v>240</v>
      </c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</row>
    <row r="15" ht="12.75" customHeight="1">
      <c r="A15" s="364" t="s">
        <v>629</v>
      </c>
      <c r="B15" s="393" t="str">
        <f>'Energìa e Impuestos'!K23*'Energìa e Impuestos'!M23*'E-Inv AF y Am'!B8+'Energìa e Impuestos'!K24*'Energìa e Impuestos'!M24*'E-Inv AF y Am'!B8</f>
        <v> $ 8,808.30 </v>
      </c>
      <c r="C15" s="393" t="str">
        <f>'Energìa e Impuestos'!K23*'Energìa e Impuestos'!M23*'E-Inv AF y Am'!B8+'Energìa e Impuestos'!K24*'Energìa e Impuestos'!M24*'E-Inv AF y Am'!B8</f>
        <v> $ 8,808.30 </v>
      </c>
      <c r="D15" s="393" t="str">
        <f>'Energìa e Impuestos'!K23*'Energìa e Impuestos'!M23*'E-Inv AF y Am'!B8+'Energìa e Impuestos'!K24*'Energìa e Impuestos'!M24*'E-Inv AF y Am'!B8</f>
        <v> $ 8,808.30 </v>
      </c>
      <c r="E15" s="393" t="str">
        <f>'Energìa e Impuestos'!K23*'Energìa e Impuestos'!M23*'E-Inv AF y Am'!B8+'Energìa e Impuestos'!K24*'Energìa e Impuestos'!M24*'E-Inv AF y Am'!B8</f>
        <v> $ 8,808.30 </v>
      </c>
      <c r="F15" s="393" t="str">
        <f>'Energìa e Impuestos'!K23*'Energìa e Impuestos'!M23*'E-Inv AF y Am'!B8+'Energìa e Impuestos'!K24*'Energìa e Impuestos'!M24*'E-Inv AF y Am'!B8</f>
        <v> $ 8,808.30 </v>
      </c>
      <c r="G15" s="306" t="s">
        <v>624</v>
      </c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</row>
    <row r="16" ht="12.75" customHeight="1">
      <c r="A16" s="364" t="s">
        <v>509</v>
      </c>
      <c r="B16" s="427" t="str">
        <f t="shared" ref="B16:F16" si="1">0.09*(SUM(B7:B15))</f>
        <v> $ 584,398.20 </v>
      </c>
      <c r="C16" s="393" t="str">
        <f t="shared" si="1"/>
        <v> $ 658,593.90 </v>
      </c>
      <c r="D16" s="393" t="str">
        <f t="shared" si="1"/>
        <v> $ 658,593.90 </v>
      </c>
      <c r="E16" s="393" t="str">
        <f t="shared" si="1"/>
        <v> $ 658,593.90 </v>
      </c>
      <c r="F16" s="393" t="str">
        <f t="shared" si="1"/>
        <v> $ 658,593.90 </v>
      </c>
      <c r="G16" s="306" t="s">
        <v>624</v>
      </c>
      <c r="H16" s="219" t="s">
        <v>630</v>
      </c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</row>
    <row r="17" ht="12.75" customHeight="1">
      <c r="A17" s="362" t="s">
        <v>631</v>
      </c>
      <c r="B17" s="393" t="str">
        <f t="shared" ref="B17:F17" si="2">SUM(B7:B16)</f>
        <v> $ 7,077,711.55 </v>
      </c>
      <c r="C17" s="393" t="str">
        <f t="shared" si="2"/>
        <v> $ 7,976,303.85 </v>
      </c>
      <c r="D17" s="393" t="str">
        <f t="shared" si="2"/>
        <v> $ 7,976,303.85 </v>
      </c>
      <c r="E17" s="393" t="str">
        <f t="shared" si="2"/>
        <v> $ 7,976,303.85 </v>
      </c>
      <c r="F17" s="393" t="str">
        <f t="shared" si="2"/>
        <v> $ 7,976,303.85 </v>
      </c>
      <c r="G17" s="306"/>
      <c r="H17" s="223" t="s">
        <v>557</v>
      </c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</row>
    <row r="18" ht="12.75" customHeight="1">
      <c r="A18" s="428"/>
      <c r="B18" s="429"/>
      <c r="C18" s="429"/>
      <c r="D18" s="429"/>
      <c r="E18" s="429"/>
      <c r="F18" s="430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</row>
    <row r="19" ht="12.75" customHeight="1">
      <c r="A19" s="431" t="s">
        <v>632</v>
      </c>
      <c r="B19" s="432" t="str">
        <f t="shared" ref="B19:F19" si="3">(B10+B11+B15+B16)/B17</f>
        <v>35.14%</v>
      </c>
      <c r="C19" s="432" t="str">
        <f t="shared" si="3"/>
        <v>32.23%</v>
      </c>
      <c r="D19" s="432" t="str">
        <f t="shared" si="3"/>
        <v>32.23%</v>
      </c>
      <c r="E19" s="432" t="str">
        <f t="shared" si="3"/>
        <v>32.23%</v>
      </c>
      <c r="F19" s="432" t="str">
        <f t="shared" si="3"/>
        <v>32.23%</v>
      </c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</row>
    <row r="20" ht="13.5" customHeight="1">
      <c r="A20" s="375" t="s">
        <v>633</v>
      </c>
      <c r="B20" s="433" t="str">
        <f t="shared" ref="B20:F20" si="4">(B7+B8+B12+B13)/B17</f>
        <v>64.86%</v>
      </c>
      <c r="C20" s="433" t="str">
        <f t="shared" si="4"/>
        <v>67.77%</v>
      </c>
      <c r="D20" s="433" t="str">
        <f t="shared" si="4"/>
        <v>67.77%</v>
      </c>
      <c r="E20" s="433" t="str">
        <f t="shared" si="4"/>
        <v>67.77%</v>
      </c>
      <c r="F20" s="433" t="str">
        <f t="shared" si="4"/>
        <v>67.77%</v>
      </c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</row>
    <row r="21" ht="14.25" customHeight="1">
      <c r="A21" s="306"/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</row>
    <row r="22" ht="13.5" customHeight="1">
      <c r="A22" s="434"/>
      <c r="B22" s="435" t="s">
        <v>634</v>
      </c>
      <c r="C22" s="435"/>
      <c r="D22" s="435"/>
      <c r="E22" s="435"/>
      <c r="F22" s="435"/>
      <c r="G22" s="436"/>
      <c r="H22" s="306"/>
      <c r="I22" s="306"/>
      <c r="J22" s="306"/>
      <c r="T22" s="306"/>
      <c r="U22" s="306"/>
      <c r="V22" s="306"/>
      <c r="W22" s="306"/>
      <c r="X22" s="306"/>
      <c r="Y22" s="306"/>
      <c r="Z22" s="306"/>
    </row>
    <row r="23" ht="12.75" customHeight="1">
      <c r="A23" s="437"/>
      <c r="B23" s="408" t="s">
        <v>635</v>
      </c>
      <c r="C23" s="408"/>
      <c r="D23" s="408"/>
      <c r="E23" s="408"/>
      <c r="F23" s="408"/>
      <c r="G23" s="438" t="s">
        <v>636</v>
      </c>
      <c r="H23" s="306"/>
      <c r="I23" s="306"/>
      <c r="J23" s="306"/>
      <c r="T23" s="306"/>
      <c r="U23" s="306"/>
      <c r="V23" s="306"/>
      <c r="W23" s="306"/>
      <c r="X23" s="306"/>
      <c r="Y23" s="306"/>
      <c r="Z23" s="306"/>
    </row>
    <row r="24" ht="13.5" customHeight="1">
      <c r="A24" s="437" t="s">
        <v>591</v>
      </c>
      <c r="B24" s="439" t="s">
        <v>44</v>
      </c>
      <c r="C24" s="439" t="s">
        <v>430</v>
      </c>
      <c r="D24" s="439" t="s">
        <v>431</v>
      </c>
      <c r="E24" s="439" t="s">
        <v>432</v>
      </c>
      <c r="F24" s="439" t="s">
        <v>433</v>
      </c>
      <c r="G24" s="440" t="s">
        <v>44</v>
      </c>
      <c r="H24" s="306"/>
      <c r="I24" s="306"/>
      <c r="J24" s="306"/>
      <c r="T24" s="306"/>
      <c r="U24" s="306"/>
      <c r="V24" s="306"/>
      <c r="W24" s="306"/>
      <c r="X24" s="306"/>
      <c r="Y24" s="306"/>
      <c r="Z24" s="306"/>
    </row>
    <row r="25" ht="13.5" customHeight="1">
      <c r="A25" s="441" t="s">
        <v>619</v>
      </c>
      <c r="B25" s="393" t="str">
        <f>'Conformación de Datos'!$K$169</f>
        <v> $ 36,375.69 </v>
      </c>
      <c r="C25" s="393" t="str">
        <f>'Conformación de Datos'!$K$169</f>
        <v> $ 36,375.69 </v>
      </c>
      <c r="D25" s="393" t="str">
        <f>'Conformación de Datos'!$K$169</f>
        <v> $ 36,375.69 </v>
      </c>
      <c r="E25" s="393" t="str">
        <f>'Conformación de Datos'!$K$169</f>
        <v> $ 36,375.69 </v>
      </c>
      <c r="F25" s="393" t="str">
        <f>'Conformación de Datos'!$K$169</f>
        <v> $ 36,375.69 </v>
      </c>
      <c r="G25" s="442" t="str">
        <f>'Conformación de Datos'!K170</f>
        <v> $ 28,684.02 </v>
      </c>
      <c r="H25" s="219" t="s">
        <v>637</v>
      </c>
      <c r="I25" s="306"/>
      <c r="J25" s="306"/>
      <c r="T25" s="306"/>
      <c r="U25" s="306"/>
      <c r="V25" s="306"/>
      <c r="W25" s="306"/>
      <c r="X25" s="306"/>
      <c r="Y25" s="306"/>
      <c r="Z25" s="306"/>
    </row>
    <row r="26" ht="12.75" customHeight="1">
      <c r="A26" s="443" t="s">
        <v>621</v>
      </c>
      <c r="B26" s="393" t="str">
        <f>'Conformación de Datos'!$L$194</f>
        <v> $ 20,342.91 </v>
      </c>
      <c r="C26" s="393" t="str">
        <f>'Conformación de Datos'!$L$194</f>
        <v> $ 20,342.91 </v>
      </c>
      <c r="D26" s="393" t="str">
        <f>'Conformación de Datos'!$L$194</f>
        <v> $ 20,342.91 </v>
      </c>
      <c r="E26" s="393" t="str">
        <f>'Conformación de Datos'!$L$194</f>
        <v> $ 20,342.91 </v>
      </c>
      <c r="F26" s="393" t="str">
        <f>'Conformación de Datos'!$L$194</f>
        <v> $ 20,342.91 </v>
      </c>
      <c r="G26" s="444" t="str">
        <f>'Conformación de Datos'!L196</f>
        <v> $ 184,319.38 </v>
      </c>
      <c r="H26" s="223" t="s">
        <v>638</v>
      </c>
      <c r="I26" s="306"/>
      <c r="J26" s="306"/>
      <c r="T26" s="306"/>
      <c r="U26" s="306"/>
      <c r="V26" s="306"/>
      <c r="W26" s="306"/>
      <c r="X26" s="306"/>
      <c r="Y26" s="306"/>
      <c r="Z26" s="306"/>
    </row>
    <row r="27" ht="12.75" customHeight="1">
      <c r="A27" s="443" t="s">
        <v>622</v>
      </c>
      <c r="B27" s="366"/>
      <c r="C27" s="366"/>
      <c r="D27" s="366"/>
      <c r="E27" s="366"/>
      <c r="F27" s="366"/>
      <c r="G27" s="445"/>
      <c r="H27" s="306"/>
      <c r="I27" s="306"/>
      <c r="J27" s="306"/>
      <c r="T27" s="306"/>
      <c r="U27" s="306"/>
      <c r="V27" s="306"/>
      <c r="W27" s="306"/>
      <c r="X27" s="306"/>
      <c r="Y27" s="306"/>
      <c r="Z27" s="306"/>
    </row>
    <row r="28" ht="12.75" customHeight="1">
      <c r="A28" s="443" t="s">
        <v>623</v>
      </c>
      <c r="B28" s="393" t="str">
        <f>('Conformación de Datos'!I152/2)*'E-Inv AF y Am'!B62</f>
        <v> $ 17,829.77 </v>
      </c>
      <c r="C28" s="393" t="str">
        <f>('Conformación de Datos'!I152/2)*'E-Inv AF y Am'!B61</f>
        <v> $ 14,564.14 </v>
      </c>
      <c r="D28" s="393" t="str">
        <f>C28</f>
        <v> $ 14,564.14 </v>
      </c>
      <c r="E28" s="393" t="str">
        <f>C28</f>
        <v> $ 14,564.14 </v>
      </c>
      <c r="F28" s="393" t="str">
        <f>C28</f>
        <v> $ 14,564.14 </v>
      </c>
      <c r="G28" s="444" t="s">
        <v>240</v>
      </c>
      <c r="H28" s="306"/>
      <c r="I28" s="306"/>
      <c r="J28" s="306"/>
      <c r="T28" s="306"/>
      <c r="U28" s="306"/>
      <c r="V28" s="306"/>
      <c r="W28" s="306"/>
      <c r="X28" s="306"/>
      <c r="Y28" s="306"/>
      <c r="Z28" s="306"/>
    </row>
    <row r="29" ht="12.75" customHeight="1">
      <c r="A29" s="443" t="s">
        <v>625</v>
      </c>
      <c r="B29" s="393" t="str">
        <f>'Conformación de Datos'!L184</f>
        <v> $ 783.90 </v>
      </c>
      <c r="C29" s="393" t="str">
        <f>'Conformación de Datos'!$L$183</f>
        <v> $ 711.47 </v>
      </c>
      <c r="D29" s="393" t="str">
        <f>'Conformación de Datos'!$L$183</f>
        <v> $ 711.47 </v>
      </c>
      <c r="E29" s="393" t="str">
        <f>'Conformación de Datos'!$L$183</f>
        <v> $ 711.47 </v>
      </c>
      <c r="F29" s="393" t="str">
        <f>'Conformación de Datos'!$L$183</f>
        <v> $ 711.47 </v>
      </c>
      <c r="G29" s="444" t="s">
        <v>240</v>
      </c>
      <c r="H29" s="306"/>
      <c r="I29" s="306"/>
      <c r="J29" s="306"/>
      <c r="T29" s="306"/>
      <c r="U29" s="306"/>
      <c r="V29" s="306"/>
      <c r="W29" s="306"/>
      <c r="X29" s="306"/>
      <c r="Y29" s="306"/>
      <c r="Z29" s="306"/>
    </row>
    <row r="30" ht="12.75" customHeight="1">
      <c r="A30" s="443" t="s">
        <v>626</v>
      </c>
      <c r="B30" s="393" t="str">
        <f>'Conformación de Datos'!$H$213</f>
        <v> $ 2,587.93 </v>
      </c>
      <c r="C30" s="393" t="str">
        <f>'Conformación de Datos'!$H$213</f>
        <v> $ 2,587.93 </v>
      </c>
      <c r="D30" s="393" t="str">
        <f>'Conformación de Datos'!$H$213</f>
        <v> $ 2,587.93 </v>
      </c>
      <c r="E30" s="393" t="str">
        <f>'Conformación de Datos'!$H$213</f>
        <v> $ 2,587.93 </v>
      </c>
      <c r="F30" s="393" t="str">
        <f>'Conformación de Datos'!$H$213</f>
        <v> $ 2,587.93 </v>
      </c>
      <c r="G30" s="444" t="str">
        <f>'Conformación de Datos'!H218</f>
        <v> $ 65,288.87 </v>
      </c>
      <c r="H30" s="306"/>
      <c r="I30" s="306"/>
      <c r="J30" s="306"/>
      <c r="T30" s="306"/>
      <c r="U30" s="306"/>
      <c r="V30" s="306"/>
      <c r="W30" s="306"/>
      <c r="X30" s="306"/>
      <c r="Y30" s="306"/>
      <c r="Z30" s="306"/>
    </row>
    <row r="31" ht="12.75" customHeight="1">
      <c r="A31" s="443" t="s">
        <v>639</v>
      </c>
      <c r="B31" s="393" t="str">
        <f>(B13/'Conformación de Datos'!I160)*'Conformación de Datos'!I159*0.9</f>
        <v> $ 1,626.98 </v>
      </c>
      <c r="C31" s="393" t="str">
        <f>(C13/'Conformación de Datos'!I145)*'Conformación de Datos'!I159</f>
        <v> $ 2,299.66 </v>
      </c>
      <c r="D31" s="393" t="str">
        <f>(C13/'Conformación de Datos'!I145)*'Conformación de Datos'!I159</f>
        <v> $ 2,299.66 </v>
      </c>
      <c r="E31" s="393" t="str">
        <f>(C13/'Conformación de Datos'!I145)*'Conformación de Datos'!I159</f>
        <v> $ 2,299.66 </v>
      </c>
      <c r="F31" s="393" t="str">
        <f>(C13/'Conformación de Datos'!I145)*'Conformación de Datos'!I159</f>
        <v> $ 2,299.66 </v>
      </c>
      <c r="G31" s="444" t="str">
        <f>(('Conformación de Datos'!I143/2)*('Energìa e Impuestos'!F34*'Energìa e Impuestos'!F33))/'Conformación de Datos'!F109</f>
        <v> $ 363.08 </v>
      </c>
      <c r="H31" s="306"/>
      <c r="I31" s="306"/>
      <c r="J31" s="306"/>
      <c r="T31" s="306"/>
      <c r="U31" s="306"/>
      <c r="V31" s="306"/>
      <c r="W31" s="306"/>
      <c r="X31" s="306"/>
      <c r="Y31" s="306"/>
      <c r="Z31" s="306"/>
    </row>
    <row r="32" ht="12.75" customHeight="1">
      <c r="A32" s="443" t="s">
        <v>640</v>
      </c>
      <c r="B32" s="393" t="s">
        <v>240</v>
      </c>
      <c r="C32" s="393" t="s">
        <v>240</v>
      </c>
      <c r="D32" s="393" t="s">
        <v>240</v>
      </c>
      <c r="E32" s="393" t="s">
        <v>240</v>
      </c>
      <c r="F32" s="393" t="s">
        <v>240</v>
      </c>
      <c r="G32" s="444" t="s">
        <v>240</v>
      </c>
      <c r="H32" s="306"/>
      <c r="I32" s="306"/>
      <c r="J32" s="306"/>
      <c r="T32" s="306"/>
      <c r="U32" s="306"/>
      <c r="V32" s="306"/>
      <c r="W32" s="306"/>
      <c r="X32" s="306"/>
      <c r="Y32" s="306"/>
      <c r="Z32" s="306"/>
    </row>
    <row r="33" ht="12.75" customHeight="1">
      <c r="A33" s="443" t="s">
        <v>641</v>
      </c>
      <c r="B33" s="393" t="str">
        <f>(B15/'Conformación de Datos'!C6)*'E-Inv AF y Am'!$B$64</f>
        <v> $ 6.22 </v>
      </c>
      <c r="C33" s="393" t="str">
        <f>(C15/'Conformación de Datos'!D6)*'E-Inv AF y Am'!$B$64</f>
        <v> $ 4.98 </v>
      </c>
      <c r="D33" s="393" t="str">
        <f>(D15/'Conformación de Datos'!E6)*'E-Inv AF y Am'!$B$64</f>
        <v> $ 4.98 </v>
      </c>
      <c r="E33" s="393" t="str">
        <f>(E15/'Conformación de Datos'!F6)*'E-Inv AF y Am'!$B$64</f>
        <v> $ 4.98 </v>
      </c>
      <c r="F33" s="393" t="str">
        <f>(F15/'Conformación de Datos'!G6)*'E-Inv AF y Am'!$B$64</f>
        <v> $ 4.98 </v>
      </c>
      <c r="G33" s="444" t="s">
        <v>240</v>
      </c>
      <c r="H33" s="306"/>
      <c r="I33" s="306"/>
      <c r="J33" s="306"/>
      <c r="T33" s="306"/>
      <c r="U33" s="306"/>
      <c r="V33" s="306"/>
      <c r="W33" s="306"/>
      <c r="X33" s="306"/>
      <c r="Y33" s="306"/>
      <c r="Z33" s="306"/>
    </row>
    <row r="34" ht="12.75" customHeight="1">
      <c r="A34" s="443" t="s">
        <v>642</v>
      </c>
      <c r="B34" s="393" t="s">
        <v>240</v>
      </c>
      <c r="C34" s="393" t="s">
        <v>240</v>
      </c>
      <c r="D34" s="393" t="s">
        <v>240</v>
      </c>
      <c r="E34" s="393" t="s">
        <v>240</v>
      </c>
      <c r="F34" s="366" t="s">
        <v>240</v>
      </c>
      <c r="G34" s="444" t="s">
        <v>240</v>
      </c>
      <c r="H34" s="306"/>
      <c r="I34" s="306"/>
      <c r="J34" s="306"/>
      <c r="T34" s="306"/>
      <c r="U34" s="306"/>
      <c r="V34" s="306"/>
      <c r="W34" s="306"/>
      <c r="X34" s="306"/>
      <c r="Y34" s="306"/>
      <c r="Z34" s="306"/>
    </row>
    <row r="35" ht="13.5" customHeight="1">
      <c r="A35" s="446" t="s">
        <v>643</v>
      </c>
      <c r="B35" s="447" t="str">
        <f t="shared" ref="B35:F35" si="5">SUM(B25:B34)</f>
        <v> $ 79,553.40 </v>
      </c>
      <c r="C35" s="447" t="str">
        <f t="shared" si="5"/>
        <v> $ 76,886.76 </v>
      </c>
      <c r="D35" s="447" t="str">
        <f t="shared" si="5"/>
        <v> $ 76,886.76 </v>
      </c>
      <c r="E35" s="447" t="str">
        <f t="shared" si="5"/>
        <v> $ 76,886.76 </v>
      </c>
      <c r="F35" s="447" t="str">
        <f t="shared" si="5"/>
        <v> $ 76,886.76 </v>
      </c>
      <c r="G35" s="448" t="str">
        <f>G31+G30+G26+G25</f>
        <v> $ 278,655.36 </v>
      </c>
      <c r="H35" s="219" t="s">
        <v>644</v>
      </c>
      <c r="I35" s="223" t="s">
        <v>645</v>
      </c>
      <c r="J35" s="306"/>
      <c r="T35" s="306"/>
      <c r="U35" s="306"/>
      <c r="V35" s="306"/>
      <c r="W35" s="306"/>
      <c r="X35" s="306"/>
      <c r="Y35" s="306"/>
      <c r="Z35" s="306"/>
    </row>
    <row r="36" ht="14.25" customHeight="1">
      <c r="A36" s="201"/>
      <c r="B36" s="449"/>
      <c r="C36" s="449"/>
      <c r="D36" s="449"/>
      <c r="E36" s="449"/>
      <c r="F36" s="449"/>
      <c r="G36" s="449"/>
      <c r="H36" s="306"/>
      <c r="I36" s="306"/>
      <c r="J36" s="306"/>
      <c r="T36" s="306"/>
      <c r="U36" s="306"/>
      <c r="V36" s="306"/>
      <c r="W36" s="306"/>
      <c r="X36" s="306"/>
      <c r="Y36" s="306"/>
      <c r="Z36" s="306"/>
    </row>
    <row r="37" ht="13.5" customHeight="1">
      <c r="A37" s="450"/>
      <c r="B37" s="451" t="s">
        <v>646</v>
      </c>
      <c r="C37" s="451"/>
      <c r="D37" s="451"/>
      <c r="E37" s="451"/>
      <c r="F37" s="452"/>
      <c r="G37" s="306"/>
      <c r="H37" s="453"/>
      <c r="I37" s="453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</row>
    <row r="38" ht="13.5" customHeight="1">
      <c r="A38" s="454"/>
      <c r="B38" s="439" t="s">
        <v>44</v>
      </c>
      <c r="C38" s="439" t="s">
        <v>430</v>
      </c>
      <c r="D38" s="439" t="s">
        <v>431</v>
      </c>
      <c r="E38" s="439" t="s">
        <v>432</v>
      </c>
      <c r="F38" s="455" t="s">
        <v>433</v>
      </c>
      <c r="G38" s="449"/>
      <c r="H38" s="453"/>
      <c r="I38" s="453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</row>
    <row r="39" ht="13.5" customHeight="1">
      <c r="A39" s="456" t="s">
        <v>631</v>
      </c>
      <c r="B39" s="425" t="str">
        <f t="shared" ref="B39:F39" si="6">B17</f>
        <v> $ 7,077,711.55 </v>
      </c>
      <c r="C39" s="425" t="str">
        <f t="shared" si="6"/>
        <v> $ 7,976,303.85 </v>
      </c>
      <c r="D39" s="425" t="str">
        <f t="shared" si="6"/>
        <v> $ 7,976,303.85 </v>
      </c>
      <c r="E39" s="425" t="str">
        <f t="shared" si="6"/>
        <v> $ 7,976,303.85 </v>
      </c>
      <c r="F39" s="457" t="str">
        <f t="shared" si="6"/>
        <v> $ 7,976,303.85 </v>
      </c>
      <c r="G39" s="449"/>
      <c r="H39" s="453"/>
      <c r="I39" s="453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</row>
    <row r="40" ht="12.75" customHeight="1">
      <c r="A40" s="443" t="s">
        <v>647</v>
      </c>
      <c r="B40" s="393"/>
      <c r="C40" s="393"/>
      <c r="D40" s="393"/>
      <c r="E40" s="393"/>
      <c r="F40" s="445"/>
      <c r="G40" s="449"/>
      <c r="H40" s="453"/>
      <c r="I40" s="453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</row>
    <row r="41" ht="12.75" customHeight="1">
      <c r="A41" s="443" t="s">
        <v>648</v>
      </c>
      <c r="B41" s="393" t="str">
        <f>G35</f>
        <v> $ 278,655.36 </v>
      </c>
      <c r="C41" s="393"/>
      <c r="D41" s="393"/>
      <c r="E41" s="393"/>
      <c r="F41" s="445"/>
      <c r="G41" s="449"/>
      <c r="H41" s="453"/>
      <c r="I41" s="453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</row>
    <row r="42" ht="12.75" customHeight="1">
      <c r="A42" s="443" t="s">
        <v>649</v>
      </c>
      <c r="B42" s="393" t="str">
        <f>-B35</f>
        <v> $ (79,553.40)</v>
      </c>
      <c r="C42" s="393" t="str">
        <f t="shared" ref="C42:F42" si="7">B35-C35</f>
        <v> $ 2,666.63 </v>
      </c>
      <c r="D42" s="393" t="str">
        <f t="shared" si="7"/>
        <v> $ -   </v>
      </c>
      <c r="E42" s="393" t="str">
        <f t="shared" si="7"/>
        <v> $ -   </v>
      </c>
      <c r="F42" s="444" t="str">
        <f t="shared" si="7"/>
        <v> $ -   </v>
      </c>
      <c r="G42" s="449"/>
      <c r="H42" s="453"/>
      <c r="I42" s="453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</row>
    <row r="43" ht="12.75" customHeight="1">
      <c r="A43" s="458" t="s">
        <v>650</v>
      </c>
      <c r="B43" s="393" t="str">
        <f t="shared" ref="B43:F43" si="8">B39-B41+B42</f>
        <v> $ 6,719,502.79 </v>
      </c>
      <c r="C43" s="427" t="str">
        <f t="shared" si="8"/>
        <v> $ 7,978,970.49 </v>
      </c>
      <c r="D43" s="427" t="str">
        <f t="shared" si="8"/>
        <v> $ 7,976,303.85 </v>
      </c>
      <c r="E43" s="427" t="str">
        <f t="shared" si="8"/>
        <v> $ 7,976,303.85 </v>
      </c>
      <c r="F43" s="442" t="str">
        <f t="shared" si="8"/>
        <v> $ 7,976,303.85 </v>
      </c>
      <c r="G43" s="459" t="s">
        <v>651</v>
      </c>
      <c r="H43" s="453"/>
      <c r="I43" s="453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</row>
    <row r="44" ht="12.75" customHeight="1">
      <c r="A44" s="460" t="s">
        <v>652</v>
      </c>
      <c r="B44" s="461" t="str">
        <f>B43/'Conformación de Datos'!E136</f>
        <v> $ 558.92 </v>
      </c>
      <c r="C44" s="461" t="str">
        <f>C43/'Conformación de Datos'!$E$139</f>
        <v> $ 537.30 </v>
      </c>
      <c r="D44" s="461" t="str">
        <f>D43/'Conformación de Datos'!$E$139</f>
        <v> $ 537.12 </v>
      </c>
      <c r="E44" s="461" t="str">
        <f>E43/'Conformación de Datos'!$E$139</f>
        <v> $ 537.12 </v>
      </c>
      <c r="F44" s="462" t="str">
        <f>F43/'Conformación de Datos'!$E$139</f>
        <v> $ 537.12 </v>
      </c>
      <c r="G44" s="463" t="s">
        <v>645</v>
      </c>
      <c r="H44" s="453"/>
      <c r="I44" s="453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</row>
    <row r="45" ht="12.75" customHeight="1">
      <c r="A45" s="460"/>
      <c r="B45" s="461"/>
      <c r="C45" s="461"/>
      <c r="D45" s="461"/>
      <c r="E45" s="461"/>
      <c r="F45" s="462"/>
      <c r="G45" s="449"/>
      <c r="H45" s="453"/>
      <c r="I45" s="453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</row>
    <row r="46" ht="12.75" customHeight="1">
      <c r="A46" s="460" t="s">
        <v>632</v>
      </c>
      <c r="B46" s="464" t="str">
        <f t="shared" ref="B46:F46" si="9">B19</f>
        <v>35.1%</v>
      </c>
      <c r="C46" s="464" t="str">
        <f t="shared" si="9"/>
        <v>32.2%</v>
      </c>
      <c r="D46" s="464" t="str">
        <f t="shared" si="9"/>
        <v>32.2%</v>
      </c>
      <c r="E46" s="464" t="str">
        <f t="shared" si="9"/>
        <v>32.2%</v>
      </c>
      <c r="F46" s="465" t="str">
        <f t="shared" si="9"/>
        <v>32.2%</v>
      </c>
      <c r="G46" s="449"/>
      <c r="H46" s="453"/>
      <c r="I46" s="453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</row>
    <row r="47" ht="13.5" customHeight="1">
      <c r="A47" s="446" t="s">
        <v>633</v>
      </c>
      <c r="B47" s="466" t="str">
        <f t="shared" ref="B47:F47" si="10">B20</f>
        <v>64.9%</v>
      </c>
      <c r="C47" s="466" t="str">
        <f t="shared" si="10"/>
        <v>67.8%</v>
      </c>
      <c r="D47" s="466" t="str">
        <f t="shared" si="10"/>
        <v>67.8%</v>
      </c>
      <c r="E47" s="466" t="str">
        <f t="shared" si="10"/>
        <v>67.8%</v>
      </c>
      <c r="F47" s="467" t="str">
        <f t="shared" si="10"/>
        <v>67.8%</v>
      </c>
      <c r="G47" s="449"/>
      <c r="H47" s="453"/>
      <c r="I47" s="453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</row>
    <row r="48" ht="13.5" customHeight="1">
      <c r="A48" s="306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</row>
    <row r="49" ht="13.5" customHeight="1">
      <c r="A49" s="306"/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</row>
    <row r="50" ht="13.5" customHeight="1">
      <c r="A50" s="468"/>
      <c r="B50" s="435" t="s">
        <v>653</v>
      </c>
      <c r="C50" s="435"/>
      <c r="D50" s="435"/>
      <c r="E50" s="435"/>
      <c r="F50" s="43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</row>
    <row r="51" ht="13.5" customHeight="1">
      <c r="A51" s="469" t="s">
        <v>591</v>
      </c>
      <c r="B51" s="358" t="s">
        <v>44</v>
      </c>
      <c r="C51" s="358" t="s">
        <v>430</v>
      </c>
      <c r="D51" s="358" t="s">
        <v>431</v>
      </c>
      <c r="E51" s="358" t="s">
        <v>432</v>
      </c>
      <c r="F51" s="455" t="s">
        <v>433</v>
      </c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</row>
    <row r="52" ht="13.5" customHeight="1">
      <c r="A52" s="470" t="s">
        <v>353</v>
      </c>
      <c r="B52" s="471" t="str">
        <f>C52*0.9</f>
        <v> $ 2,086,726.98 </v>
      </c>
      <c r="C52" s="471" t="str">
        <f>'Conformación de Datos'!H181*12+'Conformación de Datos'!H185*12+'Conformación de Datos'!H188*12+'Conformación de Datos'!H190*12+'Conformación de Datos'!B187*'Conformación de Datos'!H186*12+'Conformación de Datos'!H184*12</f>
        <v> $ 2,318,585.53 </v>
      </c>
      <c r="D52" s="471" t="str">
        <f>'Conformación de Datos'!H181*12+'Conformación de Datos'!H185*12+'Conformación de Datos'!H188*12+'Conformación de Datos'!H190*12+'Conformación de Datos'!B187*'Conformación de Datos'!H186*12+'Conformación de Datos'!H184*12</f>
        <v> $ 2,318,585.53 </v>
      </c>
      <c r="E52" s="471" t="str">
        <f>'Conformación de Datos'!H181*12+'Conformación de Datos'!H185*12+'Conformación de Datos'!H188*12+'Conformación de Datos'!H190*12+'Conformación de Datos'!B187*'Conformación de Datos'!H186*12+'Conformación de Datos'!H184*12</f>
        <v> $ 2,318,585.53 </v>
      </c>
      <c r="F52" s="472" t="str">
        <f>'Conformación de Datos'!H181*12+'Conformación de Datos'!H185*12+'Conformación de Datos'!H188*12+'Conformación de Datos'!H190*12+'Conformación de Datos'!B187*'Conformación de Datos'!H186*12+'Conformación de Datos'!H184*12</f>
        <v> $ 2,318,585.53 </v>
      </c>
      <c r="G52" s="306" t="s">
        <v>654</v>
      </c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</row>
    <row r="53" ht="12.75" customHeight="1">
      <c r="A53" s="443" t="s">
        <v>655</v>
      </c>
      <c r="B53" s="393" t="str">
        <f>('E-Inv AF y Am'!D57-'E-Inv AF y Am'!D51)*0.05</f>
        <v> $ 98,676.97 </v>
      </c>
      <c r="C53" s="393" t="str">
        <f>('E-Inv AF y Am'!D57-'E-Inv AF y Am'!D51)*0.05</f>
        <v> $ 98,676.97 </v>
      </c>
      <c r="D53" s="393" t="str">
        <f>('E-Inv AF y Am'!D57-'E-Inv AF y Am'!D51)*0.05</f>
        <v> $ 98,676.97 </v>
      </c>
      <c r="E53" s="393" t="str">
        <f>('E-Inv AF y Am'!D57-'E-Inv AF y Am'!D51)*0.05</f>
        <v> $ 98,676.97 </v>
      </c>
      <c r="F53" s="445" t="str">
        <f>('E-Inv AF y Am'!D57-'E-Inv AF y Am'!D51)*0.05</f>
        <v> $ 98,676.97 </v>
      </c>
      <c r="G53" s="306" t="s">
        <v>654</v>
      </c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</row>
    <row r="54" ht="12.75" customHeight="1">
      <c r="A54" s="443" t="s">
        <v>626</v>
      </c>
      <c r="B54" s="393" t="str">
        <f>C54*0.9</f>
        <v> $ 87,832.48 </v>
      </c>
      <c r="C54" s="393" t="str">
        <f>('E-Inv AF y Am'!B17*0.015)+0.01*C43+0.03*(C26+C29)</f>
        <v> $ 97,591.65 </v>
      </c>
      <c r="D54" s="393" t="str">
        <f>('E-Inv AF y Am'!B17*0.015)+0.01*C43+0.03*(C26+C29)</f>
        <v> $ 97,591.65 </v>
      </c>
      <c r="E54" s="393" t="str">
        <f>('E-Inv AF y Am'!B17*0.015)+0.01*C43+0.03*(C26+C29)</f>
        <v> $ 97,591.65 </v>
      </c>
      <c r="F54" s="444" t="str">
        <f>('E-Inv AF y Am'!B17*0.015)+0.01*C43+0.03*(C26+C29)</f>
        <v> $ 97,591.65 </v>
      </c>
      <c r="G54" s="306" t="s">
        <v>654</v>
      </c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</row>
    <row r="55" ht="12.75" customHeight="1">
      <c r="A55" s="443" t="s">
        <v>440</v>
      </c>
      <c r="B55" s="393" t="str">
        <f>C55*0.95</f>
        <v> $ 2,470.60 </v>
      </c>
      <c r="C55" s="393" t="str">
        <f t="shared" ref="C55:F55" si="11">C13*0.02</f>
        <v> $ 2,600.63 </v>
      </c>
      <c r="D55" s="393" t="str">
        <f t="shared" si="11"/>
        <v> $ 2,600.63 </v>
      </c>
      <c r="E55" s="393" t="str">
        <f t="shared" si="11"/>
        <v> $ 2,600.63 </v>
      </c>
      <c r="F55" s="444" t="str">
        <f t="shared" si="11"/>
        <v> $ 2,600.63 </v>
      </c>
      <c r="G55" s="306" t="s">
        <v>620</v>
      </c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</row>
    <row r="56" ht="12.75" customHeight="1">
      <c r="A56" s="443" t="s">
        <v>656</v>
      </c>
      <c r="B56" s="393" t="s">
        <v>240</v>
      </c>
      <c r="C56" s="393" t="s">
        <v>240</v>
      </c>
      <c r="D56" s="393" t="s">
        <v>240</v>
      </c>
      <c r="E56" s="393" t="s">
        <v>240</v>
      </c>
      <c r="F56" s="444" t="s">
        <v>240</v>
      </c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</row>
    <row r="57" ht="12.75" customHeight="1">
      <c r="A57" s="443" t="s">
        <v>657</v>
      </c>
      <c r="B57" s="393" t="str">
        <f>'Conformación de Datos'!D224</f>
        <v> $ 3,000.00 </v>
      </c>
      <c r="C57" s="393" t="str">
        <f>'Conformación de Datos'!D224</f>
        <v> $ 3,000.00 </v>
      </c>
      <c r="D57" s="393" t="str">
        <f>'Conformación de Datos'!D224</f>
        <v> $ 3,000.00 </v>
      </c>
      <c r="E57" s="393" t="str">
        <f>'Conformación de Datos'!D224</f>
        <v> $ 3,000.00 </v>
      </c>
      <c r="F57" s="444" t="str">
        <f>'Conformación de Datos'!D224</f>
        <v> $ 3,000.00 </v>
      </c>
      <c r="G57" s="306" t="s">
        <v>654</v>
      </c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</row>
    <row r="58" ht="12.75" customHeight="1">
      <c r="A58" s="443" t="s">
        <v>629</v>
      </c>
      <c r="B58" s="393" t="str">
        <f t="shared" ref="B58:F58" si="12">0.05*$B$15+0.0004*$C$88+0.012*$C$88</f>
        <v> $ 263,258.42 </v>
      </c>
      <c r="C58" s="393" t="str">
        <f t="shared" si="12"/>
        <v> $ 263,258.42 </v>
      </c>
      <c r="D58" s="393" t="str">
        <f t="shared" si="12"/>
        <v> $ 263,258.42 </v>
      </c>
      <c r="E58" s="393" t="str">
        <f t="shared" si="12"/>
        <v> $ 263,258.42 </v>
      </c>
      <c r="F58" s="444" t="str">
        <f t="shared" si="12"/>
        <v> $ 263,258.42 </v>
      </c>
      <c r="G58" s="306" t="s">
        <v>654</v>
      </c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</row>
    <row r="59" ht="12.75" customHeight="1">
      <c r="A59" s="443" t="s">
        <v>509</v>
      </c>
      <c r="B59" s="393" t="str">
        <f t="shared" ref="B59:F59" si="13">SUM(B52:B58)*0.02</f>
        <v> $ 50,839.31 </v>
      </c>
      <c r="C59" s="393" t="str">
        <f t="shared" si="13"/>
        <v> $ 55,674.26 </v>
      </c>
      <c r="D59" s="393" t="str">
        <f t="shared" si="13"/>
        <v> $ 55,674.26 </v>
      </c>
      <c r="E59" s="393" t="str">
        <f t="shared" si="13"/>
        <v> $ 55,674.26 </v>
      </c>
      <c r="F59" s="444" t="str">
        <f t="shared" si="13"/>
        <v> $ 55,674.26 </v>
      </c>
      <c r="G59" s="306" t="s">
        <v>620</v>
      </c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</row>
    <row r="60" ht="12.75" customHeight="1">
      <c r="A60" s="443"/>
      <c r="B60" s="389"/>
      <c r="C60" s="389"/>
      <c r="D60" s="389"/>
      <c r="E60" s="389"/>
      <c r="F60" s="473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</row>
    <row r="61" ht="12.75" customHeight="1">
      <c r="A61" s="458" t="s">
        <v>658</v>
      </c>
      <c r="B61" s="393" t="str">
        <f t="shared" ref="B61:F61" si="14">SUM(B52:B59)</f>
        <v> $ 2,592,804.76 </v>
      </c>
      <c r="C61" s="393" t="str">
        <f t="shared" si="14"/>
        <v> $ 2,839,387.47 </v>
      </c>
      <c r="D61" s="393" t="str">
        <f t="shared" si="14"/>
        <v> $ 2,839,387.47 </v>
      </c>
      <c r="E61" s="393" t="str">
        <f t="shared" si="14"/>
        <v> $ 2,839,387.47 </v>
      </c>
      <c r="F61" s="444" t="str">
        <f t="shared" si="14"/>
        <v> $ 2,839,387.47 </v>
      </c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</row>
    <row r="62" ht="12.75" customHeight="1">
      <c r="A62" s="458"/>
      <c r="B62" s="393"/>
      <c r="C62" s="393"/>
      <c r="D62" s="393"/>
      <c r="E62" s="393"/>
      <c r="F62" s="444"/>
      <c r="G62" s="449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</row>
    <row r="63" ht="12.75" customHeight="1">
      <c r="A63" s="460" t="s">
        <v>632</v>
      </c>
      <c r="B63" s="411" t="str">
        <f t="shared" ref="B63:F63" si="15">(B52+B53+B54+B57+B58)/B61</f>
        <v>98%</v>
      </c>
      <c r="C63" s="411" t="str">
        <f t="shared" si="15"/>
        <v>98%</v>
      </c>
      <c r="D63" s="411" t="str">
        <f t="shared" si="15"/>
        <v>98%</v>
      </c>
      <c r="E63" s="411" t="str">
        <f t="shared" si="15"/>
        <v>98%</v>
      </c>
      <c r="F63" s="474" t="str">
        <f t="shared" si="15"/>
        <v>98%</v>
      </c>
      <c r="G63" s="449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</row>
    <row r="64" ht="13.5" customHeight="1">
      <c r="A64" s="446" t="s">
        <v>633</v>
      </c>
      <c r="B64" s="475" t="str">
        <f t="shared" ref="B64:F64" si="16">1-B63</f>
        <v>2%</v>
      </c>
      <c r="C64" s="475" t="str">
        <f t="shared" si="16"/>
        <v>2%</v>
      </c>
      <c r="D64" s="475" t="str">
        <f t="shared" si="16"/>
        <v>2%</v>
      </c>
      <c r="E64" s="475" t="str">
        <f t="shared" si="16"/>
        <v>2%</v>
      </c>
      <c r="F64" s="476" t="str">
        <f t="shared" si="16"/>
        <v>2%</v>
      </c>
      <c r="G64" s="449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</row>
    <row r="65" ht="13.5" customHeight="1">
      <c r="A65" s="306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</row>
    <row r="66" ht="13.5" customHeight="1">
      <c r="A66" s="306"/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</row>
    <row r="67" ht="13.5" customHeight="1">
      <c r="A67" s="468"/>
      <c r="B67" s="477" t="s">
        <v>659</v>
      </c>
      <c r="C67" s="435"/>
      <c r="D67" s="435"/>
      <c r="E67" s="435"/>
      <c r="F67" s="436"/>
      <c r="G67" s="219" t="s">
        <v>660</v>
      </c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</row>
    <row r="68" ht="13.5" customHeight="1">
      <c r="A68" s="469" t="s">
        <v>591</v>
      </c>
      <c r="B68" s="358" t="s">
        <v>44</v>
      </c>
      <c r="C68" s="358" t="s">
        <v>430</v>
      </c>
      <c r="D68" s="358" t="s">
        <v>431</v>
      </c>
      <c r="E68" s="358" t="s">
        <v>432</v>
      </c>
      <c r="F68" s="455" t="s">
        <v>433</v>
      </c>
      <c r="G68" s="463" t="s">
        <v>645</v>
      </c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</row>
    <row r="69" ht="13.5" customHeight="1">
      <c r="A69" s="441" t="s">
        <v>353</v>
      </c>
      <c r="B69" s="425" t="str">
        <f>C69*0.9</f>
        <v> $ 708,244.52 </v>
      </c>
      <c r="C69" s="425" t="str">
        <f>'Conformación de Datos'!H182*12+'Conformación de Datos'!H183*12+'Conformación de Datos'!B188*'Conformación de Datos'!H186*12</f>
        <v> $ 786,938.36 </v>
      </c>
      <c r="D69" s="425" t="str">
        <f>'Conformación de Datos'!H182*12+'Conformación de Datos'!H183*12+'Conformación de Datos'!B188*'Conformación de Datos'!H186*12</f>
        <v> $ 786,938.36 </v>
      </c>
      <c r="E69" s="425" t="str">
        <f>'Conformación de Datos'!H182*12+'Conformación de Datos'!H183*12+'Conformación de Datos'!B188*'Conformación de Datos'!H186*12</f>
        <v> $ 786,938.36 </v>
      </c>
      <c r="F69" s="457" t="str">
        <f>'Conformación de Datos'!H182*12+'Conformación de Datos'!H183*12+'Conformación de Datos'!B188*'Conformación de Datos'!H186*12</f>
        <v> $ 786,938.36 </v>
      </c>
      <c r="G69" s="306" t="s">
        <v>654</v>
      </c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</row>
    <row r="70" ht="12.75" customHeight="1">
      <c r="A70" s="441" t="s">
        <v>655</v>
      </c>
      <c r="B70" s="425" t="str">
        <f t="shared" ref="B70:F70" si="17">B53</f>
        <v> $ 98,676.97 </v>
      </c>
      <c r="C70" s="425" t="str">
        <f t="shared" si="17"/>
        <v> $ 98,676.97 </v>
      </c>
      <c r="D70" s="425" t="str">
        <f t="shared" si="17"/>
        <v> $ 98,676.97 </v>
      </c>
      <c r="E70" s="425" t="str">
        <f t="shared" si="17"/>
        <v> $ 98,676.97 </v>
      </c>
      <c r="F70" s="425" t="str">
        <f t="shared" si="17"/>
        <v> $ 98,676.97 </v>
      </c>
      <c r="G70" s="306" t="s">
        <v>654</v>
      </c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</row>
    <row r="71" ht="12.75" customHeight="1">
      <c r="A71" s="443" t="s">
        <v>626</v>
      </c>
      <c r="B71" s="393" t="str">
        <f>('E-Inv AF y Am'!B17*0.015)+'Conformación de Datos'!D226*'Conformación de Datos'!C6+0.03*C69+'Conformación de Datos'!D225*'Conformación de Datos'!C6</f>
        <v> $ 218,978.46 </v>
      </c>
      <c r="C71" s="393" t="str">
        <f>('E-Inv AF y Am'!B17*0.015)+'Conformación de Datos'!D226*'Conformación de Datos'!D6+0.03*C69+'Conformación de Datos'!D225*'Conformación de Datos'!D6</f>
        <v> $ 263,528.46 </v>
      </c>
      <c r="D71" s="393" t="str">
        <f>('E-Inv AF y Am'!B17*0.015)+'Conformación de Datos'!D226*'Conformación de Datos'!D6+0.03*D69+'Conformación de Datos'!D225*'Conformación de Datos'!D6</f>
        <v> $ 263,528.46 </v>
      </c>
      <c r="E71" s="393" t="str">
        <f>('E-Inv AF y Am'!B17*0.015)+'Conformación de Datos'!D226*'Conformación de Datos'!D6+0.03*D69+'Conformación de Datos'!D225*'Conformación de Datos'!D6</f>
        <v> $ 263,528.46 </v>
      </c>
      <c r="F71" s="444" t="str">
        <f>('E-Inv AF y Am'!B17*0.015)+'Conformación de Datos'!D226*'Conformación de Datos'!D6+0.03*D69+'Conformación de Datos'!D225*'Conformación de Datos'!D6</f>
        <v> $ 263,528.46 </v>
      </c>
      <c r="G71" s="306" t="s">
        <v>654</v>
      </c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</row>
    <row r="72" ht="12.75" customHeight="1">
      <c r="A72" s="443" t="s">
        <v>487</v>
      </c>
      <c r="B72" s="393" t="str">
        <f t="shared" ref="B72:F72" si="18">B55</f>
        <v> $ 2,470.60 </v>
      </c>
      <c r="C72" s="393" t="str">
        <f t="shared" si="18"/>
        <v> $ 2,600.63 </v>
      </c>
      <c r="D72" s="393" t="str">
        <f t="shared" si="18"/>
        <v> $ 2,600.63 </v>
      </c>
      <c r="E72" s="393" t="str">
        <f t="shared" si="18"/>
        <v> $ 2,600.63 </v>
      </c>
      <c r="F72" s="444" t="str">
        <f t="shared" si="18"/>
        <v> $ 2,600.63 </v>
      </c>
      <c r="G72" s="306" t="s">
        <v>620</v>
      </c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</row>
    <row r="73" ht="12.75" customHeight="1">
      <c r="A73" s="443" t="s">
        <v>656</v>
      </c>
      <c r="B73" s="393" t="str">
        <f t="shared" ref="B73:F73" si="19">B56</f>
        <v> - </v>
      </c>
      <c r="C73" s="393" t="str">
        <f t="shared" si="19"/>
        <v> - </v>
      </c>
      <c r="D73" s="393" t="str">
        <f t="shared" si="19"/>
        <v> - </v>
      </c>
      <c r="E73" s="393" t="str">
        <f t="shared" si="19"/>
        <v> - </v>
      </c>
      <c r="F73" s="444" t="str">
        <f t="shared" si="19"/>
        <v> - </v>
      </c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</row>
    <row r="74" ht="12.75" customHeight="1">
      <c r="A74" s="443" t="s">
        <v>657</v>
      </c>
      <c r="B74" s="393" t="str">
        <f>'Conformación de Datos'!C6*'Conformación de Datos'!D228+'Conformación de Datos'!D229</f>
        <v> $ 644,000.00 </v>
      </c>
      <c r="C74" s="393" t="str">
        <f>'Conformación de Datos'!D6*'Conformación de Datos'!D228+'Conformación de Datos'!D229</f>
        <v> $ 792,500.00 </v>
      </c>
      <c r="D74" s="393" t="str">
        <f>'Conformación de Datos'!D6*'Conformación de Datos'!D228+'Conformación de Datos'!D229</f>
        <v> $ 792,500.00 </v>
      </c>
      <c r="E74" s="393" t="str">
        <f>'Conformación de Datos'!D6*'Conformación de Datos'!D228+'Conformación de Datos'!D229</f>
        <v> $ 792,500.00 </v>
      </c>
      <c r="F74" s="444" t="str">
        <f>'Conformación de Datos'!D6*'Conformación de Datos'!D228+'Conformación de Datos'!D229</f>
        <v> $ 792,500.00 </v>
      </c>
      <c r="G74" s="306" t="s">
        <v>620</v>
      </c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</row>
    <row r="75" ht="12.75" customHeight="1">
      <c r="A75" s="443" t="s">
        <v>629</v>
      </c>
      <c r="B75" s="393" t="str">
        <f>B58+'Energìa e Impuestos'!$K$27*B88</f>
        <v> $ 729,548.42 </v>
      </c>
      <c r="C75" s="393" t="str">
        <f>C58+'Energìa e Impuestos'!$K$27*C88</f>
        <v> $ 846,120.92 </v>
      </c>
      <c r="D75" s="393" t="str">
        <f>D58+'Energìa e Impuestos'!$K$27*D88</f>
        <v> $ 846,120.92 </v>
      </c>
      <c r="E75" s="393" t="str">
        <f>E58+'Energìa e Impuestos'!$K$27*E88</f>
        <v> $ 846,120.92 </v>
      </c>
      <c r="F75" s="444" t="str">
        <f>F58+'Energìa e Impuestos'!$K$27*F88</f>
        <v> $ 846,120.92 </v>
      </c>
      <c r="G75" s="306" t="s">
        <v>654</v>
      </c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</row>
    <row r="76" ht="12.75" customHeight="1">
      <c r="A76" s="443" t="s">
        <v>509</v>
      </c>
      <c r="B76" s="393" t="str">
        <f t="shared" ref="B76:F76" si="20">SUM(B69:B75)*0.02</f>
        <v> $ 48,038.38 </v>
      </c>
      <c r="C76" s="393" t="str">
        <f t="shared" si="20"/>
        <v> $ 55,807.31 </v>
      </c>
      <c r="D76" s="393" t="str">
        <f t="shared" si="20"/>
        <v> $ 55,807.31 </v>
      </c>
      <c r="E76" s="393" t="str">
        <f t="shared" si="20"/>
        <v> $ 55,807.31 </v>
      </c>
      <c r="F76" s="444" t="str">
        <f t="shared" si="20"/>
        <v> $ 55,807.31 </v>
      </c>
      <c r="G76" s="306" t="s">
        <v>620</v>
      </c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</row>
    <row r="77" ht="12.75" customHeight="1">
      <c r="A77" s="443"/>
      <c r="B77" s="389"/>
      <c r="C77" s="389"/>
      <c r="D77" s="389"/>
      <c r="E77" s="389"/>
      <c r="F77" s="473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</row>
    <row r="78" ht="12.75" customHeight="1">
      <c r="A78" s="458" t="s">
        <v>661</v>
      </c>
      <c r="B78" s="393" t="str">
        <f t="shared" ref="B78:F78" si="21">SUM(B69:B76)</f>
        <v> $ 2,449,957.36 </v>
      </c>
      <c r="C78" s="393" t="str">
        <f t="shared" si="21"/>
        <v> $ 2,846,172.65 </v>
      </c>
      <c r="D78" s="393" t="str">
        <f t="shared" si="21"/>
        <v> $ 2,846,172.65 </v>
      </c>
      <c r="E78" s="393" t="str">
        <f t="shared" si="21"/>
        <v> $ 2,846,172.65 </v>
      </c>
      <c r="F78" s="444" t="str">
        <f t="shared" si="21"/>
        <v> $ 2,846,172.65 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</row>
    <row r="79" ht="12.75" customHeight="1">
      <c r="A79" s="458"/>
      <c r="B79" s="393"/>
      <c r="C79" s="393"/>
      <c r="D79" s="393"/>
      <c r="E79" s="393"/>
      <c r="F79" s="444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6"/>
      <c r="Z79" s="306"/>
    </row>
    <row r="80" ht="12.75" customHeight="1">
      <c r="A80" s="460" t="s">
        <v>632</v>
      </c>
      <c r="B80" s="411" t="str">
        <f t="shared" ref="B80:F80" si="22">(B69+B71+B75)/B78</f>
        <v>68%</v>
      </c>
      <c r="C80" s="411" t="str">
        <f t="shared" si="22"/>
        <v>67%</v>
      </c>
      <c r="D80" s="411" t="str">
        <f t="shared" si="22"/>
        <v>67%</v>
      </c>
      <c r="E80" s="411" t="str">
        <f t="shared" si="22"/>
        <v>67%</v>
      </c>
      <c r="F80" s="474" t="str">
        <f t="shared" si="22"/>
        <v>67%</v>
      </c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</row>
    <row r="81" ht="13.5" customHeight="1">
      <c r="A81" s="446" t="s">
        <v>633</v>
      </c>
      <c r="B81" s="475" t="str">
        <f t="shared" ref="B81:F81" si="23">1-B80</f>
        <v>32%</v>
      </c>
      <c r="C81" s="475" t="str">
        <f t="shared" si="23"/>
        <v>33%</v>
      </c>
      <c r="D81" s="475" t="str">
        <f t="shared" si="23"/>
        <v>33%</v>
      </c>
      <c r="E81" s="475" t="str">
        <f t="shared" si="23"/>
        <v>33%</v>
      </c>
      <c r="F81" s="476" t="str">
        <f t="shared" si="23"/>
        <v>33%</v>
      </c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</row>
    <row r="82" ht="13.5" customHeight="1">
      <c r="A82" s="306"/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</row>
    <row r="83" ht="13.5" customHeight="1">
      <c r="A83" s="306"/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</row>
    <row r="84" ht="16.5" customHeight="1">
      <c r="A84" s="478" t="s">
        <v>662</v>
      </c>
      <c r="B84" s="479"/>
      <c r="C84" s="479"/>
      <c r="D84" s="479"/>
      <c r="E84" s="479"/>
      <c r="F84" s="480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</row>
    <row r="85" ht="13.5" customHeight="1">
      <c r="A85" s="443"/>
      <c r="B85" s="408" t="s">
        <v>44</v>
      </c>
      <c r="C85" s="408" t="s">
        <v>430</v>
      </c>
      <c r="D85" s="408" t="s">
        <v>431</v>
      </c>
      <c r="E85" s="408" t="s">
        <v>432</v>
      </c>
      <c r="F85" s="455" t="s">
        <v>433</v>
      </c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</row>
    <row r="86" ht="13.5" customHeight="1">
      <c r="A86" s="443" t="s">
        <v>663</v>
      </c>
      <c r="B86" s="481" t="str">
        <f>'Conformación de Datos'!C6</f>
        <v>  11,880.00 </v>
      </c>
      <c r="C86" s="481" t="str">
        <f>'Conformación de Datos'!D6</f>
        <v>  14,850.00 </v>
      </c>
      <c r="D86" s="481" t="str">
        <f>'Conformación de Datos'!E6</f>
        <v>  14,850.00 </v>
      </c>
      <c r="E86" s="481" t="str">
        <f>'Conformación de Datos'!F6</f>
        <v>  14,850.00 </v>
      </c>
      <c r="F86" s="482" t="str">
        <f>'Conformación de Datos'!G6</f>
        <v>  14,850.00 </v>
      </c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</row>
    <row r="87" ht="12.75" customHeight="1">
      <c r="A87" s="443" t="s">
        <v>664</v>
      </c>
      <c r="B87" s="393" t="str">
        <f>'Conformación de Datos'!C12</f>
        <v> $ 1,427.27 </v>
      </c>
      <c r="C87" s="393" t="str">
        <f>'Conformación de Datos'!D12</f>
        <v> $ 1,427.27 </v>
      </c>
      <c r="D87" s="393" t="str">
        <f>'Conformación de Datos'!E12</f>
        <v> $ 1,427.27 </v>
      </c>
      <c r="E87" s="393" t="str">
        <f>'Conformación de Datos'!F12</f>
        <v> $ 1,427.27 </v>
      </c>
      <c r="F87" s="444" t="str">
        <f>'Conformación de Datos'!G12</f>
        <v> $ 1,427.27 </v>
      </c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</row>
    <row r="88" ht="12.75" customHeight="1">
      <c r="A88" s="458" t="s">
        <v>665</v>
      </c>
      <c r="B88" s="393" t="str">
        <f>'Conformación de Datos'!C17</f>
        <v> $ 16,956,000.00 </v>
      </c>
      <c r="C88" s="393" t="str">
        <f>'Conformación de Datos'!D17</f>
        <v> $ 21,195,000.00 </v>
      </c>
      <c r="D88" s="393" t="str">
        <f>'Conformación de Datos'!E17</f>
        <v> $ 21,195,000.00 </v>
      </c>
      <c r="E88" s="393" t="str">
        <f>'Conformación de Datos'!F17</f>
        <v> $ 21,195,000.00 </v>
      </c>
      <c r="F88" s="444" t="str">
        <f>'Conformación de Datos'!G17</f>
        <v> $ 21,195,000.00 </v>
      </c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</row>
    <row r="89" ht="12.75" customHeight="1">
      <c r="A89" s="443"/>
      <c r="B89" s="393"/>
      <c r="C89" s="393"/>
      <c r="D89" s="393"/>
      <c r="E89" s="393"/>
      <c r="F89" s="444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</row>
    <row r="90" ht="12.75" customHeight="1">
      <c r="A90" s="443" t="s">
        <v>666</v>
      </c>
      <c r="B90" s="393" t="str">
        <f t="shared" ref="B90:F90" si="24">B7</f>
        <v> $ 2,093,197.91 </v>
      </c>
      <c r="C90" s="393" t="str">
        <f t="shared" si="24"/>
        <v> $ 2,655,433.94 </v>
      </c>
      <c r="D90" s="393" t="str">
        <f t="shared" si="24"/>
        <v> $ 2,655,433.94 </v>
      </c>
      <c r="E90" s="393" t="str">
        <f t="shared" si="24"/>
        <v> $ 2,655,433.94 </v>
      </c>
      <c r="F90" s="444" t="str">
        <f t="shared" si="24"/>
        <v> $ 2,655,433.94 </v>
      </c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</row>
    <row r="91" ht="12.75" customHeight="1">
      <c r="A91" s="443" t="s">
        <v>621</v>
      </c>
      <c r="B91" s="393" t="str">
        <f t="shared" ref="B91:F91" si="25">B8</f>
        <v> $ 2,037,191.51 </v>
      </c>
      <c r="C91" s="393" t="str">
        <f t="shared" si="25"/>
        <v> $ 2,263,546.12 </v>
      </c>
      <c r="D91" s="393" t="str">
        <f t="shared" si="25"/>
        <v> $ 2,263,546.12 </v>
      </c>
      <c r="E91" s="393" t="str">
        <f t="shared" si="25"/>
        <v> $ 2,263,546.12 </v>
      </c>
      <c r="F91" s="444" t="str">
        <f t="shared" si="25"/>
        <v> $ 2,263,546.12 </v>
      </c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</row>
    <row r="92" ht="12.75" customHeight="1">
      <c r="A92" s="443" t="s">
        <v>667</v>
      </c>
      <c r="B92" s="393" t="str">
        <f t="shared" ref="B92:F92" si="26">SUM(B10:B16)</f>
        <v> $ 2,947,322.13 </v>
      </c>
      <c r="C92" s="393" t="str">
        <f t="shared" si="26"/>
        <v> $ 3,057,323.79 </v>
      </c>
      <c r="D92" s="393" t="str">
        <f t="shared" si="26"/>
        <v> $ 3,057,323.79 </v>
      </c>
      <c r="E92" s="393" t="str">
        <f t="shared" si="26"/>
        <v> $ 3,057,323.79 </v>
      </c>
      <c r="F92" s="444" t="str">
        <f t="shared" si="26"/>
        <v> $ 3,057,323.79 </v>
      </c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</row>
    <row r="93" ht="12.75" customHeight="1">
      <c r="A93" s="443"/>
      <c r="B93" s="393"/>
      <c r="C93" s="393"/>
      <c r="D93" s="393"/>
      <c r="E93" s="393"/>
      <c r="F93" s="444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</row>
    <row r="94" ht="12.75" customHeight="1">
      <c r="A94" s="443" t="s">
        <v>668</v>
      </c>
      <c r="B94" s="483" t="str">
        <f t="shared" ref="B94:F94" si="27">B17</f>
        <v> $ 7,077,711.55 </v>
      </c>
      <c r="C94" s="483" t="str">
        <f t="shared" si="27"/>
        <v> $ 7,976,303.85 </v>
      </c>
      <c r="D94" s="483" t="str">
        <f t="shared" si="27"/>
        <v> $ 7,976,303.85 </v>
      </c>
      <c r="E94" s="483" t="str">
        <f t="shared" si="27"/>
        <v> $ 7,976,303.85 </v>
      </c>
      <c r="F94" s="484" t="str">
        <f t="shared" si="27"/>
        <v> $ 7,976,303.85 </v>
      </c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</row>
    <row r="95" ht="12.75" customHeight="1">
      <c r="A95" s="443"/>
      <c r="B95" s="393"/>
      <c r="C95" s="393"/>
      <c r="D95" s="393"/>
      <c r="E95" s="393"/>
      <c r="F95" s="444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</row>
    <row r="96" ht="12.75" customHeight="1">
      <c r="A96" s="443" t="s">
        <v>647</v>
      </c>
      <c r="B96" s="393"/>
      <c r="C96" s="393"/>
      <c r="D96" s="393"/>
      <c r="E96" s="393"/>
      <c r="F96" s="444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</row>
    <row r="97" ht="12.75" customHeight="1">
      <c r="A97" s="485" t="s">
        <v>636</v>
      </c>
      <c r="B97" s="393" t="str">
        <f t="shared" ref="B97:B98" si="28">B41</f>
        <v> $ 278,655.36 </v>
      </c>
      <c r="C97" s="393"/>
      <c r="D97" s="393"/>
      <c r="E97" s="393"/>
      <c r="F97" s="444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</row>
    <row r="98" ht="12.75" customHeight="1">
      <c r="A98" s="485" t="s">
        <v>649</v>
      </c>
      <c r="B98" s="393" t="str">
        <f t="shared" si="28"/>
        <v> $ (79,553.40)</v>
      </c>
      <c r="C98" s="393" t="str">
        <f t="shared" ref="C98:F98" si="29">C42</f>
        <v> $ 2,666.63 </v>
      </c>
      <c r="D98" s="393" t="str">
        <f t="shared" si="29"/>
        <v> $ -   </v>
      </c>
      <c r="E98" s="393" t="str">
        <f t="shared" si="29"/>
        <v> $ -   </v>
      </c>
      <c r="F98" s="444" t="str">
        <f t="shared" si="29"/>
        <v> $ -   </v>
      </c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</row>
    <row r="99" ht="12.75" customHeight="1">
      <c r="A99" s="443"/>
      <c r="B99" s="393"/>
      <c r="C99" s="393"/>
      <c r="D99" s="393"/>
      <c r="E99" s="393"/>
      <c r="F99" s="444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</row>
    <row r="100" ht="12.75" customHeight="1">
      <c r="A100" s="458" t="s">
        <v>669</v>
      </c>
      <c r="B100" s="392" t="str">
        <f t="shared" ref="B100:F100" si="30">B94-B97+B98</f>
        <v> $ 6,719,502.79 </v>
      </c>
      <c r="C100" s="486" t="str">
        <f t="shared" si="30"/>
        <v> $ 7,978,970.49 </v>
      </c>
      <c r="D100" s="486" t="str">
        <f t="shared" si="30"/>
        <v> $ 7,976,303.85 </v>
      </c>
      <c r="E100" s="486" t="str">
        <f t="shared" si="30"/>
        <v> $ 7,976,303.85 </v>
      </c>
      <c r="F100" s="487" t="str">
        <f t="shared" si="30"/>
        <v> $ 7,976,303.85 </v>
      </c>
      <c r="G100" s="219" t="s">
        <v>670</v>
      </c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</row>
    <row r="101" ht="12.75" customHeight="1">
      <c r="A101" s="485" t="s">
        <v>671</v>
      </c>
      <c r="B101" s="488" t="str">
        <f>'Conformación de Datos'!E136</f>
        <v>12,022</v>
      </c>
      <c r="C101" s="488" t="str">
        <f>'Conformación de Datos'!$E$139</f>
        <v>14,850</v>
      </c>
      <c r="D101" s="488" t="str">
        <f>'Conformación de Datos'!$E$139</f>
        <v>14,850</v>
      </c>
      <c r="E101" s="488" t="str">
        <f>'Conformación de Datos'!$E$139</f>
        <v>14,850</v>
      </c>
      <c r="F101" s="489" t="str">
        <f>'Conformación de Datos'!$E$139</f>
        <v>14,850</v>
      </c>
      <c r="G101" s="463" t="s">
        <v>645</v>
      </c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</row>
    <row r="102" ht="12.75" customHeight="1">
      <c r="A102" s="443" t="s">
        <v>672</v>
      </c>
      <c r="B102" s="393" t="str">
        <f t="shared" ref="B102:F102" si="31">B100/B101</f>
        <v> $ 558.92 </v>
      </c>
      <c r="C102" s="393" t="str">
        <f t="shared" si="31"/>
        <v> $ 537.30 </v>
      </c>
      <c r="D102" s="393" t="str">
        <f t="shared" si="31"/>
        <v> $ 537.12 </v>
      </c>
      <c r="E102" s="393" t="str">
        <f t="shared" si="31"/>
        <v> $ 537.12 </v>
      </c>
      <c r="F102" s="444" t="str">
        <f t="shared" si="31"/>
        <v> $ 537.12 </v>
      </c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</row>
    <row r="103" ht="12.75" customHeight="1">
      <c r="A103" s="443"/>
      <c r="B103" s="392"/>
      <c r="C103" s="392"/>
      <c r="D103" s="392"/>
      <c r="E103" s="392"/>
      <c r="F103" s="490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</row>
    <row r="104" ht="12.75" customHeight="1">
      <c r="A104" s="443" t="s">
        <v>647</v>
      </c>
      <c r="B104" s="392"/>
      <c r="C104" s="392"/>
      <c r="D104" s="392"/>
      <c r="E104" s="392"/>
      <c r="F104" s="490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</row>
    <row r="105" ht="12.75" customHeight="1">
      <c r="A105" s="443" t="s">
        <v>673</v>
      </c>
      <c r="B105" s="393" t="str">
        <f>B102*'Conformación de Datos'!$E$238</f>
        <v> $ 79,646.00 </v>
      </c>
      <c r="C105" s="393" t="str">
        <f>C102*'Conformación de Datos'!$E$238</f>
        <v> $ 76,565.88 </v>
      </c>
      <c r="D105" s="393" t="str">
        <f>D102*'Conformación de Datos'!$E$238</f>
        <v> $ 76,540.29 </v>
      </c>
      <c r="E105" s="393" t="str">
        <f>E102*'Conformación de Datos'!$E$238</f>
        <v> $ 76,540.29 </v>
      </c>
      <c r="F105" s="444" t="str">
        <f>F102*'Conformación de Datos'!$E$238</f>
        <v> $ 76,540.29 </v>
      </c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</row>
    <row r="106" ht="12.75" customHeight="1">
      <c r="A106" s="443"/>
      <c r="B106" s="392"/>
      <c r="C106" s="392"/>
      <c r="D106" s="392"/>
      <c r="E106" s="392"/>
      <c r="F106" s="490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</row>
    <row r="107" ht="12.75" customHeight="1">
      <c r="A107" s="458" t="s">
        <v>674</v>
      </c>
      <c r="B107" s="393" t="str">
        <f t="shared" ref="B107:F107" si="32">(B101*B102)-B105</f>
        <v> $ 6,639,856.79 </v>
      </c>
      <c r="C107" s="393" t="str">
        <f t="shared" si="32"/>
        <v> $ 7,902,404.61 </v>
      </c>
      <c r="D107" s="393" t="str">
        <f t="shared" si="32"/>
        <v> $ 7,899,763.56 </v>
      </c>
      <c r="E107" s="393" t="str">
        <f t="shared" si="32"/>
        <v> $ 7,899,763.56 </v>
      </c>
      <c r="F107" s="444" t="str">
        <f t="shared" si="32"/>
        <v> $ 7,899,763.56 </v>
      </c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</row>
    <row r="108" ht="12.75" customHeight="1">
      <c r="A108" s="443"/>
      <c r="B108" s="393"/>
      <c r="C108" s="393"/>
      <c r="D108" s="393"/>
      <c r="E108" s="393"/>
      <c r="F108" s="444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306"/>
    </row>
    <row r="109" ht="12.75" customHeight="1">
      <c r="A109" s="458" t="s">
        <v>675</v>
      </c>
      <c r="B109" s="393" t="str">
        <f t="shared" ref="B109:F109" si="33">B61</f>
        <v> $ 2,592,804.76 </v>
      </c>
      <c r="C109" s="393" t="str">
        <f t="shared" si="33"/>
        <v> $ 2,839,387.47 </v>
      </c>
      <c r="D109" s="393" t="str">
        <f t="shared" si="33"/>
        <v> $ 2,839,387.47 </v>
      </c>
      <c r="E109" s="393" t="str">
        <f t="shared" si="33"/>
        <v> $ 2,839,387.47 </v>
      </c>
      <c r="F109" s="444" t="str">
        <f t="shared" si="33"/>
        <v> $ 2,839,387.47 </v>
      </c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6"/>
    </row>
    <row r="110" ht="12.75" customHeight="1">
      <c r="A110" s="458" t="s">
        <v>676</v>
      </c>
      <c r="B110" s="392" t="str">
        <f t="shared" ref="B110:F110" si="34">B78</f>
        <v> $ 2,449,957.36 </v>
      </c>
      <c r="C110" s="392" t="str">
        <f t="shared" si="34"/>
        <v> $ 2,846,172.65 </v>
      </c>
      <c r="D110" s="392" t="str">
        <f t="shared" si="34"/>
        <v> $ 2,846,172.65 </v>
      </c>
      <c r="E110" s="392" t="str">
        <f t="shared" si="34"/>
        <v> $ 2,846,172.65 </v>
      </c>
      <c r="F110" s="490" t="str">
        <f t="shared" si="34"/>
        <v> $ 2,846,172.65 </v>
      </c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</row>
    <row r="111" ht="12.75" customHeight="1">
      <c r="A111" s="443"/>
      <c r="B111" s="392"/>
      <c r="C111" s="392"/>
      <c r="D111" s="392"/>
      <c r="E111" s="392"/>
      <c r="F111" s="490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6"/>
      <c r="X111" s="306"/>
      <c r="Y111" s="306"/>
      <c r="Z111" s="306"/>
    </row>
    <row r="112" ht="12.75" customHeight="1">
      <c r="A112" s="458" t="s">
        <v>677</v>
      </c>
      <c r="B112" s="392" t="str">
        <f t="shared" ref="B112:F112" si="35">B107+B109+B110</f>
        <v> $ 11,682,618.91 </v>
      </c>
      <c r="C112" s="392" t="str">
        <f t="shared" si="35"/>
        <v> $ 13,587,964.72 </v>
      </c>
      <c r="D112" s="392" t="str">
        <f t="shared" si="35"/>
        <v> $ 13,585,323.68 </v>
      </c>
      <c r="E112" s="392" t="str">
        <f t="shared" si="35"/>
        <v> $ 13,585,323.68 </v>
      </c>
      <c r="F112" s="490" t="str">
        <f t="shared" si="35"/>
        <v> $ 13,585,323.68 </v>
      </c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</row>
    <row r="113" ht="12.75" customHeight="1">
      <c r="A113" s="443"/>
      <c r="B113" s="392"/>
      <c r="C113" s="392"/>
      <c r="D113" s="392"/>
      <c r="E113" s="392"/>
      <c r="F113" s="490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</row>
    <row r="114" ht="12.75" customHeight="1">
      <c r="A114" s="458" t="s">
        <v>678</v>
      </c>
      <c r="B114" s="392" t="str">
        <f t="shared" ref="B114:F114" si="36">B112/B101</f>
        <v> $ 971.74 </v>
      </c>
      <c r="C114" s="392" t="str">
        <f t="shared" si="36"/>
        <v> $ 915.01 </v>
      </c>
      <c r="D114" s="392" t="str">
        <f t="shared" si="36"/>
        <v> $ 914.84 </v>
      </c>
      <c r="E114" s="392" t="str">
        <f t="shared" si="36"/>
        <v> $ 914.84 </v>
      </c>
      <c r="F114" s="490" t="str">
        <f t="shared" si="36"/>
        <v> $ 914.84 </v>
      </c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</row>
    <row r="115" ht="12.75" customHeight="1">
      <c r="A115" s="443"/>
      <c r="B115" s="392"/>
      <c r="C115" s="392"/>
      <c r="D115" s="392"/>
      <c r="E115" s="392"/>
      <c r="F115" s="490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  <c r="Z115" s="306"/>
    </row>
    <row r="116" ht="12.75" customHeight="1">
      <c r="A116" s="458" t="s">
        <v>679</v>
      </c>
      <c r="B116" s="392" t="str">
        <f t="shared" ref="B116:F116" si="37">B88-B112</f>
        <v> $ 5,273,381.09 </v>
      </c>
      <c r="C116" s="392" t="str">
        <f t="shared" si="37"/>
        <v> $ 7,607,035.28 </v>
      </c>
      <c r="D116" s="392" t="str">
        <f t="shared" si="37"/>
        <v> $ 7,609,676.32 </v>
      </c>
      <c r="E116" s="392" t="str">
        <f t="shared" si="37"/>
        <v> $ 7,609,676.32 </v>
      </c>
      <c r="F116" s="490" t="str">
        <f t="shared" si="37"/>
        <v> $ 7,609,676.32 </v>
      </c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</row>
    <row r="117" ht="12.75" customHeight="1">
      <c r="A117" s="458" t="s">
        <v>493</v>
      </c>
      <c r="B117" s="392" t="str">
        <f>InfoInicial!$B$5*B116</f>
        <v> $ 421,870.49 </v>
      </c>
      <c r="C117" s="392" t="str">
        <f>InfoInicial!$B$5*C116</f>
        <v> $ 608,562.82 </v>
      </c>
      <c r="D117" s="392" t="str">
        <f>InfoInicial!$B$5*D116</f>
        <v> $ 608,774.11 </v>
      </c>
      <c r="E117" s="392" t="str">
        <f>InfoInicial!$B$5*E116</f>
        <v> $ 608,774.11 </v>
      </c>
      <c r="F117" s="490" t="str">
        <f>InfoInicial!$B$5*F116</f>
        <v> $ 608,774.11 </v>
      </c>
      <c r="G117" s="463" t="s">
        <v>645</v>
      </c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  <c r="S117" s="306"/>
      <c r="T117" s="306"/>
      <c r="U117" s="306"/>
      <c r="V117" s="306"/>
      <c r="W117" s="306"/>
      <c r="X117" s="306"/>
      <c r="Y117" s="306"/>
      <c r="Z117" s="306"/>
    </row>
    <row r="118" ht="12.75" customHeight="1">
      <c r="A118" s="491" t="s">
        <v>680</v>
      </c>
      <c r="B118" s="486" t="str">
        <f>InfoInicial!$B$4*(B116-B117)</f>
        <v> $ 1,698,028.71 </v>
      </c>
      <c r="C118" s="486" t="str">
        <f>InfoInicial!$B$4*(C116-C117)</f>
        <v> $ 2,449,465.36 </v>
      </c>
      <c r="D118" s="486" t="str">
        <f>InfoInicial!$B$4*(D116-D117)</f>
        <v> $ 2,450,315.78 </v>
      </c>
      <c r="E118" s="486" t="str">
        <f>InfoInicial!$B$4*(E116-E117)</f>
        <v> $ 2,450,315.78 </v>
      </c>
      <c r="F118" s="486" t="str">
        <f>InfoInicial!$B$4*(F116-F117)</f>
        <v> $ 2,450,315.78 </v>
      </c>
      <c r="G118" s="219" t="s">
        <v>681</v>
      </c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R118" s="306"/>
      <c r="S118" s="306"/>
      <c r="T118" s="306"/>
      <c r="U118" s="306"/>
      <c r="V118" s="306"/>
      <c r="W118" s="306"/>
      <c r="X118" s="306"/>
      <c r="Y118" s="306"/>
      <c r="Z118" s="306"/>
    </row>
    <row r="119" ht="12.75" customHeight="1">
      <c r="A119" s="458"/>
      <c r="B119" s="392"/>
      <c r="C119" s="392"/>
      <c r="D119" s="392"/>
      <c r="E119" s="392"/>
      <c r="F119" s="490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</row>
    <row r="120" ht="12.75" customHeight="1">
      <c r="A120" s="491" t="s">
        <v>682</v>
      </c>
      <c r="B120" s="392" t="str">
        <f t="shared" ref="B120:F120" si="38">B116-B117-B118</f>
        <v> $ 3,153,481.89 </v>
      </c>
      <c r="C120" s="392" t="str">
        <f t="shared" si="38"/>
        <v> $ 4,549,007.09 </v>
      </c>
      <c r="D120" s="392" t="str">
        <f t="shared" si="38"/>
        <v> $ 4,550,586.44 </v>
      </c>
      <c r="E120" s="392" t="str">
        <f t="shared" si="38"/>
        <v> $ 4,550,586.44 </v>
      </c>
      <c r="F120" s="490" t="str">
        <f t="shared" si="38"/>
        <v> $ 4,550,586.44 </v>
      </c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</row>
    <row r="121" ht="12.75" customHeight="1">
      <c r="A121" s="458" t="s">
        <v>683</v>
      </c>
      <c r="B121" s="492" t="str">
        <f t="shared" ref="B121:F121" si="39">B120/B88</f>
        <v>19%</v>
      </c>
      <c r="C121" s="492" t="str">
        <f t="shared" si="39"/>
        <v>21%</v>
      </c>
      <c r="D121" s="492" t="str">
        <f t="shared" si="39"/>
        <v>21%</v>
      </c>
      <c r="E121" s="492" t="str">
        <f t="shared" si="39"/>
        <v>21%</v>
      </c>
      <c r="F121" s="493" t="str">
        <f t="shared" si="39"/>
        <v>21%</v>
      </c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</row>
    <row r="122" ht="12.75" customHeight="1">
      <c r="A122" s="458"/>
      <c r="B122" s="492"/>
      <c r="C122" s="492"/>
      <c r="D122" s="492"/>
      <c r="E122" s="492"/>
      <c r="F122" s="493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  <c r="X122" s="306"/>
      <c r="Y122" s="306"/>
      <c r="Z122" s="306"/>
    </row>
    <row r="123" ht="12.75" customHeight="1">
      <c r="A123" s="458" t="s">
        <v>684</v>
      </c>
      <c r="B123" s="492"/>
      <c r="C123" s="492"/>
      <c r="D123" s="492"/>
      <c r="E123" s="492"/>
      <c r="F123" s="493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</row>
    <row r="124" ht="12.75" customHeight="1">
      <c r="A124" s="491" t="s">
        <v>685</v>
      </c>
      <c r="B124" s="494" t="str">
        <f t="shared" ref="B124:F124" si="40">B120</f>
        <v> $3,153,481.89</v>
      </c>
      <c r="C124" s="494" t="str">
        <f t="shared" si="40"/>
        <v> $4,549,007.09</v>
      </c>
      <c r="D124" s="494" t="str">
        <f t="shared" si="40"/>
        <v> $4,550,586.44</v>
      </c>
      <c r="E124" s="494" t="str">
        <f t="shared" si="40"/>
        <v> $4,550,586.44</v>
      </c>
      <c r="F124" s="495" t="str">
        <f t="shared" si="40"/>
        <v> $4,550,586.44</v>
      </c>
      <c r="G124" s="306"/>
      <c r="H124" s="306" t="str">
        <f>InfoInicial!$B$3*('E-Costos'!B54+'E-Costos'!B55+'E-Costos'!B57)</f>
        <v>19593.64751</v>
      </c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</row>
    <row r="125" ht="12.75" customHeight="1">
      <c r="A125" s="458" t="s">
        <v>686</v>
      </c>
      <c r="B125" s="494" t="str">
        <f>'E-Inv AF y Am'!D57</f>
        <v> $2,006,039.48</v>
      </c>
      <c r="C125" s="494" t="str">
        <f>B125</f>
        <v> $2,006,039.48</v>
      </c>
      <c r="D125" s="494" t="str">
        <f>B125</f>
        <v> $2,006,039.48</v>
      </c>
      <c r="E125" s="494" t="str">
        <f>'E-Inv AF y Am'!E57</f>
        <v> $2,006,039.48</v>
      </c>
      <c r="F125" s="495" t="str">
        <f>E125</f>
        <v> $2,006,039.48</v>
      </c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</row>
    <row r="126" ht="13.5" customHeight="1">
      <c r="A126" s="454" t="s">
        <v>182</v>
      </c>
      <c r="B126" s="494" t="str">
        <f t="shared" ref="B126:F126" si="41">B124+B125</f>
        <v> $5,159,521.38</v>
      </c>
      <c r="C126" s="494" t="str">
        <f t="shared" si="41"/>
        <v> $6,555,046.58</v>
      </c>
      <c r="D126" s="494" t="str">
        <f t="shared" si="41"/>
        <v> $6,556,625.92</v>
      </c>
      <c r="E126" s="494" t="str">
        <f t="shared" si="41"/>
        <v> $6,556,625.92</v>
      </c>
      <c r="F126" s="495" t="str">
        <f t="shared" si="41"/>
        <v> $6,556,625.92</v>
      </c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</row>
    <row r="127" ht="13.5" customHeight="1">
      <c r="A127" s="458"/>
      <c r="B127" s="366"/>
      <c r="C127" s="366"/>
      <c r="D127" s="366"/>
      <c r="E127" s="366"/>
      <c r="F127" s="445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</row>
    <row r="128" ht="12.75" customHeight="1">
      <c r="A128" s="458" t="s">
        <v>687</v>
      </c>
      <c r="B128" s="366" t="str">
        <f t="shared" ref="B128:F128" si="42">B39*B46</f>
        <v> $ 2,486,838.75 </v>
      </c>
      <c r="C128" s="366" t="str">
        <f t="shared" si="42"/>
        <v> $ 2,570,834.08 </v>
      </c>
      <c r="D128" s="366" t="str">
        <f t="shared" si="42"/>
        <v> $ 2,570,834.08 </v>
      </c>
      <c r="E128" s="366" t="str">
        <f t="shared" si="42"/>
        <v> $ 2,570,834.08 </v>
      </c>
      <c r="F128" s="445" t="str">
        <f t="shared" si="42"/>
        <v> $ 2,570,834.08 </v>
      </c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</row>
    <row r="129" ht="12.75" customHeight="1">
      <c r="A129" s="491" t="s">
        <v>688</v>
      </c>
      <c r="B129" s="366" t="str">
        <f t="shared" ref="B129:F129" si="43">B39*B47</f>
        <v> $ 4,590,872.80 </v>
      </c>
      <c r="C129" s="366" t="str">
        <f t="shared" si="43"/>
        <v> $ 5,405,469.77 </v>
      </c>
      <c r="D129" s="366" t="str">
        <f t="shared" si="43"/>
        <v> $ 5,405,469.77 </v>
      </c>
      <c r="E129" s="366" t="str">
        <f t="shared" si="43"/>
        <v> $ 5,405,469.77 </v>
      </c>
      <c r="F129" s="445" t="str">
        <f t="shared" si="43"/>
        <v> $ 5,405,469.77 </v>
      </c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</row>
    <row r="130" ht="12.75" customHeight="1">
      <c r="A130" s="458" t="s">
        <v>689</v>
      </c>
      <c r="B130" s="366" t="str">
        <f t="shared" ref="B130:F130" si="44">B61*B63</f>
        <v> $ 2,539,494.85 </v>
      </c>
      <c r="C130" s="366" t="str">
        <f t="shared" si="44"/>
        <v> $ 2,781,112.57 </v>
      </c>
      <c r="D130" s="366" t="str">
        <f t="shared" si="44"/>
        <v> $ 2,781,112.57 </v>
      </c>
      <c r="E130" s="366" t="str">
        <f t="shared" si="44"/>
        <v> $ 2,781,112.57 </v>
      </c>
      <c r="F130" s="445" t="str">
        <f t="shared" si="44"/>
        <v> $ 2,781,112.57 </v>
      </c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</row>
    <row r="131" ht="12.75" customHeight="1">
      <c r="A131" s="491" t="s">
        <v>690</v>
      </c>
      <c r="B131" s="366" t="str">
        <f t="shared" ref="B131:F131" si="45">B61*B64</f>
        <v> $ 53,309.91 </v>
      </c>
      <c r="C131" s="366" t="str">
        <f t="shared" si="45"/>
        <v> $ 58,274.90 </v>
      </c>
      <c r="D131" s="366" t="str">
        <f t="shared" si="45"/>
        <v> $ 58,274.90 </v>
      </c>
      <c r="E131" s="366" t="str">
        <f t="shared" si="45"/>
        <v> $ 58,274.90 </v>
      </c>
      <c r="F131" s="445" t="str">
        <f t="shared" si="45"/>
        <v> $ 58,274.90 </v>
      </c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</row>
    <row r="132" ht="12.75" customHeight="1">
      <c r="A132" s="458" t="s">
        <v>691</v>
      </c>
      <c r="B132" s="366" t="str">
        <f t="shared" ref="B132:F132" si="46">B78*B80</f>
        <v> $ 1,656,771.40 </v>
      </c>
      <c r="C132" s="366" t="str">
        <f t="shared" si="46"/>
        <v> $ 1,896,587.74 </v>
      </c>
      <c r="D132" s="366" t="str">
        <f t="shared" si="46"/>
        <v> $ 1,896,587.74 </v>
      </c>
      <c r="E132" s="366" t="str">
        <f t="shared" si="46"/>
        <v> $ 1,896,587.74 </v>
      </c>
      <c r="F132" s="445" t="str">
        <f t="shared" si="46"/>
        <v> $ 1,896,587.74 </v>
      </c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306"/>
    </row>
    <row r="133" ht="12.75" customHeight="1">
      <c r="A133" s="491" t="s">
        <v>692</v>
      </c>
      <c r="B133" s="366" t="str">
        <f t="shared" ref="B133:F133" si="47">B78*B81</f>
        <v> $ 793,185.96 </v>
      </c>
      <c r="C133" s="366" t="str">
        <f t="shared" si="47"/>
        <v> $ 949,584.91 </v>
      </c>
      <c r="D133" s="366" t="str">
        <f t="shared" si="47"/>
        <v> $ 949,584.91 </v>
      </c>
      <c r="E133" s="366" t="str">
        <f t="shared" si="47"/>
        <v> $ 949,584.91 </v>
      </c>
      <c r="F133" s="445" t="str">
        <f t="shared" si="47"/>
        <v> $ 949,584.91 </v>
      </c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  <c r="Z133" s="306"/>
    </row>
    <row r="134" ht="12.75" customHeight="1">
      <c r="A134" s="458" t="s">
        <v>693</v>
      </c>
      <c r="B134" s="366" t="str">
        <f t="shared" ref="B134:F134" si="48">B88-B129-B131-B133</f>
        <v> $ 11,518,631.33 </v>
      </c>
      <c r="C134" s="366" t="str">
        <f t="shared" si="48"/>
        <v> $ 14,781,670.41 </v>
      </c>
      <c r="D134" s="366" t="str">
        <f t="shared" si="48"/>
        <v> $ 14,781,670.41 </v>
      </c>
      <c r="E134" s="366" t="str">
        <f t="shared" si="48"/>
        <v> $ 14,781,670.41 </v>
      </c>
      <c r="F134" s="445" t="str">
        <f t="shared" si="48"/>
        <v> $ 14,781,670.41 </v>
      </c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</row>
    <row r="135" ht="13.5" customHeight="1">
      <c r="A135" s="446" t="s">
        <v>694</v>
      </c>
      <c r="B135" s="496" t="str">
        <f t="shared" ref="B135:F135" si="49">(B128+B130+B132)/B134</f>
        <v>58.02%</v>
      </c>
      <c r="C135" s="496" t="str">
        <f t="shared" si="49"/>
        <v>49.04%</v>
      </c>
      <c r="D135" s="496" t="str">
        <f t="shared" si="49"/>
        <v>49.04%</v>
      </c>
      <c r="E135" s="496" t="str">
        <f t="shared" si="49"/>
        <v>49.04%</v>
      </c>
      <c r="F135" s="497" t="str">
        <f t="shared" si="49"/>
        <v>49.04%</v>
      </c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</row>
    <row r="136" ht="16.5" customHeight="1">
      <c r="A136" s="498" t="s">
        <v>695</v>
      </c>
      <c r="B136" s="306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</row>
    <row r="137" ht="12.75" customHeight="1">
      <c r="A137" s="306"/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  <c r="Y137" s="306"/>
      <c r="Z137" s="306"/>
    </row>
    <row r="138" ht="12.75" customHeight="1">
      <c r="A138" s="306"/>
      <c r="B138" s="499" t="s">
        <v>696</v>
      </c>
      <c r="C138" s="499"/>
      <c r="D138" s="499"/>
      <c r="E138" s="499"/>
      <c r="F138" s="499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</row>
    <row r="139" ht="12.75" customHeight="1">
      <c r="A139" s="306"/>
      <c r="B139" s="499" t="s">
        <v>697</v>
      </c>
      <c r="C139" s="499" t="s">
        <v>698</v>
      </c>
      <c r="D139" s="499" t="s">
        <v>699</v>
      </c>
      <c r="E139" s="499" t="s">
        <v>700</v>
      </c>
      <c r="F139" s="499" t="s">
        <v>701</v>
      </c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</row>
    <row r="140" ht="12.75" customHeight="1">
      <c r="A140" s="306"/>
      <c r="B140" s="500">
        <v>0.0</v>
      </c>
      <c r="C140" s="501" t="str">
        <f t="shared" ref="C140:C164" si="50">B140*$B$87</f>
        <v> $0.00</v>
      </c>
      <c r="D140" s="501" t="str">
        <f t="shared" ref="D140:D164" si="51">B140*$B$102</f>
        <v> $0.00</v>
      </c>
      <c r="E140" s="502" t="str">
        <f t="shared" ref="E140:E164" si="52">$B$128+$B$130+$B$132</f>
        <v> $ 6,683,105.00 </v>
      </c>
      <c r="F140" s="501" t="str">
        <f t="shared" ref="F140:F164" si="53">D140+E140</f>
        <v> $6,683,105.00</v>
      </c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</row>
    <row r="141" ht="12.75" customHeight="1">
      <c r="A141" s="306"/>
      <c r="B141" s="503">
        <v>500.0</v>
      </c>
      <c r="C141" s="501" t="str">
        <f t="shared" si="50"/>
        <v> $713,636.36</v>
      </c>
      <c r="D141" s="501" t="str">
        <f t="shared" si="51"/>
        <v> $279,459.66</v>
      </c>
      <c r="E141" s="502" t="str">
        <f t="shared" si="52"/>
        <v> $ 6,683,105.00 </v>
      </c>
      <c r="F141" s="501" t="str">
        <f t="shared" si="53"/>
        <v> $6,962,564.66</v>
      </c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</row>
    <row r="142" ht="12.75" customHeight="1">
      <c r="A142" s="306"/>
      <c r="B142" s="503">
        <v>1000.0</v>
      </c>
      <c r="C142" s="501" t="str">
        <f t="shared" si="50"/>
        <v> $1,427,272.73</v>
      </c>
      <c r="D142" s="501" t="str">
        <f t="shared" si="51"/>
        <v> $558,919.33</v>
      </c>
      <c r="E142" s="502" t="str">
        <f t="shared" si="52"/>
        <v> $ 6,683,105.00 </v>
      </c>
      <c r="F142" s="501" t="str">
        <f t="shared" si="53"/>
        <v> $7,242,024.33</v>
      </c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</row>
    <row r="143" ht="12.75" customHeight="1">
      <c r="A143" s="306"/>
      <c r="B143" s="503">
        <v>1500.0</v>
      </c>
      <c r="C143" s="501" t="str">
        <f t="shared" si="50"/>
        <v> $2,140,909.09</v>
      </c>
      <c r="D143" s="501" t="str">
        <f t="shared" si="51"/>
        <v> $838,378.99</v>
      </c>
      <c r="E143" s="502" t="str">
        <f t="shared" si="52"/>
        <v> $ 6,683,105.00 </v>
      </c>
      <c r="F143" s="501" t="str">
        <f t="shared" si="53"/>
        <v> $7,521,483.99</v>
      </c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6"/>
      <c r="U143" s="306"/>
      <c r="V143" s="306"/>
      <c r="W143" s="306"/>
      <c r="X143" s="306"/>
      <c r="Y143" s="306"/>
      <c r="Z143" s="306"/>
    </row>
    <row r="144" ht="12.75" customHeight="1">
      <c r="A144" s="306"/>
      <c r="B144" s="503">
        <v>2000.0</v>
      </c>
      <c r="C144" s="501" t="str">
        <f t="shared" si="50"/>
        <v> $2,854,545.45</v>
      </c>
      <c r="D144" s="501" t="str">
        <f t="shared" si="51"/>
        <v> $1,117,838.65</v>
      </c>
      <c r="E144" s="502" t="str">
        <f t="shared" si="52"/>
        <v> $ 6,683,105.00 </v>
      </c>
      <c r="F144" s="501" t="str">
        <f t="shared" si="53"/>
        <v> $7,800,943.65</v>
      </c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306"/>
    </row>
    <row r="145" ht="12.75" customHeight="1">
      <c r="A145" s="306"/>
      <c r="B145" s="503">
        <v>2500.0</v>
      </c>
      <c r="C145" s="501" t="str">
        <f t="shared" si="50"/>
        <v> $3,568,181.82</v>
      </c>
      <c r="D145" s="501" t="str">
        <f t="shared" si="51"/>
        <v> $1,397,298.31</v>
      </c>
      <c r="E145" s="502" t="str">
        <f t="shared" si="52"/>
        <v> $ 6,683,105.00 </v>
      </c>
      <c r="F145" s="501" t="str">
        <f t="shared" si="53"/>
        <v> $8,080,403.31</v>
      </c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</row>
    <row r="146" ht="12.75" customHeight="1">
      <c r="A146" s="306"/>
      <c r="B146" s="503">
        <v>3000.0</v>
      </c>
      <c r="C146" s="501" t="str">
        <f t="shared" si="50"/>
        <v> $4,281,818.18</v>
      </c>
      <c r="D146" s="501" t="str">
        <f t="shared" si="51"/>
        <v> $1,676,757.98</v>
      </c>
      <c r="E146" s="502" t="str">
        <f t="shared" si="52"/>
        <v> $ 6,683,105.00 </v>
      </c>
      <c r="F146" s="501" t="str">
        <f t="shared" si="53"/>
        <v> $8,359,862.98</v>
      </c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</row>
    <row r="147" ht="12.75" customHeight="1">
      <c r="A147" s="306"/>
      <c r="B147" s="500">
        <v>3500.0</v>
      </c>
      <c r="C147" s="501" t="str">
        <f t="shared" si="50"/>
        <v> $4,995,454.55</v>
      </c>
      <c r="D147" s="501" t="str">
        <f t="shared" si="51"/>
        <v> $1,956,217.64</v>
      </c>
      <c r="E147" s="502" t="str">
        <f t="shared" si="52"/>
        <v> $ 6,683,105.00 </v>
      </c>
      <c r="F147" s="501" t="str">
        <f t="shared" si="53"/>
        <v> $8,639,322.64</v>
      </c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  <c r="Z147" s="306"/>
    </row>
    <row r="148" ht="12.75" customHeight="1">
      <c r="A148" s="306"/>
      <c r="B148" s="500">
        <v>4000.0</v>
      </c>
      <c r="C148" s="501" t="str">
        <f t="shared" si="50"/>
        <v> $5,709,090.91</v>
      </c>
      <c r="D148" s="501" t="str">
        <f t="shared" si="51"/>
        <v> $2,235,677.30</v>
      </c>
      <c r="E148" s="502" t="str">
        <f t="shared" si="52"/>
        <v> $ 6,683,105.00 </v>
      </c>
      <c r="F148" s="501" t="str">
        <f t="shared" si="53"/>
        <v> $8,918,782.30</v>
      </c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  <c r="Z148" s="306"/>
    </row>
    <row r="149" ht="12.75" customHeight="1">
      <c r="A149" s="306"/>
      <c r="B149" s="500">
        <v>4500.0</v>
      </c>
      <c r="C149" s="501" t="str">
        <f t="shared" si="50"/>
        <v> $6,422,727.27</v>
      </c>
      <c r="D149" s="501" t="str">
        <f t="shared" si="51"/>
        <v> $2,515,136.97</v>
      </c>
      <c r="E149" s="502" t="str">
        <f t="shared" si="52"/>
        <v> $ 6,683,105.00 </v>
      </c>
      <c r="F149" s="501" t="str">
        <f t="shared" si="53"/>
        <v> $9,198,241.97</v>
      </c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</row>
    <row r="150" ht="12.75" customHeight="1">
      <c r="A150" s="306"/>
      <c r="B150" s="500">
        <v>5000.0</v>
      </c>
      <c r="C150" s="501" t="str">
        <f t="shared" si="50"/>
        <v> $7,136,363.64</v>
      </c>
      <c r="D150" s="501" t="str">
        <f t="shared" si="51"/>
        <v> $2,794,596.63</v>
      </c>
      <c r="E150" s="502" t="str">
        <f t="shared" si="52"/>
        <v> $ 6,683,105.00 </v>
      </c>
      <c r="F150" s="501" t="str">
        <f t="shared" si="53"/>
        <v> $9,477,701.63</v>
      </c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</row>
    <row r="151" ht="12.75" customHeight="1">
      <c r="A151" s="306"/>
      <c r="B151" s="500">
        <v>5500.0</v>
      </c>
      <c r="C151" s="501" t="str">
        <f t="shared" si="50"/>
        <v> $7,850,000.00</v>
      </c>
      <c r="D151" s="501" t="str">
        <f t="shared" si="51"/>
        <v> $3,074,056.29</v>
      </c>
      <c r="E151" s="502" t="str">
        <f t="shared" si="52"/>
        <v> $ 6,683,105.00 </v>
      </c>
      <c r="F151" s="501" t="str">
        <f t="shared" si="53"/>
        <v> $9,757,161.29</v>
      </c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306"/>
      <c r="Y151" s="306"/>
      <c r="Z151" s="306"/>
    </row>
    <row r="152" ht="12.75" customHeight="1">
      <c r="A152" s="306"/>
      <c r="B152" s="500">
        <v>6000.0</v>
      </c>
      <c r="C152" s="501" t="str">
        <f t="shared" si="50"/>
        <v> $8,563,636.36</v>
      </c>
      <c r="D152" s="501" t="str">
        <f t="shared" si="51"/>
        <v> $3,353,515.95</v>
      </c>
      <c r="E152" s="502" t="str">
        <f t="shared" si="52"/>
        <v> $ 6,683,105.00 </v>
      </c>
      <c r="F152" s="501" t="str">
        <f t="shared" si="53"/>
        <v> $10,036,620.95</v>
      </c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</row>
    <row r="153" ht="12.75" customHeight="1">
      <c r="A153" s="306"/>
      <c r="B153" s="500">
        <v>6500.0</v>
      </c>
      <c r="C153" s="501" t="str">
        <f t="shared" si="50"/>
        <v> $9,277,272.73</v>
      </c>
      <c r="D153" s="501" t="str">
        <f t="shared" si="51"/>
        <v> $3,632,975.62</v>
      </c>
      <c r="E153" s="502" t="str">
        <f t="shared" si="52"/>
        <v> $ 6,683,105.00 </v>
      </c>
      <c r="F153" s="501" t="str">
        <f t="shared" si="53"/>
        <v> $10,316,080.62</v>
      </c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  <c r="Z153" s="306"/>
    </row>
    <row r="154" ht="12.75" customHeight="1">
      <c r="A154" s="306"/>
      <c r="B154" s="500">
        <v>7000.0</v>
      </c>
      <c r="C154" s="501" t="str">
        <f t="shared" si="50"/>
        <v> $9,990,909.09</v>
      </c>
      <c r="D154" s="501" t="str">
        <f t="shared" si="51"/>
        <v> $3,912,435.28</v>
      </c>
      <c r="E154" s="502" t="str">
        <f t="shared" si="52"/>
        <v> $ 6,683,105.00 </v>
      </c>
      <c r="F154" s="501" t="str">
        <f t="shared" si="53"/>
        <v> $10,595,540.28</v>
      </c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306"/>
      <c r="X154" s="306"/>
      <c r="Y154" s="306"/>
      <c r="Z154" s="306"/>
    </row>
    <row r="155" ht="12.75" customHeight="1">
      <c r="A155" s="306"/>
      <c r="B155" s="500">
        <v>7500.0</v>
      </c>
      <c r="C155" s="501" t="str">
        <f t="shared" si="50"/>
        <v> $10,704,545.45</v>
      </c>
      <c r="D155" s="501" t="str">
        <f t="shared" si="51"/>
        <v> $4,191,894.94</v>
      </c>
      <c r="E155" s="502" t="str">
        <f t="shared" si="52"/>
        <v> $ 6,683,105.00 </v>
      </c>
      <c r="F155" s="501" t="str">
        <f t="shared" si="53"/>
        <v> $10,874,999.94</v>
      </c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306"/>
      <c r="X155" s="306"/>
      <c r="Y155" s="306"/>
      <c r="Z155" s="306"/>
    </row>
    <row r="156" ht="12.75" customHeight="1">
      <c r="A156" s="306"/>
      <c r="B156" s="500">
        <v>8000.0</v>
      </c>
      <c r="C156" s="501" t="str">
        <f t="shared" si="50"/>
        <v> $11,418,181.82</v>
      </c>
      <c r="D156" s="501" t="str">
        <f t="shared" si="51"/>
        <v> $4,471,354.60</v>
      </c>
      <c r="E156" s="502" t="str">
        <f t="shared" si="52"/>
        <v> $ 6,683,105.00 </v>
      </c>
      <c r="F156" s="501" t="str">
        <f t="shared" si="53"/>
        <v> $11,154,459.61</v>
      </c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306"/>
      <c r="X156" s="306"/>
      <c r="Y156" s="306"/>
      <c r="Z156" s="306"/>
    </row>
    <row r="157" ht="12.75" customHeight="1">
      <c r="A157" s="306"/>
      <c r="B157" s="500">
        <v>8500.0</v>
      </c>
      <c r="C157" s="501" t="str">
        <f t="shared" si="50"/>
        <v> $12,131,818.18</v>
      </c>
      <c r="D157" s="501" t="str">
        <f t="shared" si="51"/>
        <v> $4,750,814.27</v>
      </c>
      <c r="E157" s="502" t="str">
        <f t="shared" si="52"/>
        <v> $ 6,683,105.00 </v>
      </c>
      <c r="F157" s="501" t="str">
        <f t="shared" si="53"/>
        <v> $11,433,919.27</v>
      </c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306"/>
    </row>
    <row r="158" ht="12.75" customHeight="1">
      <c r="A158" s="306"/>
      <c r="B158" s="500">
        <v>9000.0</v>
      </c>
      <c r="C158" s="501" t="str">
        <f t="shared" si="50"/>
        <v> $12,845,454.55</v>
      </c>
      <c r="D158" s="501" t="str">
        <f t="shared" si="51"/>
        <v> $5,030,273.93</v>
      </c>
      <c r="E158" s="502" t="str">
        <f t="shared" si="52"/>
        <v> $ 6,683,105.00 </v>
      </c>
      <c r="F158" s="501" t="str">
        <f t="shared" si="53"/>
        <v> $11,713,378.93</v>
      </c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</row>
    <row r="159" ht="12.75" customHeight="1">
      <c r="A159" s="306"/>
      <c r="B159" s="500">
        <v>9500.0</v>
      </c>
      <c r="C159" s="501" t="str">
        <f t="shared" si="50"/>
        <v> $13,559,090.91</v>
      </c>
      <c r="D159" s="501" t="str">
        <f t="shared" si="51"/>
        <v> $5,309,733.59</v>
      </c>
      <c r="E159" s="502" t="str">
        <f t="shared" si="52"/>
        <v> $ 6,683,105.00 </v>
      </c>
      <c r="F159" s="501" t="str">
        <f t="shared" si="53"/>
        <v> $11,992,838.59</v>
      </c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</row>
    <row r="160" ht="12.75" customHeight="1">
      <c r="A160" s="306"/>
      <c r="B160" s="500">
        <v>10000.0</v>
      </c>
      <c r="C160" s="501" t="str">
        <f t="shared" si="50"/>
        <v> $14,272,727.27</v>
      </c>
      <c r="D160" s="501" t="str">
        <f t="shared" si="51"/>
        <v> $5,589,193.26</v>
      </c>
      <c r="E160" s="502" t="str">
        <f t="shared" si="52"/>
        <v> $ 6,683,105.00 </v>
      </c>
      <c r="F160" s="501" t="str">
        <f t="shared" si="53"/>
        <v> $12,272,298.26</v>
      </c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  <c r="Z160" s="306"/>
    </row>
    <row r="161" ht="12.75" customHeight="1">
      <c r="A161" s="306"/>
      <c r="B161" s="500">
        <v>10500.0</v>
      </c>
      <c r="C161" s="501" t="str">
        <f t="shared" si="50"/>
        <v> $14,986,363.64</v>
      </c>
      <c r="D161" s="501" t="str">
        <f t="shared" si="51"/>
        <v> $5,868,652.92</v>
      </c>
      <c r="E161" s="502" t="str">
        <f t="shared" si="52"/>
        <v> $ 6,683,105.00 </v>
      </c>
      <c r="F161" s="501" t="str">
        <f t="shared" si="53"/>
        <v> $12,551,757.92</v>
      </c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</row>
    <row r="162" ht="12.75" customHeight="1">
      <c r="A162" s="306"/>
      <c r="B162" s="500">
        <v>11000.0</v>
      </c>
      <c r="C162" s="501" t="str">
        <f t="shared" si="50"/>
        <v> $15,700,000.00</v>
      </c>
      <c r="D162" s="501" t="str">
        <f t="shared" si="51"/>
        <v> $6,148,112.58</v>
      </c>
      <c r="E162" s="502" t="str">
        <f t="shared" si="52"/>
        <v> $ 6,683,105.00 </v>
      </c>
      <c r="F162" s="501" t="str">
        <f t="shared" si="53"/>
        <v> $12,831,217.58</v>
      </c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</row>
    <row r="163" ht="12.75" customHeight="1">
      <c r="A163" s="306"/>
      <c r="B163" s="500">
        <v>11500.0</v>
      </c>
      <c r="C163" s="501" t="str">
        <f t="shared" si="50"/>
        <v> $16,413,636.36</v>
      </c>
      <c r="D163" s="501" t="str">
        <f t="shared" si="51"/>
        <v> $6,427,572.24</v>
      </c>
      <c r="E163" s="502" t="str">
        <f t="shared" si="52"/>
        <v> $ 6,683,105.00 </v>
      </c>
      <c r="F163" s="501" t="str">
        <f t="shared" si="53"/>
        <v> $13,110,677.24</v>
      </c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</row>
    <row r="164" ht="12.75" customHeight="1">
      <c r="A164" s="306"/>
      <c r="B164" s="504" t="str">
        <f>B86</f>
        <v>  11,880.00 </v>
      </c>
      <c r="C164" s="501" t="str">
        <f t="shared" si="50"/>
        <v> $16,956,000.00</v>
      </c>
      <c r="D164" s="501" t="str">
        <f t="shared" si="51"/>
        <v> $6,639,961.59</v>
      </c>
      <c r="E164" s="502" t="str">
        <f t="shared" si="52"/>
        <v> $ 6,683,105.00 </v>
      </c>
      <c r="F164" s="501" t="str">
        <f t="shared" si="53"/>
        <v> $13,323,066.59</v>
      </c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</row>
    <row r="165" ht="12.75" customHeight="1">
      <c r="A165" s="463" t="s">
        <v>645</v>
      </c>
      <c r="B165" s="306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</row>
    <row r="166" ht="12.75" customHeight="1">
      <c r="A166" s="219" t="s">
        <v>702</v>
      </c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</row>
    <row r="167" ht="12.75" customHeight="1">
      <c r="A167" s="306"/>
      <c r="B167" s="499" t="s">
        <v>703</v>
      </c>
      <c r="C167" s="499"/>
      <c r="D167" s="499"/>
      <c r="E167" s="499"/>
      <c r="F167" s="499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</row>
    <row r="168" ht="12.75" customHeight="1">
      <c r="A168" s="306"/>
      <c r="B168" s="499" t="s">
        <v>697</v>
      </c>
      <c r="C168" s="499" t="s">
        <v>698</v>
      </c>
      <c r="D168" s="499" t="s">
        <v>699</v>
      </c>
      <c r="E168" s="499" t="s">
        <v>700</v>
      </c>
      <c r="F168" s="499" t="s">
        <v>701</v>
      </c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  <c r="Z168" s="306"/>
    </row>
    <row r="169" ht="12.75" customHeight="1">
      <c r="A169" s="306"/>
      <c r="B169" s="500">
        <v>0.0</v>
      </c>
      <c r="C169" s="501" t="str">
        <f t="shared" ref="C169:C199" si="54">B169*$B$87</f>
        <v> $0.00</v>
      </c>
      <c r="D169" s="501" t="str">
        <f t="shared" ref="D169:D199" si="55">B169*$F$102</f>
        <v> $0.00</v>
      </c>
      <c r="E169" s="502" t="str">
        <f t="shared" ref="E169:E199" si="56">$E$128+$E$130+$E$132</f>
        <v> $ 7,248,534.38 </v>
      </c>
      <c r="F169" s="501" t="str">
        <f t="shared" ref="F169:F199" si="57">D169+E169</f>
        <v> $7,248,534.38</v>
      </c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6"/>
      <c r="T169" s="306"/>
      <c r="U169" s="306"/>
      <c r="V169" s="306"/>
      <c r="W169" s="306"/>
      <c r="X169" s="306"/>
      <c r="Y169" s="306"/>
      <c r="Z169" s="306"/>
    </row>
    <row r="170" ht="12.75" customHeight="1">
      <c r="A170" s="306"/>
      <c r="B170" s="503">
        <v>500.0</v>
      </c>
      <c r="C170" s="501" t="str">
        <f t="shared" si="54"/>
        <v> $713,636.36</v>
      </c>
      <c r="D170" s="501" t="str">
        <f t="shared" si="55"/>
        <v> $268,562.42</v>
      </c>
      <c r="E170" s="502" t="str">
        <f t="shared" si="56"/>
        <v> $ 7,248,534.38 </v>
      </c>
      <c r="F170" s="501" t="str">
        <f t="shared" si="57"/>
        <v> $7,517,096.80</v>
      </c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</row>
    <row r="171" ht="12.75" customHeight="1">
      <c r="A171" s="306"/>
      <c r="B171" s="503">
        <v>1000.0</v>
      </c>
      <c r="C171" s="501" t="str">
        <f t="shared" si="54"/>
        <v> $1,427,272.73</v>
      </c>
      <c r="D171" s="501" t="str">
        <f t="shared" si="55"/>
        <v> $537,124.84</v>
      </c>
      <c r="E171" s="502" t="str">
        <f t="shared" si="56"/>
        <v> $ 7,248,534.38 </v>
      </c>
      <c r="F171" s="501" t="str">
        <f t="shared" si="57"/>
        <v> $7,785,659.22</v>
      </c>
      <c r="G171" s="306"/>
      <c r="H171" s="306"/>
      <c r="I171" s="306"/>
      <c r="J171" s="306"/>
      <c r="K171" s="306"/>
      <c r="L171" s="306"/>
      <c r="M171" s="306"/>
      <c r="N171" s="306"/>
      <c r="O171" s="306"/>
      <c r="P171" s="306"/>
      <c r="Q171" s="306"/>
      <c r="R171" s="306"/>
      <c r="S171" s="306"/>
      <c r="T171" s="306"/>
      <c r="U171" s="306"/>
      <c r="V171" s="306"/>
      <c r="W171" s="306"/>
      <c r="X171" s="306"/>
      <c r="Y171" s="306"/>
      <c r="Z171" s="306"/>
    </row>
    <row r="172" ht="12.75" customHeight="1">
      <c r="A172" s="306"/>
      <c r="B172" s="503">
        <v>1500.0</v>
      </c>
      <c r="C172" s="501" t="str">
        <f t="shared" si="54"/>
        <v> $2,140,909.09</v>
      </c>
      <c r="D172" s="501" t="str">
        <f t="shared" si="55"/>
        <v> $805,687.26</v>
      </c>
      <c r="E172" s="502" t="str">
        <f t="shared" si="56"/>
        <v> $ 7,248,534.38 </v>
      </c>
      <c r="F172" s="501" t="str">
        <f t="shared" si="57"/>
        <v> $8,054,221.64</v>
      </c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</row>
    <row r="173" ht="12.75" customHeight="1">
      <c r="A173" s="306"/>
      <c r="B173" s="503">
        <v>2000.0</v>
      </c>
      <c r="C173" s="501" t="str">
        <f t="shared" si="54"/>
        <v> $2,854,545.45</v>
      </c>
      <c r="D173" s="501" t="str">
        <f t="shared" si="55"/>
        <v> $1,074,249.68</v>
      </c>
      <c r="E173" s="502" t="str">
        <f t="shared" si="56"/>
        <v> $ 7,248,534.38 </v>
      </c>
      <c r="F173" s="501" t="str">
        <f t="shared" si="57"/>
        <v> $8,322,784.06</v>
      </c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306"/>
      <c r="X173" s="306"/>
      <c r="Y173" s="306"/>
      <c r="Z173" s="306"/>
    </row>
    <row r="174" ht="12.75" customHeight="1">
      <c r="A174" s="306"/>
      <c r="B174" s="503">
        <v>2500.0</v>
      </c>
      <c r="C174" s="501" t="str">
        <f t="shared" si="54"/>
        <v> $3,568,181.82</v>
      </c>
      <c r="D174" s="501" t="str">
        <f t="shared" si="55"/>
        <v> $1,342,812.10</v>
      </c>
      <c r="E174" s="502" t="str">
        <f t="shared" si="56"/>
        <v> $ 7,248,534.38 </v>
      </c>
      <c r="F174" s="501" t="str">
        <f t="shared" si="57"/>
        <v> $8,591,346.48</v>
      </c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  <c r="Z174" s="306"/>
    </row>
    <row r="175" ht="12.75" customHeight="1">
      <c r="A175" s="306"/>
      <c r="B175" s="503">
        <v>3000.0</v>
      </c>
      <c r="C175" s="501" t="str">
        <f t="shared" si="54"/>
        <v> $4,281,818.18</v>
      </c>
      <c r="D175" s="501" t="str">
        <f t="shared" si="55"/>
        <v> $1,611,374.52</v>
      </c>
      <c r="E175" s="502" t="str">
        <f t="shared" si="56"/>
        <v> $ 7,248,534.38 </v>
      </c>
      <c r="F175" s="501" t="str">
        <f t="shared" si="57"/>
        <v> $8,859,908.90</v>
      </c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</row>
    <row r="176" ht="12.75" customHeight="1">
      <c r="A176" s="306"/>
      <c r="B176" s="503">
        <v>3500.0</v>
      </c>
      <c r="C176" s="501" t="str">
        <f t="shared" si="54"/>
        <v> $4,995,454.55</v>
      </c>
      <c r="D176" s="501" t="str">
        <f t="shared" si="55"/>
        <v> $1,879,936.93</v>
      </c>
      <c r="E176" s="502" t="str">
        <f t="shared" si="56"/>
        <v> $ 7,248,534.38 </v>
      </c>
      <c r="F176" s="501" t="str">
        <f t="shared" si="57"/>
        <v> $9,128,471.32</v>
      </c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/>
      <c r="Z176" s="306"/>
    </row>
    <row r="177" ht="12.75" customHeight="1">
      <c r="A177" s="306"/>
      <c r="B177" s="503">
        <v>4000.0</v>
      </c>
      <c r="C177" s="501" t="str">
        <f t="shared" si="54"/>
        <v> $5,709,090.91</v>
      </c>
      <c r="D177" s="501" t="str">
        <f t="shared" si="55"/>
        <v> $2,148,499.35</v>
      </c>
      <c r="E177" s="502" t="str">
        <f t="shared" si="56"/>
        <v> $ 7,248,534.38 </v>
      </c>
      <c r="F177" s="501" t="str">
        <f t="shared" si="57"/>
        <v> $9,397,033.74</v>
      </c>
      <c r="G177" s="306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306"/>
      <c r="X177" s="306"/>
      <c r="Y177" s="306"/>
      <c r="Z177" s="306"/>
    </row>
    <row r="178" ht="12.75" customHeight="1">
      <c r="A178" s="306"/>
      <c r="B178" s="503">
        <v>4500.0</v>
      </c>
      <c r="C178" s="501" t="str">
        <f t="shared" si="54"/>
        <v> $6,422,727.27</v>
      </c>
      <c r="D178" s="501" t="str">
        <f t="shared" si="55"/>
        <v> $2,417,061.77</v>
      </c>
      <c r="E178" s="502" t="str">
        <f t="shared" si="56"/>
        <v> $ 7,248,534.38 </v>
      </c>
      <c r="F178" s="501" t="str">
        <f t="shared" si="57"/>
        <v> $9,665,596.16</v>
      </c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306"/>
    </row>
    <row r="179" ht="12.75" customHeight="1">
      <c r="A179" s="306"/>
      <c r="B179" s="500">
        <v>5000.0</v>
      </c>
      <c r="C179" s="501" t="str">
        <f t="shared" si="54"/>
        <v> $7,136,363.64</v>
      </c>
      <c r="D179" s="501" t="str">
        <f t="shared" si="55"/>
        <v> $2,685,624.19</v>
      </c>
      <c r="E179" s="502" t="str">
        <f t="shared" si="56"/>
        <v> $ 7,248,534.38 </v>
      </c>
      <c r="F179" s="501" t="str">
        <f t="shared" si="57"/>
        <v> $9,934,158.58</v>
      </c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/>
      <c r="V179" s="306"/>
      <c r="W179" s="306"/>
      <c r="X179" s="306"/>
      <c r="Y179" s="306"/>
      <c r="Z179" s="306"/>
    </row>
    <row r="180" ht="12.75" customHeight="1">
      <c r="A180" s="306"/>
      <c r="B180" s="503">
        <v>5500.0</v>
      </c>
      <c r="C180" s="501" t="str">
        <f t="shared" si="54"/>
        <v> $7,850,000.00</v>
      </c>
      <c r="D180" s="501" t="str">
        <f t="shared" si="55"/>
        <v> $2,954,186.61</v>
      </c>
      <c r="E180" s="502" t="str">
        <f t="shared" si="56"/>
        <v> $ 7,248,534.38 </v>
      </c>
      <c r="F180" s="501" t="str">
        <f t="shared" si="57"/>
        <v> $10,202,721.00</v>
      </c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</row>
    <row r="181" ht="12.75" customHeight="1">
      <c r="A181" s="306"/>
      <c r="B181" s="500">
        <v>6000.0</v>
      </c>
      <c r="C181" s="501" t="str">
        <f t="shared" si="54"/>
        <v> $8,563,636.36</v>
      </c>
      <c r="D181" s="501" t="str">
        <f t="shared" si="55"/>
        <v> $3,222,749.03</v>
      </c>
      <c r="E181" s="502" t="str">
        <f t="shared" si="56"/>
        <v> $ 7,248,534.38 </v>
      </c>
      <c r="F181" s="501" t="str">
        <f t="shared" si="57"/>
        <v> $10,471,283.41</v>
      </c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  <c r="Y181" s="306"/>
      <c r="Z181" s="306"/>
    </row>
    <row r="182" ht="12.75" customHeight="1">
      <c r="A182" s="306"/>
      <c r="B182" s="503">
        <v>6500.0</v>
      </c>
      <c r="C182" s="501" t="str">
        <f t="shared" si="54"/>
        <v> $9,277,272.73</v>
      </c>
      <c r="D182" s="501" t="str">
        <f t="shared" si="55"/>
        <v> $3,491,311.45</v>
      </c>
      <c r="E182" s="502" t="str">
        <f t="shared" si="56"/>
        <v> $ 7,248,534.38 </v>
      </c>
      <c r="F182" s="501" t="str">
        <f t="shared" si="57"/>
        <v> $10,739,845.83</v>
      </c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  <c r="Z182" s="306"/>
    </row>
    <row r="183" ht="12.75" customHeight="1">
      <c r="A183" s="306"/>
      <c r="B183" s="500">
        <v>7000.0</v>
      </c>
      <c r="C183" s="501" t="str">
        <f t="shared" si="54"/>
        <v> $9,990,909.09</v>
      </c>
      <c r="D183" s="501" t="str">
        <f t="shared" si="55"/>
        <v> $3,759,873.87</v>
      </c>
      <c r="E183" s="502" t="str">
        <f t="shared" si="56"/>
        <v> $ 7,248,534.38 </v>
      </c>
      <c r="F183" s="501" t="str">
        <f t="shared" si="57"/>
        <v> $11,008,408.25</v>
      </c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</row>
    <row r="184" ht="12.75" customHeight="1">
      <c r="A184" s="306"/>
      <c r="B184" s="503">
        <v>7500.0</v>
      </c>
      <c r="C184" s="501" t="str">
        <f t="shared" si="54"/>
        <v> $10,704,545.45</v>
      </c>
      <c r="D184" s="501" t="str">
        <f t="shared" si="55"/>
        <v> $4,028,436.29</v>
      </c>
      <c r="E184" s="502" t="str">
        <f t="shared" si="56"/>
        <v> $ 7,248,534.38 </v>
      </c>
      <c r="F184" s="501" t="str">
        <f t="shared" si="57"/>
        <v> $11,276,970.67</v>
      </c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</row>
    <row r="185" ht="12.75" customHeight="1">
      <c r="A185" s="306"/>
      <c r="B185" s="500">
        <v>8000.0</v>
      </c>
      <c r="C185" s="501" t="str">
        <f t="shared" si="54"/>
        <v> $11,418,181.82</v>
      </c>
      <c r="D185" s="501" t="str">
        <f t="shared" si="55"/>
        <v> $4,296,998.71</v>
      </c>
      <c r="E185" s="502" t="str">
        <f t="shared" si="56"/>
        <v> $ 7,248,534.38 </v>
      </c>
      <c r="F185" s="501" t="str">
        <f t="shared" si="57"/>
        <v> $11,545,533.09</v>
      </c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</row>
    <row r="186" ht="12.75" customHeight="1">
      <c r="A186" s="306"/>
      <c r="B186" s="503">
        <v>8500.0</v>
      </c>
      <c r="C186" s="501" t="str">
        <f t="shared" si="54"/>
        <v> $12,131,818.18</v>
      </c>
      <c r="D186" s="501" t="str">
        <f t="shared" si="55"/>
        <v> $4,565,561.13</v>
      </c>
      <c r="E186" s="502" t="str">
        <f t="shared" si="56"/>
        <v> $ 7,248,534.38 </v>
      </c>
      <c r="F186" s="501" t="str">
        <f t="shared" si="57"/>
        <v> $11,814,095.51</v>
      </c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</row>
    <row r="187" ht="12.75" customHeight="1">
      <c r="A187" s="306"/>
      <c r="B187" s="500">
        <v>9000.0</v>
      </c>
      <c r="C187" s="501" t="str">
        <f t="shared" si="54"/>
        <v> $12,845,454.55</v>
      </c>
      <c r="D187" s="501" t="str">
        <f t="shared" si="55"/>
        <v> $4,834,123.55</v>
      </c>
      <c r="E187" s="502" t="str">
        <f t="shared" si="56"/>
        <v> $ 7,248,534.38 </v>
      </c>
      <c r="F187" s="501" t="str">
        <f t="shared" si="57"/>
        <v> $12,082,657.93</v>
      </c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</row>
    <row r="188" ht="12.75" customHeight="1">
      <c r="A188" s="306"/>
      <c r="B188" s="503">
        <v>9500.0</v>
      </c>
      <c r="C188" s="501" t="str">
        <f t="shared" si="54"/>
        <v> $13,559,090.91</v>
      </c>
      <c r="D188" s="501" t="str">
        <f t="shared" si="55"/>
        <v> $5,102,685.97</v>
      </c>
      <c r="E188" s="502" t="str">
        <f t="shared" si="56"/>
        <v> $ 7,248,534.38 </v>
      </c>
      <c r="F188" s="501" t="str">
        <f t="shared" si="57"/>
        <v> $12,351,220.35</v>
      </c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  <c r="Z188" s="306"/>
    </row>
    <row r="189" ht="12.75" customHeight="1">
      <c r="A189" s="306"/>
      <c r="B189" s="500">
        <v>10000.0</v>
      </c>
      <c r="C189" s="501" t="str">
        <f t="shared" si="54"/>
        <v> $14,272,727.27</v>
      </c>
      <c r="D189" s="501" t="str">
        <f t="shared" si="55"/>
        <v> $5,371,248.38</v>
      </c>
      <c r="E189" s="502" t="str">
        <f t="shared" si="56"/>
        <v> $ 7,248,534.38 </v>
      </c>
      <c r="F189" s="501" t="str">
        <f t="shared" si="57"/>
        <v> $12,619,782.77</v>
      </c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</row>
    <row r="190" ht="12.75" customHeight="1">
      <c r="A190" s="306"/>
      <c r="B190" s="503">
        <v>10500.0</v>
      </c>
      <c r="C190" s="501" t="str">
        <f t="shared" si="54"/>
        <v> $14,986,363.64</v>
      </c>
      <c r="D190" s="501" t="str">
        <f t="shared" si="55"/>
        <v> $5,639,810.80</v>
      </c>
      <c r="E190" s="502" t="str">
        <f t="shared" si="56"/>
        <v> $ 7,248,534.38 </v>
      </c>
      <c r="F190" s="501" t="str">
        <f t="shared" si="57"/>
        <v> $12,888,345.19</v>
      </c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306"/>
    </row>
    <row r="191" ht="12.75" customHeight="1">
      <c r="A191" s="306"/>
      <c r="B191" s="500">
        <v>11000.0</v>
      </c>
      <c r="C191" s="501" t="str">
        <f t="shared" si="54"/>
        <v> $15,700,000.00</v>
      </c>
      <c r="D191" s="501" t="str">
        <f t="shared" si="55"/>
        <v> $5,908,373.22</v>
      </c>
      <c r="E191" s="502" t="str">
        <f t="shared" si="56"/>
        <v> $ 7,248,534.38 </v>
      </c>
      <c r="F191" s="501" t="str">
        <f t="shared" si="57"/>
        <v> $13,156,907.61</v>
      </c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</row>
    <row r="192" ht="12.75" customHeight="1">
      <c r="A192" s="306"/>
      <c r="B192" s="503">
        <v>11500.0</v>
      </c>
      <c r="C192" s="501" t="str">
        <f t="shared" si="54"/>
        <v> $16,413,636.36</v>
      </c>
      <c r="D192" s="501" t="str">
        <f t="shared" si="55"/>
        <v> $6,176,935.64</v>
      </c>
      <c r="E192" s="502" t="str">
        <f t="shared" si="56"/>
        <v> $ 7,248,534.38 </v>
      </c>
      <c r="F192" s="501" t="str">
        <f t="shared" si="57"/>
        <v> $13,425,470.03</v>
      </c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</row>
    <row r="193" ht="12.75" customHeight="1">
      <c r="A193" s="306"/>
      <c r="B193" s="500">
        <v>12000.0</v>
      </c>
      <c r="C193" s="501" t="str">
        <f t="shared" si="54"/>
        <v> $17,127,272.73</v>
      </c>
      <c r="D193" s="501" t="str">
        <f t="shared" si="55"/>
        <v> $6,445,498.06</v>
      </c>
      <c r="E193" s="502" t="str">
        <f t="shared" si="56"/>
        <v> $ 7,248,534.38 </v>
      </c>
      <c r="F193" s="501" t="str">
        <f t="shared" si="57"/>
        <v> $13,694,032.45</v>
      </c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6"/>
      <c r="V193" s="306"/>
      <c r="W193" s="306"/>
      <c r="X193" s="306"/>
      <c r="Y193" s="306"/>
      <c r="Z193" s="306"/>
    </row>
    <row r="194" ht="12.75" customHeight="1">
      <c r="A194" s="306"/>
      <c r="B194" s="503">
        <v>12500.0</v>
      </c>
      <c r="C194" s="501" t="str">
        <f t="shared" si="54"/>
        <v> $17,840,909.09</v>
      </c>
      <c r="D194" s="501" t="str">
        <f t="shared" si="55"/>
        <v> $6,714,060.48</v>
      </c>
      <c r="E194" s="502" t="str">
        <f t="shared" si="56"/>
        <v> $ 7,248,534.38 </v>
      </c>
      <c r="F194" s="501" t="str">
        <f t="shared" si="57"/>
        <v> $13,962,594.86</v>
      </c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</row>
    <row r="195" ht="12.75" customHeight="1">
      <c r="A195" s="306"/>
      <c r="B195" s="500">
        <v>13000.0</v>
      </c>
      <c r="C195" s="501" t="str">
        <f t="shared" si="54"/>
        <v> $18,554,545.45</v>
      </c>
      <c r="D195" s="501" t="str">
        <f t="shared" si="55"/>
        <v> $6,982,622.90</v>
      </c>
      <c r="E195" s="502" t="str">
        <f t="shared" si="56"/>
        <v> $ 7,248,534.38 </v>
      </c>
      <c r="F195" s="501" t="str">
        <f t="shared" si="57"/>
        <v> $14,231,157.28</v>
      </c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  <c r="Z195" s="306"/>
    </row>
    <row r="196" ht="12.75" customHeight="1">
      <c r="A196" s="306"/>
      <c r="B196" s="503">
        <v>13500.0</v>
      </c>
      <c r="C196" s="501" t="str">
        <f t="shared" si="54"/>
        <v> $19,268,181.82</v>
      </c>
      <c r="D196" s="501" t="str">
        <f t="shared" si="55"/>
        <v> $7,251,185.32</v>
      </c>
      <c r="E196" s="502" t="str">
        <f t="shared" si="56"/>
        <v> $ 7,248,534.38 </v>
      </c>
      <c r="F196" s="501" t="str">
        <f t="shared" si="57"/>
        <v> $14,499,719.70</v>
      </c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  <c r="Z196" s="306"/>
    </row>
    <row r="197" ht="12.75" customHeight="1">
      <c r="A197" s="306"/>
      <c r="B197" s="500">
        <v>14000.0</v>
      </c>
      <c r="C197" s="501" t="str">
        <f t="shared" si="54"/>
        <v> $19,981,818.18</v>
      </c>
      <c r="D197" s="501" t="str">
        <f t="shared" si="55"/>
        <v> $7,519,747.74</v>
      </c>
      <c r="E197" s="502" t="str">
        <f t="shared" si="56"/>
        <v> $ 7,248,534.38 </v>
      </c>
      <c r="F197" s="501" t="str">
        <f t="shared" si="57"/>
        <v> $14,768,282.12</v>
      </c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  <c r="S197" s="306"/>
      <c r="T197" s="306"/>
      <c r="U197" s="306"/>
      <c r="V197" s="306"/>
      <c r="W197" s="306"/>
      <c r="X197" s="306"/>
      <c r="Y197" s="306"/>
      <c r="Z197" s="306"/>
    </row>
    <row r="198" ht="12.75" customHeight="1">
      <c r="A198" s="306"/>
      <c r="B198" s="503">
        <v>14500.0</v>
      </c>
      <c r="C198" s="501" t="str">
        <f t="shared" si="54"/>
        <v> $20,695,454.55</v>
      </c>
      <c r="D198" s="501" t="str">
        <f t="shared" si="55"/>
        <v> $7,788,310.16</v>
      </c>
      <c r="E198" s="502" t="str">
        <f t="shared" si="56"/>
        <v> $ 7,248,534.38 </v>
      </c>
      <c r="F198" s="501" t="str">
        <f t="shared" si="57"/>
        <v> $15,036,844.54</v>
      </c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306"/>
    </row>
    <row r="199" ht="12.75" customHeight="1">
      <c r="A199" s="306"/>
      <c r="B199" s="500" t="str">
        <f>'Conformación de Datos'!D6</f>
        <v>14850</v>
      </c>
      <c r="C199" s="501" t="str">
        <f t="shared" si="54"/>
        <v> $21,195,000.00</v>
      </c>
      <c r="D199" s="501" t="str">
        <f t="shared" si="55"/>
        <v> $7,976,303.85</v>
      </c>
      <c r="E199" s="502" t="str">
        <f t="shared" si="56"/>
        <v> $ 7,248,534.38 </v>
      </c>
      <c r="F199" s="501" t="str">
        <f t="shared" si="57"/>
        <v> $15,224,838.24</v>
      </c>
      <c r="G199" s="306"/>
      <c r="H199" s="306"/>
      <c r="I199" s="306"/>
      <c r="J199" s="306"/>
      <c r="K199" s="306"/>
      <c r="L199" s="306"/>
      <c r="M199" s="306"/>
      <c r="N199" s="306"/>
      <c r="O199" s="306"/>
      <c r="P199" s="306"/>
      <c r="Q199" s="306"/>
      <c r="R199" s="306"/>
      <c r="S199" s="306"/>
      <c r="T199" s="306"/>
      <c r="U199" s="306"/>
      <c r="V199" s="306"/>
      <c r="W199" s="306"/>
      <c r="X199" s="306"/>
      <c r="Y199" s="306"/>
      <c r="Z199" s="306"/>
    </row>
    <row r="200" ht="12.75" customHeight="1">
      <c r="A200" s="306"/>
      <c r="B200" s="306"/>
      <c r="C200" s="306"/>
      <c r="D200" s="306"/>
      <c r="E200" s="306"/>
      <c r="F200" s="306"/>
      <c r="G200" s="306"/>
      <c r="H200" s="306"/>
      <c r="I200" s="306"/>
      <c r="J200" s="306"/>
      <c r="K200" s="306"/>
      <c r="L200" s="306"/>
      <c r="M200" s="306"/>
      <c r="N200" s="306"/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  <c r="Z200" s="306"/>
    </row>
    <row r="201" ht="12.75" customHeight="1">
      <c r="A201" s="306"/>
      <c r="B201" s="306"/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  <c r="Z201" s="306"/>
    </row>
    <row r="202" ht="12.75" customHeight="1">
      <c r="A202" s="306"/>
      <c r="B202" s="306"/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  <c r="T202" s="306"/>
      <c r="U202" s="306"/>
      <c r="V202" s="306"/>
      <c r="W202" s="306"/>
      <c r="X202" s="306"/>
      <c r="Y202" s="306"/>
      <c r="Z202" s="306"/>
    </row>
    <row r="203" ht="12.75" customHeight="1">
      <c r="A203" s="306"/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306"/>
    </row>
    <row r="204" ht="12.75" customHeight="1">
      <c r="A204" s="306"/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</row>
    <row r="205" ht="12.75" customHeight="1">
      <c r="A205" s="306"/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</row>
    <row r="206" ht="12.75" customHeight="1">
      <c r="A206" s="306"/>
      <c r="B206" s="306"/>
      <c r="C206" s="306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  <c r="T206" s="306"/>
      <c r="U206" s="306"/>
      <c r="V206" s="306"/>
      <c r="W206" s="306"/>
      <c r="X206" s="306"/>
      <c r="Y206" s="306"/>
      <c r="Z206" s="306"/>
    </row>
    <row r="207" ht="12.75" customHeight="1">
      <c r="A207" s="306"/>
      <c r="B207" s="306"/>
      <c r="C207" s="306"/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  <c r="S207" s="306"/>
      <c r="T207" s="306"/>
      <c r="U207" s="306"/>
      <c r="V207" s="306"/>
      <c r="W207" s="306"/>
      <c r="X207" s="306"/>
      <c r="Y207" s="306"/>
      <c r="Z207" s="306"/>
    </row>
    <row r="208" ht="12.75" customHeight="1">
      <c r="A208" s="306"/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  <c r="T208" s="306"/>
      <c r="U208" s="306"/>
      <c r="V208" s="306"/>
      <c r="W208" s="306"/>
      <c r="X208" s="306"/>
      <c r="Y208" s="306"/>
      <c r="Z208" s="306"/>
    </row>
    <row r="209" ht="12.75" customHeight="1">
      <c r="A209" s="306"/>
      <c r="B209" s="306"/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  <c r="T209" s="306"/>
      <c r="U209" s="306"/>
      <c r="V209" s="306"/>
      <c r="W209" s="306"/>
      <c r="X209" s="306"/>
      <c r="Y209" s="306"/>
      <c r="Z209" s="306"/>
    </row>
    <row r="210" ht="12.75" customHeight="1">
      <c r="A210" s="306"/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/>
      <c r="Y210" s="306"/>
      <c r="Z210" s="306"/>
    </row>
    <row r="211" ht="12.75" customHeight="1">
      <c r="A211" s="306"/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  <c r="X211" s="306"/>
      <c r="Y211" s="306"/>
      <c r="Z211" s="306"/>
    </row>
    <row r="212" ht="12.75" customHeight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  <c r="X212" s="306"/>
      <c r="Y212" s="306"/>
      <c r="Z212" s="306"/>
    </row>
    <row r="213" ht="12.75" customHeight="1">
      <c r="A213" s="306"/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  <c r="T213" s="306"/>
      <c r="U213" s="306"/>
      <c r="V213" s="306"/>
      <c r="W213" s="306"/>
      <c r="X213" s="306"/>
      <c r="Y213" s="306"/>
      <c r="Z213" s="306"/>
    </row>
    <row r="214" ht="12.75" customHeight="1">
      <c r="A214" s="306"/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  <c r="S214" s="306"/>
      <c r="T214" s="306"/>
      <c r="U214" s="306"/>
      <c r="V214" s="306"/>
      <c r="W214" s="306"/>
      <c r="X214" s="306"/>
      <c r="Y214" s="306"/>
      <c r="Z214" s="306"/>
    </row>
    <row r="215" ht="12.75" customHeight="1">
      <c r="A215" s="306"/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  <c r="T215" s="306"/>
      <c r="U215" s="306"/>
      <c r="V215" s="306"/>
      <c r="W215" s="306"/>
      <c r="X215" s="306"/>
      <c r="Y215" s="306"/>
      <c r="Z215" s="306"/>
    </row>
    <row r="216" ht="12.75" customHeight="1">
      <c r="A216" s="306"/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  <c r="T216" s="306"/>
      <c r="U216" s="306"/>
      <c r="V216" s="306"/>
      <c r="W216" s="306"/>
      <c r="X216" s="306"/>
      <c r="Y216" s="306"/>
      <c r="Z216" s="306"/>
    </row>
    <row r="217" ht="12.75" customHeight="1">
      <c r="A217" s="306"/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  <c r="T217" s="306"/>
      <c r="U217" s="306"/>
      <c r="V217" s="306"/>
      <c r="W217" s="306"/>
      <c r="X217" s="306"/>
      <c r="Y217" s="306"/>
      <c r="Z217" s="306"/>
    </row>
    <row r="218" ht="12.75" customHeight="1">
      <c r="A218" s="306"/>
      <c r="B218" s="306"/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  <c r="T218" s="306"/>
      <c r="U218" s="306"/>
      <c r="V218" s="306"/>
      <c r="W218" s="306"/>
      <c r="X218" s="306"/>
      <c r="Y218" s="306"/>
      <c r="Z218" s="306"/>
    </row>
    <row r="219" ht="12.75" customHeight="1">
      <c r="A219" s="306"/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</row>
    <row r="220" ht="12.75" customHeight="1">
      <c r="A220" s="306"/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</row>
    <row r="221" ht="12.75" customHeight="1">
      <c r="A221" s="306"/>
      <c r="B221" s="306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  <c r="Z221" s="306"/>
    </row>
    <row r="222" ht="12.75" customHeight="1">
      <c r="A222" s="306"/>
      <c r="B222" s="306"/>
      <c r="C222" s="306"/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  <c r="S222" s="306"/>
      <c r="T222" s="306"/>
      <c r="U222" s="306"/>
      <c r="V222" s="306"/>
      <c r="W222" s="306"/>
      <c r="X222" s="306"/>
      <c r="Y222" s="306"/>
      <c r="Z222" s="306"/>
    </row>
    <row r="223" ht="12.75" customHeight="1">
      <c r="A223" s="306"/>
      <c r="B223" s="306"/>
      <c r="C223" s="306"/>
      <c r="D223" s="306"/>
      <c r="E223" s="306"/>
      <c r="F223" s="306"/>
      <c r="G223" s="306"/>
      <c r="H223" s="306"/>
      <c r="I223" s="306"/>
      <c r="J223" s="306"/>
      <c r="K223" s="306"/>
      <c r="L223" s="306"/>
      <c r="M223" s="306"/>
      <c r="N223" s="306"/>
      <c r="O223" s="306"/>
      <c r="P223" s="306"/>
      <c r="Q223" s="306"/>
      <c r="R223" s="306"/>
      <c r="S223" s="306"/>
      <c r="T223" s="306"/>
      <c r="U223" s="306"/>
      <c r="V223" s="306"/>
      <c r="W223" s="306"/>
      <c r="X223" s="306"/>
      <c r="Y223" s="306"/>
      <c r="Z223" s="306"/>
    </row>
    <row r="224" ht="12.75" customHeight="1">
      <c r="A224" s="306"/>
      <c r="B224" s="306"/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  <c r="T224" s="306"/>
      <c r="U224" s="306"/>
      <c r="V224" s="306"/>
      <c r="W224" s="306"/>
      <c r="X224" s="306"/>
      <c r="Y224" s="306"/>
      <c r="Z224" s="306"/>
    </row>
    <row r="225" ht="12.75" customHeight="1">
      <c r="A225" s="306"/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306"/>
      <c r="O225" s="306"/>
      <c r="P225" s="306"/>
      <c r="Q225" s="306"/>
      <c r="R225" s="306"/>
      <c r="S225" s="306"/>
      <c r="T225" s="306"/>
      <c r="U225" s="306"/>
      <c r="V225" s="306"/>
      <c r="W225" s="306"/>
      <c r="X225" s="306"/>
      <c r="Y225" s="306"/>
      <c r="Z225" s="306"/>
    </row>
    <row r="226" ht="12.75" customHeight="1">
      <c r="A226" s="306"/>
      <c r="B226" s="306"/>
      <c r="C226" s="306"/>
      <c r="D226" s="306"/>
      <c r="E226" s="306"/>
      <c r="F226" s="306"/>
      <c r="G226" s="306"/>
      <c r="H226" s="306"/>
      <c r="I226" s="306"/>
      <c r="J226" s="306"/>
      <c r="K226" s="306"/>
      <c r="L226" s="306"/>
      <c r="M226" s="306"/>
      <c r="N226" s="306"/>
      <c r="O226" s="306"/>
      <c r="P226" s="306"/>
      <c r="Q226" s="306"/>
      <c r="R226" s="306"/>
      <c r="S226" s="306"/>
      <c r="T226" s="306"/>
      <c r="U226" s="306"/>
      <c r="V226" s="306"/>
      <c r="W226" s="306"/>
      <c r="X226" s="306"/>
      <c r="Y226" s="306"/>
      <c r="Z226" s="306"/>
    </row>
    <row r="227" ht="12.75" customHeight="1">
      <c r="A227" s="306"/>
      <c r="B227" s="306"/>
      <c r="C227" s="306"/>
      <c r="D227" s="306"/>
      <c r="E227" s="306"/>
      <c r="F227" s="306"/>
      <c r="G227" s="306"/>
      <c r="H227" s="306"/>
      <c r="I227" s="306"/>
      <c r="J227" s="306"/>
      <c r="K227" s="306"/>
      <c r="L227" s="306"/>
      <c r="M227" s="306"/>
      <c r="N227" s="306"/>
      <c r="O227" s="306"/>
      <c r="P227" s="306"/>
      <c r="Q227" s="306"/>
      <c r="R227" s="306"/>
      <c r="S227" s="306"/>
      <c r="T227" s="306"/>
      <c r="U227" s="306"/>
      <c r="V227" s="306"/>
      <c r="W227" s="306"/>
      <c r="X227" s="306"/>
      <c r="Y227" s="306"/>
      <c r="Z227" s="306"/>
    </row>
    <row r="228" ht="12.75" customHeight="1">
      <c r="A228" s="306"/>
      <c r="B228" s="306"/>
      <c r="C228" s="306"/>
      <c r="D228" s="306"/>
      <c r="E228" s="306"/>
      <c r="F228" s="306"/>
      <c r="G228" s="306"/>
      <c r="H228" s="306"/>
      <c r="I228" s="306"/>
      <c r="J228" s="306"/>
      <c r="K228" s="306"/>
      <c r="L228" s="306"/>
      <c r="M228" s="306"/>
      <c r="N228" s="306"/>
      <c r="O228" s="306"/>
      <c r="P228" s="306"/>
      <c r="Q228" s="306"/>
      <c r="R228" s="306"/>
      <c r="S228" s="306"/>
      <c r="T228" s="306"/>
      <c r="U228" s="306"/>
      <c r="V228" s="306"/>
      <c r="W228" s="306"/>
      <c r="X228" s="306"/>
      <c r="Y228" s="306"/>
      <c r="Z228" s="306"/>
    </row>
    <row r="229" ht="12.75" customHeight="1">
      <c r="A229" s="306"/>
      <c r="B229" s="306"/>
      <c r="C229" s="306"/>
      <c r="D229" s="306"/>
      <c r="E229" s="306"/>
      <c r="F229" s="306"/>
      <c r="G229" s="306"/>
      <c r="H229" s="306"/>
      <c r="I229" s="306"/>
      <c r="J229" s="306"/>
      <c r="K229" s="306"/>
      <c r="L229" s="306"/>
      <c r="M229" s="306"/>
      <c r="N229" s="306"/>
      <c r="O229" s="306"/>
      <c r="P229" s="306"/>
      <c r="Q229" s="306"/>
      <c r="R229" s="306"/>
      <c r="S229" s="306"/>
      <c r="T229" s="306"/>
      <c r="U229" s="306"/>
      <c r="V229" s="306"/>
      <c r="W229" s="306"/>
      <c r="X229" s="306"/>
      <c r="Y229" s="306"/>
      <c r="Z229" s="306"/>
    </row>
    <row r="230" ht="12.75" customHeight="1">
      <c r="A230" s="306"/>
      <c r="B230" s="306"/>
      <c r="C230" s="306"/>
      <c r="D230" s="306"/>
      <c r="E230" s="306"/>
      <c r="F230" s="306"/>
      <c r="G230" s="306"/>
      <c r="H230" s="306"/>
      <c r="I230" s="306"/>
      <c r="J230" s="306"/>
      <c r="K230" s="306"/>
      <c r="L230" s="306"/>
      <c r="M230" s="306"/>
      <c r="N230" s="306"/>
      <c r="O230" s="306"/>
      <c r="P230" s="306"/>
      <c r="Q230" s="306"/>
      <c r="R230" s="306"/>
      <c r="S230" s="306"/>
      <c r="T230" s="306"/>
      <c r="U230" s="306"/>
      <c r="V230" s="306"/>
      <c r="W230" s="306"/>
      <c r="X230" s="306"/>
      <c r="Y230" s="306"/>
      <c r="Z230" s="306"/>
    </row>
    <row r="231" ht="12.75" customHeight="1">
      <c r="A231" s="306"/>
      <c r="B231" s="306"/>
      <c r="C231" s="306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  <c r="S231" s="306"/>
      <c r="T231" s="306"/>
      <c r="U231" s="306"/>
      <c r="V231" s="306"/>
      <c r="W231" s="306"/>
      <c r="X231" s="306"/>
      <c r="Y231" s="306"/>
      <c r="Z231" s="306"/>
    </row>
    <row r="232" ht="12.75" customHeight="1">
      <c r="A232" s="306"/>
      <c r="B232" s="306"/>
      <c r="C232" s="306"/>
      <c r="D232" s="306"/>
      <c r="E232" s="306"/>
      <c r="F232" s="306"/>
      <c r="G232" s="306"/>
      <c r="H232" s="306"/>
      <c r="I232" s="306"/>
      <c r="J232" s="306"/>
      <c r="K232" s="306"/>
      <c r="L232" s="306"/>
      <c r="M232" s="306"/>
      <c r="N232" s="306"/>
      <c r="O232" s="306"/>
      <c r="P232" s="306"/>
      <c r="Q232" s="306"/>
      <c r="R232" s="306"/>
      <c r="S232" s="306"/>
      <c r="T232" s="306"/>
      <c r="U232" s="306"/>
      <c r="V232" s="306"/>
      <c r="W232" s="306"/>
      <c r="X232" s="306"/>
      <c r="Y232" s="306"/>
      <c r="Z232" s="306"/>
    </row>
    <row r="233" ht="12.75" customHeight="1">
      <c r="A233" s="306"/>
      <c r="B233" s="306"/>
      <c r="C233" s="306"/>
      <c r="D233" s="306"/>
      <c r="E233" s="306"/>
      <c r="F233" s="306"/>
      <c r="G233" s="306"/>
      <c r="H233" s="306"/>
      <c r="I233" s="306"/>
      <c r="J233" s="306"/>
      <c r="K233" s="306"/>
      <c r="L233" s="306"/>
      <c r="M233" s="306"/>
      <c r="N233" s="306"/>
      <c r="O233" s="306"/>
      <c r="P233" s="306"/>
      <c r="Q233" s="306"/>
      <c r="R233" s="306"/>
      <c r="S233" s="306"/>
      <c r="T233" s="306"/>
      <c r="U233" s="306"/>
      <c r="V233" s="306"/>
      <c r="W233" s="306"/>
      <c r="X233" s="306"/>
      <c r="Y233" s="306"/>
      <c r="Z233" s="306"/>
    </row>
    <row r="234" ht="12.75" customHeight="1">
      <c r="A234" s="306"/>
      <c r="B234" s="306"/>
      <c r="C234" s="306"/>
      <c r="D234" s="306"/>
      <c r="E234" s="306"/>
      <c r="F234" s="306"/>
      <c r="G234" s="306"/>
      <c r="H234" s="306"/>
      <c r="I234" s="306"/>
      <c r="J234" s="306"/>
      <c r="K234" s="306"/>
      <c r="L234" s="306"/>
      <c r="M234" s="306"/>
      <c r="N234" s="306"/>
      <c r="O234" s="306"/>
      <c r="P234" s="306"/>
      <c r="Q234" s="306"/>
      <c r="R234" s="306"/>
      <c r="S234" s="306"/>
      <c r="T234" s="306"/>
      <c r="U234" s="306"/>
      <c r="V234" s="306"/>
      <c r="W234" s="306"/>
      <c r="X234" s="306"/>
      <c r="Y234" s="306"/>
      <c r="Z234" s="306"/>
    </row>
    <row r="235" ht="12.75" customHeight="1">
      <c r="A235" s="306"/>
      <c r="B235" s="306"/>
      <c r="C235" s="306"/>
      <c r="D235" s="306"/>
      <c r="E235" s="306"/>
      <c r="F235" s="306"/>
      <c r="G235" s="306"/>
      <c r="H235" s="306"/>
      <c r="I235" s="306"/>
      <c r="J235" s="306"/>
      <c r="K235" s="306"/>
      <c r="L235" s="306"/>
      <c r="M235" s="306"/>
      <c r="N235" s="306"/>
      <c r="O235" s="306"/>
      <c r="P235" s="306"/>
      <c r="Q235" s="306"/>
      <c r="R235" s="306"/>
      <c r="S235" s="306"/>
      <c r="T235" s="306"/>
      <c r="U235" s="306"/>
      <c r="V235" s="306"/>
      <c r="W235" s="306"/>
      <c r="X235" s="306"/>
      <c r="Y235" s="306"/>
      <c r="Z235" s="306"/>
    </row>
    <row r="236" ht="12.75" customHeight="1">
      <c r="A236" s="306"/>
      <c r="B236" s="306"/>
      <c r="C236" s="306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306"/>
      <c r="O236" s="306"/>
      <c r="P236" s="306"/>
      <c r="Q236" s="306"/>
      <c r="R236" s="306"/>
      <c r="S236" s="306"/>
      <c r="T236" s="306"/>
      <c r="U236" s="306"/>
      <c r="V236" s="306"/>
      <c r="W236" s="306"/>
      <c r="X236" s="306"/>
      <c r="Y236" s="306"/>
      <c r="Z236" s="306"/>
    </row>
    <row r="237" ht="12.75" customHeight="1">
      <c r="A237" s="306"/>
      <c r="B237" s="306"/>
      <c r="C237" s="306"/>
      <c r="D237" s="306"/>
      <c r="E237" s="306"/>
      <c r="F237" s="306"/>
      <c r="G237" s="306"/>
      <c r="H237" s="306"/>
      <c r="I237" s="306"/>
      <c r="J237" s="306"/>
      <c r="K237" s="306"/>
      <c r="L237" s="306"/>
      <c r="M237" s="306"/>
      <c r="N237" s="306"/>
      <c r="O237" s="306"/>
      <c r="P237" s="306"/>
      <c r="Q237" s="306"/>
      <c r="R237" s="306"/>
      <c r="S237" s="306"/>
      <c r="T237" s="306"/>
      <c r="U237" s="306"/>
      <c r="V237" s="306"/>
      <c r="W237" s="306"/>
      <c r="X237" s="306"/>
      <c r="Y237" s="306"/>
      <c r="Z237" s="306"/>
    </row>
    <row r="238" ht="12.75" customHeight="1">
      <c r="A238" s="306"/>
      <c r="B238" s="306"/>
      <c r="C238" s="306"/>
      <c r="D238" s="306"/>
      <c r="E238" s="306"/>
      <c r="F238" s="306"/>
      <c r="G238" s="306"/>
      <c r="H238" s="306"/>
      <c r="I238" s="306"/>
      <c r="J238" s="306"/>
      <c r="K238" s="306"/>
      <c r="L238" s="306"/>
      <c r="M238" s="306"/>
      <c r="N238" s="306"/>
      <c r="O238" s="306"/>
      <c r="P238" s="306"/>
      <c r="Q238" s="306"/>
      <c r="R238" s="306"/>
      <c r="S238" s="306"/>
      <c r="T238" s="306"/>
      <c r="U238" s="306"/>
      <c r="V238" s="306"/>
      <c r="W238" s="306"/>
      <c r="X238" s="306"/>
      <c r="Y238" s="306"/>
      <c r="Z238" s="306"/>
    </row>
    <row r="239" ht="12.75" customHeight="1">
      <c r="A239" s="306"/>
      <c r="B239" s="306"/>
      <c r="C239" s="306"/>
      <c r="D239" s="306"/>
      <c r="E239" s="306"/>
      <c r="F239" s="306"/>
      <c r="G239" s="306"/>
      <c r="H239" s="306"/>
      <c r="I239" s="306"/>
      <c r="J239" s="306"/>
      <c r="K239" s="306"/>
      <c r="L239" s="306"/>
      <c r="M239" s="306"/>
      <c r="N239" s="306"/>
      <c r="O239" s="306"/>
      <c r="P239" s="306"/>
      <c r="Q239" s="306"/>
      <c r="R239" s="306"/>
      <c r="S239" s="306"/>
      <c r="T239" s="306"/>
      <c r="U239" s="306"/>
      <c r="V239" s="306"/>
      <c r="W239" s="306"/>
      <c r="X239" s="306"/>
      <c r="Y239" s="306"/>
      <c r="Z239" s="306"/>
    </row>
    <row r="240" ht="12.75" customHeight="1">
      <c r="A240" s="306"/>
      <c r="B240" s="306"/>
      <c r="C240" s="306"/>
      <c r="D240" s="306"/>
      <c r="E240" s="306"/>
      <c r="F240" s="306"/>
      <c r="G240" s="306"/>
      <c r="H240" s="306"/>
      <c r="I240" s="306"/>
      <c r="J240" s="306"/>
      <c r="K240" s="306"/>
      <c r="L240" s="306"/>
      <c r="M240" s="306"/>
      <c r="N240" s="306"/>
      <c r="O240" s="306"/>
      <c r="P240" s="306"/>
      <c r="Q240" s="306"/>
      <c r="R240" s="306"/>
      <c r="S240" s="306"/>
      <c r="T240" s="306"/>
      <c r="U240" s="306"/>
      <c r="V240" s="306"/>
      <c r="W240" s="306"/>
      <c r="X240" s="306"/>
      <c r="Y240" s="306"/>
      <c r="Z240" s="306"/>
    </row>
    <row r="241" ht="12.75" customHeight="1">
      <c r="A241" s="306"/>
      <c r="B241" s="306"/>
      <c r="C241" s="306"/>
      <c r="D241" s="306"/>
      <c r="E241" s="306"/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  <c r="X241" s="306"/>
      <c r="Y241" s="306"/>
      <c r="Z241" s="306"/>
    </row>
    <row r="242" ht="12.75" customHeight="1">
      <c r="A242" s="306"/>
      <c r="B242" s="306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  <c r="X242" s="306"/>
      <c r="Y242" s="306"/>
      <c r="Z242" s="306"/>
    </row>
    <row r="243" ht="12.75" customHeight="1">
      <c r="A243" s="306"/>
      <c r="B243" s="306"/>
      <c r="C243" s="306"/>
      <c r="D243" s="306"/>
      <c r="E243" s="306"/>
      <c r="F243" s="306"/>
      <c r="G243" s="306"/>
      <c r="H243" s="306"/>
      <c r="I243" s="306"/>
      <c r="J243" s="306"/>
      <c r="K243" s="306"/>
      <c r="L243" s="306"/>
      <c r="M243" s="306"/>
      <c r="N243" s="306"/>
      <c r="O243" s="306"/>
      <c r="P243" s="306"/>
      <c r="Q243" s="306"/>
      <c r="R243" s="306"/>
      <c r="S243" s="306"/>
      <c r="T243" s="306"/>
      <c r="U243" s="306"/>
      <c r="V243" s="306"/>
      <c r="W243" s="306"/>
      <c r="X243" s="306"/>
      <c r="Y243" s="306"/>
      <c r="Z243" s="306"/>
    </row>
    <row r="244" ht="12.75" customHeight="1">
      <c r="A244" s="306"/>
      <c r="B244" s="306"/>
      <c r="C244" s="306"/>
      <c r="D244" s="306"/>
      <c r="E244" s="306"/>
      <c r="F244" s="306"/>
      <c r="G244" s="306"/>
      <c r="H244" s="306"/>
      <c r="I244" s="306"/>
      <c r="J244" s="306"/>
      <c r="K244" s="306"/>
      <c r="L244" s="306"/>
      <c r="M244" s="306"/>
      <c r="N244" s="306"/>
      <c r="O244" s="306"/>
      <c r="P244" s="306"/>
      <c r="Q244" s="306"/>
      <c r="R244" s="306"/>
      <c r="S244" s="306"/>
      <c r="T244" s="306"/>
      <c r="U244" s="306"/>
      <c r="V244" s="306"/>
      <c r="W244" s="306"/>
      <c r="X244" s="306"/>
      <c r="Y244" s="306"/>
      <c r="Z244" s="306"/>
    </row>
    <row r="245" ht="12.75" customHeight="1">
      <c r="A245" s="306"/>
      <c r="B245" s="306"/>
      <c r="C245" s="306"/>
      <c r="D245" s="306"/>
      <c r="E245" s="306"/>
      <c r="F245" s="306"/>
      <c r="G245" s="306"/>
      <c r="H245" s="306"/>
      <c r="I245" s="306"/>
      <c r="J245" s="306"/>
      <c r="K245" s="306"/>
      <c r="L245" s="306"/>
      <c r="M245" s="306"/>
      <c r="N245" s="306"/>
      <c r="O245" s="306"/>
      <c r="P245" s="306"/>
      <c r="Q245" s="306"/>
      <c r="R245" s="306"/>
      <c r="S245" s="306"/>
      <c r="T245" s="306"/>
      <c r="U245" s="306"/>
      <c r="V245" s="306"/>
      <c r="W245" s="306"/>
      <c r="X245" s="306"/>
      <c r="Y245" s="306"/>
      <c r="Z245" s="306"/>
    </row>
    <row r="246" ht="12.75" customHeight="1">
      <c r="A246" s="306"/>
      <c r="B246" s="306"/>
      <c r="C246" s="306"/>
      <c r="D246" s="306"/>
      <c r="E246" s="306"/>
      <c r="F246" s="306"/>
      <c r="G246" s="306"/>
      <c r="H246" s="306"/>
      <c r="I246" s="306"/>
      <c r="J246" s="306"/>
      <c r="K246" s="306"/>
      <c r="L246" s="306"/>
      <c r="M246" s="306"/>
      <c r="N246" s="306"/>
      <c r="O246" s="306"/>
      <c r="P246" s="306"/>
      <c r="Q246" s="306"/>
      <c r="R246" s="306"/>
      <c r="S246" s="306"/>
      <c r="T246" s="306"/>
      <c r="U246" s="306"/>
      <c r="V246" s="306"/>
      <c r="W246" s="306"/>
      <c r="X246" s="306"/>
      <c r="Y246" s="306"/>
      <c r="Z246" s="306"/>
    </row>
    <row r="247" ht="12.75" customHeight="1">
      <c r="A247" s="306"/>
      <c r="B247" s="306"/>
      <c r="C247" s="306"/>
      <c r="D247" s="306"/>
      <c r="E247" s="306"/>
      <c r="F247" s="306"/>
      <c r="G247" s="306"/>
      <c r="H247" s="306"/>
      <c r="I247" s="306"/>
      <c r="J247" s="306"/>
      <c r="K247" s="306"/>
      <c r="L247" s="306"/>
      <c r="M247" s="306"/>
      <c r="N247" s="306"/>
      <c r="O247" s="306"/>
      <c r="P247" s="306"/>
      <c r="Q247" s="306"/>
      <c r="R247" s="306"/>
      <c r="S247" s="306"/>
      <c r="T247" s="306"/>
      <c r="U247" s="306"/>
      <c r="V247" s="306"/>
      <c r="W247" s="306"/>
      <c r="X247" s="306"/>
      <c r="Y247" s="306"/>
      <c r="Z247" s="306"/>
    </row>
    <row r="248" ht="12.75" customHeight="1">
      <c r="A248" s="306"/>
      <c r="B248" s="306"/>
      <c r="C248" s="306"/>
      <c r="D248" s="306"/>
      <c r="E248" s="306"/>
      <c r="F248" s="306"/>
      <c r="G248" s="306"/>
      <c r="H248" s="306"/>
      <c r="I248" s="306"/>
      <c r="J248" s="306"/>
      <c r="K248" s="306"/>
      <c r="L248" s="306"/>
      <c r="M248" s="306"/>
      <c r="N248" s="306"/>
      <c r="O248" s="306"/>
      <c r="P248" s="306"/>
      <c r="Q248" s="306"/>
      <c r="R248" s="306"/>
      <c r="S248" s="306"/>
      <c r="T248" s="306"/>
      <c r="U248" s="306"/>
      <c r="V248" s="306"/>
      <c r="W248" s="306"/>
      <c r="X248" s="306"/>
      <c r="Y248" s="306"/>
      <c r="Z248" s="306"/>
    </row>
    <row r="249" ht="12.75" customHeight="1">
      <c r="A249" s="306"/>
      <c r="B249" s="306"/>
      <c r="C249" s="306"/>
      <c r="D249" s="306"/>
      <c r="E249" s="306"/>
      <c r="F249" s="306"/>
      <c r="G249" s="306"/>
      <c r="H249" s="306"/>
      <c r="I249" s="306"/>
      <c r="J249" s="306"/>
      <c r="K249" s="306"/>
      <c r="L249" s="306"/>
      <c r="M249" s="306"/>
      <c r="N249" s="306"/>
      <c r="O249" s="306"/>
      <c r="P249" s="306"/>
      <c r="Q249" s="306"/>
      <c r="R249" s="306"/>
      <c r="S249" s="306"/>
      <c r="T249" s="306"/>
      <c r="U249" s="306"/>
      <c r="V249" s="306"/>
      <c r="W249" s="306"/>
      <c r="X249" s="306"/>
      <c r="Y249" s="306"/>
      <c r="Z249" s="306"/>
    </row>
    <row r="250" ht="12.75" customHeight="1">
      <c r="A250" s="306"/>
      <c r="B250" s="306"/>
      <c r="C250" s="306"/>
      <c r="D250" s="306"/>
      <c r="E250" s="306"/>
      <c r="F250" s="306"/>
      <c r="G250" s="306"/>
      <c r="H250" s="306"/>
      <c r="I250" s="306"/>
      <c r="J250" s="306"/>
      <c r="K250" s="306"/>
      <c r="L250" s="306"/>
      <c r="M250" s="306"/>
      <c r="N250" s="306"/>
      <c r="O250" s="306"/>
      <c r="P250" s="306"/>
      <c r="Q250" s="306"/>
      <c r="R250" s="306"/>
      <c r="S250" s="306"/>
      <c r="T250" s="306"/>
      <c r="U250" s="306"/>
      <c r="V250" s="306"/>
      <c r="W250" s="306"/>
      <c r="X250" s="306"/>
      <c r="Y250" s="306"/>
      <c r="Z250" s="306"/>
    </row>
    <row r="251" ht="12.75" customHeight="1">
      <c r="A251" s="306"/>
      <c r="B251" s="306"/>
      <c r="C251" s="306"/>
      <c r="D251" s="306"/>
      <c r="E251" s="306"/>
      <c r="F251" s="306"/>
      <c r="G251" s="306"/>
      <c r="H251" s="306"/>
      <c r="I251" s="306"/>
      <c r="J251" s="306"/>
      <c r="K251" s="306"/>
      <c r="L251" s="306"/>
      <c r="M251" s="306"/>
      <c r="N251" s="306"/>
      <c r="O251" s="306"/>
      <c r="P251" s="306"/>
      <c r="Q251" s="306"/>
      <c r="R251" s="306"/>
      <c r="S251" s="306"/>
      <c r="T251" s="306"/>
      <c r="U251" s="306"/>
      <c r="V251" s="306"/>
      <c r="W251" s="306"/>
      <c r="X251" s="306"/>
      <c r="Y251" s="306"/>
      <c r="Z251" s="306"/>
    </row>
    <row r="252" ht="12.75" customHeight="1">
      <c r="A252" s="306"/>
      <c r="B252" s="306"/>
      <c r="C252" s="306"/>
      <c r="D252" s="306"/>
      <c r="E252" s="306"/>
      <c r="F252" s="306"/>
      <c r="G252" s="306"/>
      <c r="H252" s="306"/>
      <c r="I252" s="306"/>
      <c r="J252" s="306"/>
      <c r="K252" s="306"/>
      <c r="L252" s="306"/>
      <c r="M252" s="306"/>
      <c r="N252" s="306"/>
      <c r="O252" s="306"/>
      <c r="P252" s="306"/>
      <c r="Q252" s="306"/>
      <c r="R252" s="306"/>
      <c r="S252" s="306"/>
      <c r="T252" s="306"/>
      <c r="U252" s="306"/>
      <c r="V252" s="306"/>
      <c r="W252" s="306"/>
      <c r="X252" s="306"/>
      <c r="Y252" s="306"/>
      <c r="Z252" s="306"/>
    </row>
    <row r="253" ht="12.75" customHeight="1">
      <c r="A253" s="306"/>
      <c r="B253" s="306"/>
      <c r="C253" s="306"/>
      <c r="D253" s="306"/>
      <c r="E253" s="306"/>
      <c r="F253" s="306"/>
      <c r="G253" s="306"/>
      <c r="H253" s="306"/>
      <c r="I253" s="306"/>
      <c r="J253" s="306"/>
      <c r="K253" s="306"/>
      <c r="L253" s="306"/>
      <c r="M253" s="306"/>
      <c r="N253" s="306"/>
      <c r="O253" s="306"/>
      <c r="P253" s="306"/>
      <c r="Q253" s="306"/>
      <c r="R253" s="306"/>
      <c r="S253" s="306"/>
      <c r="T253" s="306"/>
      <c r="U253" s="306"/>
      <c r="V253" s="306"/>
      <c r="W253" s="306"/>
      <c r="X253" s="306"/>
      <c r="Y253" s="306"/>
      <c r="Z253" s="306"/>
    </row>
    <row r="254" ht="12.75" customHeight="1">
      <c r="A254" s="306"/>
      <c r="B254" s="306"/>
      <c r="C254" s="306"/>
      <c r="D254" s="306"/>
      <c r="E254" s="306"/>
      <c r="F254" s="306"/>
      <c r="G254" s="306"/>
      <c r="H254" s="306"/>
      <c r="I254" s="306"/>
      <c r="J254" s="306"/>
      <c r="K254" s="306"/>
      <c r="L254" s="306"/>
      <c r="M254" s="306"/>
      <c r="N254" s="306"/>
      <c r="O254" s="306"/>
      <c r="P254" s="306"/>
      <c r="Q254" s="306"/>
      <c r="R254" s="306"/>
      <c r="S254" s="306"/>
      <c r="T254" s="306"/>
      <c r="U254" s="306"/>
      <c r="V254" s="306"/>
      <c r="W254" s="306"/>
      <c r="X254" s="306"/>
      <c r="Y254" s="306"/>
      <c r="Z254" s="306"/>
    </row>
    <row r="255" ht="12.75" customHeight="1">
      <c r="A255" s="306"/>
      <c r="B255" s="306"/>
      <c r="C255" s="306"/>
      <c r="D255" s="306"/>
      <c r="E255" s="306"/>
      <c r="F255" s="306"/>
      <c r="G255" s="306"/>
      <c r="H255" s="306"/>
      <c r="I255" s="306"/>
      <c r="J255" s="306"/>
      <c r="K255" s="306"/>
      <c r="L255" s="306"/>
      <c r="M255" s="306"/>
      <c r="N255" s="306"/>
      <c r="O255" s="306"/>
      <c r="P255" s="306"/>
      <c r="Q255" s="306"/>
      <c r="R255" s="306"/>
      <c r="S255" s="306"/>
      <c r="T255" s="306"/>
      <c r="U255" s="306"/>
      <c r="V255" s="306"/>
      <c r="W255" s="306"/>
      <c r="X255" s="306"/>
      <c r="Y255" s="306"/>
      <c r="Z255" s="306"/>
    </row>
    <row r="256" ht="12.75" customHeight="1">
      <c r="A256" s="306"/>
      <c r="B256" s="306"/>
      <c r="C256" s="306"/>
      <c r="D256" s="306"/>
      <c r="E256" s="306"/>
      <c r="F256" s="306"/>
      <c r="G256" s="306"/>
      <c r="H256" s="306"/>
      <c r="I256" s="306"/>
      <c r="J256" s="306"/>
      <c r="K256" s="306"/>
      <c r="L256" s="306"/>
      <c r="M256" s="306"/>
      <c r="N256" s="306"/>
      <c r="O256" s="306"/>
      <c r="P256" s="306"/>
      <c r="Q256" s="306"/>
      <c r="R256" s="306"/>
      <c r="S256" s="306"/>
      <c r="T256" s="306"/>
      <c r="U256" s="306"/>
      <c r="V256" s="306"/>
      <c r="W256" s="306"/>
      <c r="X256" s="306"/>
      <c r="Y256" s="306"/>
      <c r="Z256" s="306"/>
    </row>
    <row r="257" ht="12.75" customHeight="1">
      <c r="A257" s="306"/>
      <c r="B257" s="306"/>
      <c r="C257" s="306"/>
      <c r="D257" s="306"/>
      <c r="E257" s="306"/>
      <c r="F257" s="306"/>
      <c r="G257" s="306"/>
      <c r="H257" s="306"/>
      <c r="I257" s="306"/>
      <c r="J257" s="306"/>
      <c r="K257" s="306"/>
      <c r="L257" s="306"/>
      <c r="M257" s="306"/>
      <c r="N257" s="306"/>
      <c r="O257" s="306"/>
      <c r="P257" s="306"/>
      <c r="Q257" s="306"/>
      <c r="R257" s="306"/>
      <c r="S257" s="306"/>
      <c r="T257" s="306"/>
      <c r="U257" s="306"/>
      <c r="V257" s="306"/>
      <c r="W257" s="306"/>
      <c r="X257" s="306"/>
      <c r="Y257" s="306"/>
      <c r="Z257" s="306"/>
    </row>
    <row r="258" ht="12.75" customHeight="1">
      <c r="A258" s="306"/>
      <c r="B258" s="306"/>
      <c r="C258" s="306"/>
      <c r="D258" s="306"/>
      <c r="E258" s="306"/>
      <c r="F258" s="306"/>
      <c r="G258" s="306"/>
      <c r="H258" s="306"/>
      <c r="I258" s="306"/>
      <c r="J258" s="306"/>
      <c r="K258" s="306"/>
      <c r="L258" s="306"/>
      <c r="M258" s="306"/>
      <c r="N258" s="306"/>
      <c r="O258" s="306"/>
      <c r="P258" s="306"/>
      <c r="Q258" s="306"/>
      <c r="R258" s="306"/>
      <c r="S258" s="306"/>
      <c r="T258" s="306"/>
      <c r="U258" s="306"/>
      <c r="V258" s="306"/>
      <c r="W258" s="306"/>
      <c r="X258" s="306"/>
      <c r="Y258" s="306"/>
      <c r="Z258" s="306"/>
    </row>
    <row r="259" ht="12.75" customHeight="1">
      <c r="A259" s="306"/>
      <c r="B259" s="306"/>
      <c r="C259" s="306"/>
      <c r="D259" s="306"/>
      <c r="E259" s="306"/>
      <c r="F259" s="306"/>
      <c r="G259" s="306"/>
      <c r="H259" s="306"/>
      <c r="I259" s="306"/>
      <c r="J259" s="306"/>
      <c r="K259" s="306"/>
      <c r="L259" s="306"/>
      <c r="M259" s="306"/>
      <c r="N259" s="306"/>
      <c r="O259" s="306"/>
      <c r="P259" s="306"/>
      <c r="Q259" s="306"/>
      <c r="R259" s="306"/>
      <c r="S259" s="306"/>
      <c r="T259" s="306"/>
      <c r="U259" s="306"/>
      <c r="V259" s="306"/>
      <c r="W259" s="306"/>
      <c r="X259" s="306"/>
      <c r="Y259" s="306"/>
      <c r="Z259" s="306"/>
    </row>
    <row r="260" ht="12.75" customHeight="1">
      <c r="A260" s="306"/>
      <c r="B260" s="306"/>
      <c r="C260" s="306"/>
      <c r="D260" s="306"/>
      <c r="E260" s="306"/>
      <c r="F260" s="306"/>
      <c r="G260" s="306"/>
      <c r="H260" s="306"/>
      <c r="I260" s="306"/>
      <c r="J260" s="306"/>
      <c r="K260" s="306"/>
      <c r="L260" s="306"/>
      <c r="M260" s="306"/>
      <c r="N260" s="306"/>
      <c r="O260" s="306"/>
      <c r="P260" s="306"/>
      <c r="Q260" s="306"/>
      <c r="R260" s="306"/>
      <c r="S260" s="306"/>
      <c r="T260" s="306"/>
      <c r="U260" s="306"/>
      <c r="V260" s="306"/>
      <c r="W260" s="306"/>
      <c r="X260" s="306"/>
      <c r="Y260" s="306"/>
      <c r="Z260" s="306"/>
    </row>
    <row r="261" ht="12.75" customHeight="1">
      <c r="A261" s="306"/>
      <c r="B261" s="306"/>
      <c r="C261" s="306"/>
      <c r="D261" s="306"/>
      <c r="E261" s="306"/>
      <c r="F261" s="306"/>
      <c r="G261" s="306"/>
      <c r="H261" s="306"/>
      <c r="I261" s="306"/>
      <c r="J261" s="306"/>
      <c r="K261" s="306"/>
      <c r="L261" s="306"/>
      <c r="M261" s="306"/>
      <c r="N261" s="306"/>
      <c r="O261" s="306"/>
      <c r="P261" s="306"/>
      <c r="Q261" s="306"/>
      <c r="R261" s="306"/>
      <c r="S261" s="306"/>
      <c r="T261" s="306"/>
      <c r="U261" s="306"/>
      <c r="V261" s="306"/>
      <c r="W261" s="306"/>
      <c r="X261" s="306"/>
      <c r="Y261" s="306"/>
      <c r="Z261" s="306"/>
    </row>
    <row r="262" ht="12.75" customHeight="1">
      <c r="A262" s="306"/>
      <c r="B262" s="306"/>
      <c r="C262" s="306"/>
      <c r="D262" s="306"/>
      <c r="E262" s="306"/>
      <c r="F262" s="306"/>
      <c r="G262" s="306"/>
      <c r="H262" s="306"/>
      <c r="I262" s="306"/>
      <c r="J262" s="306"/>
      <c r="K262" s="306"/>
      <c r="L262" s="306"/>
      <c r="M262" s="306"/>
      <c r="N262" s="306"/>
      <c r="O262" s="306"/>
      <c r="P262" s="306"/>
      <c r="Q262" s="306"/>
      <c r="R262" s="306"/>
      <c r="S262" s="306"/>
      <c r="T262" s="306"/>
      <c r="U262" s="306"/>
      <c r="V262" s="306"/>
      <c r="W262" s="306"/>
      <c r="X262" s="306"/>
      <c r="Y262" s="306"/>
      <c r="Z262" s="306"/>
    </row>
    <row r="263" ht="12.75" customHeight="1">
      <c r="A263" s="306"/>
      <c r="B263" s="306"/>
      <c r="C263" s="306"/>
      <c r="D263" s="306"/>
      <c r="E263" s="306"/>
      <c r="F263" s="306"/>
      <c r="G263" s="306"/>
      <c r="H263" s="306"/>
      <c r="I263" s="306"/>
      <c r="J263" s="306"/>
      <c r="K263" s="306"/>
      <c r="L263" s="306"/>
      <c r="M263" s="306"/>
      <c r="N263" s="306"/>
      <c r="O263" s="306"/>
      <c r="P263" s="306"/>
      <c r="Q263" s="306"/>
      <c r="R263" s="306"/>
      <c r="S263" s="306"/>
      <c r="T263" s="306"/>
      <c r="U263" s="306"/>
      <c r="V263" s="306"/>
      <c r="W263" s="306"/>
      <c r="X263" s="306"/>
      <c r="Y263" s="306"/>
      <c r="Z263" s="306"/>
    </row>
    <row r="264" ht="12.75" customHeight="1">
      <c r="A264" s="306"/>
      <c r="B264" s="306"/>
      <c r="C264" s="306"/>
      <c r="D264" s="306"/>
      <c r="E264" s="306"/>
      <c r="F264" s="306"/>
      <c r="G264" s="306"/>
      <c r="H264" s="306"/>
      <c r="I264" s="306"/>
      <c r="J264" s="306"/>
      <c r="K264" s="306"/>
      <c r="L264" s="306"/>
      <c r="M264" s="306"/>
      <c r="N264" s="306"/>
      <c r="O264" s="306"/>
      <c r="P264" s="306"/>
      <c r="Q264" s="306"/>
      <c r="R264" s="306"/>
      <c r="S264" s="306"/>
      <c r="T264" s="306"/>
      <c r="U264" s="306"/>
      <c r="V264" s="306"/>
      <c r="W264" s="306"/>
      <c r="X264" s="306"/>
      <c r="Y264" s="306"/>
      <c r="Z264" s="306"/>
    </row>
    <row r="265" ht="12.75" customHeight="1">
      <c r="A265" s="306"/>
      <c r="B265" s="306"/>
      <c r="C265" s="306"/>
      <c r="D265" s="306"/>
      <c r="E265" s="306"/>
      <c r="F265" s="306"/>
      <c r="G265" s="306"/>
      <c r="H265" s="306"/>
      <c r="I265" s="306"/>
      <c r="J265" s="306"/>
      <c r="K265" s="306"/>
      <c r="L265" s="306"/>
      <c r="M265" s="306"/>
      <c r="N265" s="306"/>
      <c r="O265" s="306"/>
      <c r="P265" s="306"/>
      <c r="Q265" s="306"/>
      <c r="R265" s="306"/>
      <c r="S265" s="306"/>
      <c r="T265" s="306"/>
      <c r="U265" s="306"/>
      <c r="V265" s="306"/>
      <c r="W265" s="306"/>
      <c r="X265" s="306"/>
      <c r="Y265" s="306"/>
      <c r="Z265" s="306"/>
    </row>
    <row r="266" ht="12.75" customHeight="1">
      <c r="A266" s="306"/>
      <c r="B266" s="306"/>
      <c r="C266" s="306"/>
      <c r="D266" s="306"/>
      <c r="E266" s="306"/>
      <c r="F266" s="306"/>
      <c r="G266" s="306"/>
      <c r="H266" s="306"/>
      <c r="I266" s="306"/>
      <c r="J266" s="306"/>
      <c r="K266" s="306"/>
      <c r="L266" s="306"/>
      <c r="M266" s="306"/>
      <c r="N266" s="306"/>
      <c r="O266" s="306"/>
      <c r="P266" s="306"/>
      <c r="Q266" s="306"/>
      <c r="R266" s="306"/>
      <c r="S266" s="306"/>
      <c r="T266" s="306"/>
      <c r="U266" s="306"/>
      <c r="V266" s="306"/>
      <c r="W266" s="306"/>
      <c r="X266" s="306"/>
      <c r="Y266" s="306"/>
      <c r="Z266" s="306"/>
    </row>
    <row r="267" ht="12.75" customHeight="1">
      <c r="A267" s="306"/>
      <c r="B267" s="306"/>
      <c r="C267" s="306"/>
      <c r="D267" s="306"/>
      <c r="E267" s="306"/>
      <c r="F267" s="306"/>
      <c r="G267" s="306"/>
      <c r="H267" s="306"/>
      <c r="I267" s="306"/>
      <c r="J267" s="306"/>
      <c r="K267" s="306"/>
      <c r="L267" s="306"/>
      <c r="M267" s="306"/>
      <c r="N267" s="306"/>
      <c r="O267" s="306"/>
      <c r="P267" s="306"/>
      <c r="Q267" s="306"/>
      <c r="R267" s="306"/>
      <c r="S267" s="306"/>
      <c r="T267" s="306"/>
      <c r="U267" s="306"/>
      <c r="V267" s="306"/>
      <c r="W267" s="306"/>
      <c r="X267" s="306"/>
      <c r="Y267" s="306"/>
      <c r="Z267" s="306"/>
    </row>
    <row r="268" ht="12.75" customHeight="1">
      <c r="A268" s="306"/>
      <c r="B268" s="306"/>
      <c r="C268" s="306"/>
      <c r="D268" s="306"/>
      <c r="E268" s="306"/>
      <c r="F268" s="306"/>
      <c r="G268" s="306"/>
      <c r="H268" s="306"/>
      <c r="I268" s="306"/>
      <c r="J268" s="306"/>
      <c r="K268" s="306"/>
      <c r="L268" s="306"/>
      <c r="M268" s="306"/>
      <c r="N268" s="306"/>
      <c r="O268" s="306"/>
      <c r="P268" s="306"/>
      <c r="Q268" s="306"/>
      <c r="R268" s="306"/>
      <c r="S268" s="306"/>
      <c r="T268" s="306"/>
      <c r="U268" s="306"/>
      <c r="V268" s="306"/>
      <c r="W268" s="306"/>
      <c r="X268" s="306"/>
      <c r="Y268" s="306"/>
      <c r="Z268" s="306"/>
    </row>
    <row r="269" ht="12.75" customHeight="1">
      <c r="A269" s="306"/>
      <c r="B269" s="306"/>
      <c r="C269" s="306"/>
      <c r="D269" s="306"/>
      <c r="E269" s="306"/>
      <c r="F269" s="306"/>
      <c r="G269" s="306"/>
      <c r="H269" s="306"/>
      <c r="I269" s="306"/>
      <c r="J269" s="306"/>
      <c r="K269" s="306"/>
      <c r="L269" s="306"/>
      <c r="M269" s="306"/>
      <c r="N269" s="306"/>
      <c r="O269" s="306"/>
      <c r="P269" s="306"/>
      <c r="Q269" s="306"/>
      <c r="R269" s="306"/>
      <c r="S269" s="306"/>
      <c r="T269" s="306"/>
      <c r="U269" s="306"/>
      <c r="V269" s="306"/>
      <c r="W269" s="306"/>
      <c r="X269" s="306"/>
      <c r="Y269" s="306"/>
      <c r="Z269" s="306"/>
    </row>
    <row r="270" ht="12.75" customHeight="1">
      <c r="A270" s="306"/>
      <c r="B270" s="306"/>
      <c r="C270" s="306"/>
      <c r="D270" s="306"/>
      <c r="E270" s="306"/>
      <c r="F270" s="306"/>
      <c r="G270" s="306"/>
      <c r="H270" s="306"/>
      <c r="I270" s="306"/>
      <c r="J270" s="306"/>
      <c r="K270" s="306"/>
      <c r="L270" s="306"/>
      <c r="M270" s="306"/>
      <c r="N270" s="306"/>
      <c r="O270" s="306"/>
      <c r="P270" s="306"/>
      <c r="Q270" s="306"/>
      <c r="R270" s="306"/>
      <c r="S270" s="306"/>
      <c r="T270" s="306"/>
      <c r="U270" s="306"/>
      <c r="V270" s="306"/>
      <c r="W270" s="306"/>
      <c r="X270" s="306"/>
      <c r="Y270" s="306"/>
      <c r="Z270" s="306"/>
    </row>
    <row r="271" ht="12.75" customHeight="1">
      <c r="A271" s="306"/>
      <c r="B271" s="306"/>
      <c r="C271" s="306"/>
      <c r="D271" s="306"/>
      <c r="E271" s="306"/>
      <c r="F271" s="306"/>
      <c r="G271" s="306"/>
      <c r="H271" s="306"/>
      <c r="I271" s="306"/>
      <c r="J271" s="306"/>
      <c r="K271" s="306"/>
      <c r="L271" s="306"/>
      <c r="M271" s="306"/>
      <c r="N271" s="306"/>
      <c r="O271" s="306"/>
      <c r="P271" s="306"/>
      <c r="Q271" s="306"/>
      <c r="R271" s="306"/>
      <c r="S271" s="306"/>
      <c r="T271" s="306"/>
      <c r="U271" s="306"/>
      <c r="V271" s="306"/>
      <c r="W271" s="306"/>
      <c r="X271" s="306"/>
      <c r="Y271" s="306"/>
      <c r="Z271" s="306"/>
    </row>
    <row r="272" ht="12.75" customHeight="1">
      <c r="A272" s="306"/>
      <c r="B272" s="306"/>
      <c r="C272" s="306"/>
      <c r="D272" s="306"/>
      <c r="E272" s="306"/>
      <c r="F272" s="306"/>
      <c r="G272" s="306"/>
      <c r="H272" s="306"/>
      <c r="I272" s="306"/>
      <c r="J272" s="306"/>
      <c r="K272" s="306"/>
      <c r="L272" s="306"/>
      <c r="M272" s="306"/>
      <c r="N272" s="306"/>
      <c r="O272" s="306"/>
      <c r="P272" s="306"/>
      <c r="Q272" s="306"/>
      <c r="R272" s="306"/>
      <c r="S272" s="306"/>
      <c r="T272" s="306"/>
      <c r="U272" s="306"/>
      <c r="V272" s="306"/>
      <c r="W272" s="306"/>
      <c r="X272" s="306"/>
      <c r="Y272" s="306"/>
      <c r="Z272" s="306"/>
    </row>
    <row r="273" ht="12.75" customHeight="1">
      <c r="A273" s="306"/>
      <c r="B273" s="306"/>
      <c r="C273" s="306"/>
      <c r="D273" s="306"/>
      <c r="E273" s="306"/>
      <c r="F273" s="306"/>
      <c r="G273" s="306"/>
      <c r="H273" s="306"/>
      <c r="I273" s="306"/>
      <c r="J273" s="306"/>
      <c r="K273" s="306"/>
      <c r="L273" s="306"/>
      <c r="M273" s="306"/>
      <c r="N273" s="306"/>
      <c r="O273" s="306"/>
      <c r="P273" s="306"/>
      <c r="Q273" s="306"/>
      <c r="R273" s="306"/>
      <c r="S273" s="306"/>
      <c r="T273" s="306"/>
      <c r="U273" s="306"/>
      <c r="V273" s="306"/>
      <c r="W273" s="306"/>
      <c r="X273" s="306"/>
      <c r="Y273" s="306"/>
      <c r="Z273" s="306"/>
    </row>
    <row r="274" ht="12.75" customHeight="1">
      <c r="A274" s="306"/>
      <c r="B274" s="306"/>
      <c r="C274" s="306"/>
      <c r="D274" s="306"/>
      <c r="E274" s="306"/>
      <c r="F274" s="306"/>
      <c r="G274" s="306"/>
      <c r="H274" s="306"/>
      <c r="I274" s="306"/>
      <c r="J274" s="306"/>
      <c r="K274" s="306"/>
      <c r="L274" s="306"/>
      <c r="M274" s="306"/>
      <c r="N274" s="306"/>
      <c r="O274" s="306"/>
      <c r="P274" s="306"/>
      <c r="Q274" s="306"/>
      <c r="R274" s="306"/>
      <c r="S274" s="306"/>
      <c r="T274" s="306"/>
      <c r="U274" s="306"/>
      <c r="V274" s="306"/>
      <c r="W274" s="306"/>
      <c r="X274" s="306"/>
      <c r="Y274" s="306"/>
      <c r="Z274" s="306"/>
    </row>
    <row r="275" ht="12.75" customHeight="1">
      <c r="A275" s="306"/>
      <c r="B275" s="306"/>
      <c r="C275" s="306"/>
      <c r="D275" s="306"/>
      <c r="E275" s="306"/>
      <c r="F275" s="306"/>
      <c r="G275" s="306"/>
      <c r="H275" s="306"/>
      <c r="I275" s="306"/>
      <c r="J275" s="306"/>
      <c r="K275" s="306"/>
      <c r="L275" s="306"/>
      <c r="M275" s="306"/>
      <c r="N275" s="306"/>
      <c r="O275" s="306"/>
      <c r="P275" s="306"/>
      <c r="Q275" s="306"/>
      <c r="R275" s="306"/>
      <c r="S275" s="306"/>
      <c r="T275" s="306"/>
      <c r="U275" s="306"/>
      <c r="V275" s="306"/>
      <c r="W275" s="306"/>
      <c r="X275" s="306"/>
      <c r="Y275" s="306"/>
      <c r="Z275" s="306"/>
    </row>
    <row r="276" ht="12.75" customHeight="1">
      <c r="A276" s="306"/>
      <c r="B276" s="306"/>
      <c r="C276" s="306"/>
      <c r="D276" s="306"/>
      <c r="E276" s="306"/>
      <c r="F276" s="306"/>
      <c r="G276" s="306"/>
      <c r="H276" s="306"/>
      <c r="I276" s="306"/>
      <c r="J276" s="306"/>
      <c r="K276" s="306"/>
      <c r="L276" s="306"/>
      <c r="M276" s="306"/>
      <c r="N276" s="306"/>
      <c r="O276" s="306"/>
      <c r="P276" s="306"/>
      <c r="Q276" s="306"/>
      <c r="R276" s="306"/>
      <c r="S276" s="306"/>
      <c r="T276" s="306"/>
      <c r="U276" s="306"/>
      <c r="V276" s="306"/>
      <c r="W276" s="306"/>
      <c r="X276" s="306"/>
      <c r="Y276" s="306"/>
      <c r="Z276" s="306"/>
    </row>
    <row r="277" ht="12.75" customHeight="1">
      <c r="A277" s="306"/>
      <c r="B277" s="306"/>
      <c r="C277" s="306"/>
      <c r="D277" s="306"/>
      <c r="E277" s="306"/>
      <c r="F277" s="306"/>
      <c r="G277" s="306"/>
      <c r="H277" s="306"/>
      <c r="I277" s="306"/>
      <c r="J277" s="306"/>
      <c r="K277" s="306"/>
      <c r="L277" s="306"/>
      <c r="M277" s="306"/>
      <c r="N277" s="306"/>
      <c r="O277" s="306"/>
      <c r="P277" s="306"/>
      <c r="Q277" s="306"/>
      <c r="R277" s="306"/>
      <c r="S277" s="306"/>
      <c r="T277" s="306"/>
      <c r="U277" s="306"/>
      <c r="V277" s="306"/>
      <c r="W277" s="306"/>
      <c r="X277" s="306"/>
      <c r="Y277" s="306"/>
      <c r="Z277" s="306"/>
    </row>
    <row r="278" ht="12.75" customHeight="1">
      <c r="A278" s="306"/>
      <c r="B278" s="306"/>
      <c r="C278" s="306"/>
      <c r="D278" s="306"/>
      <c r="E278" s="306"/>
      <c r="F278" s="306"/>
      <c r="G278" s="306"/>
      <c r="H278" s="306"/>
      <c r="I278" s="306"/>
      <c r="J278" s="306"/>
      <c r="K278" s="306"/>
      <c r="L278" s="306"/>
      <c r="M278" s="306"/>
      <c r="N278" s="306"/>
      <c r="O278" s="306"/>
      <c r="P278" s="306"/>
      <c r="Q278" s="306"/>
      <c r="R278" s="306"/>
      <c r="S278" s="306"/>
      <c r="T278" s="306"/>
      <c r="U278" s="306"/>
      <c r="V278" s="306"/>
      <c r="W278" s="306"/>
      <c r="X278" s="306"/>
      <c r="Y278" s="306"/>
      <c r="Z278" s="306"/>
    </row>
    <row r="279" ht="12.75" customHeight="1">
      <c r="A279" s="306"/>
      <c r="B279" s="306"/>
      <c r="C279" s="306"/>
      <c r="D279" s="306"/>
      <c r="E279" s="306"/>
      <c r="F279" s="306"/>
      <c r="G279" s="306"/>
      <c r="H279" s="306"/>
      <c r="I279" s="306"/>
      <c r="J279" s="306"/>
      <c r="K279" s="306"/>
      <c r="L279" s="306"/>
      <c r="M279" s="306"/>
      <c r="N279" s="306"/>
      <c r="O279" s="306"/>
      <c r="P279" s="306"/>
      <c r="Q279" s="306"/>
      <c r="R279" s="306"/>
      <c r="S279" s="306"/>
      <c r="T279" s="306"/>
      <c r="U279" s="306"/>
      <c r="V279" s="306"/>
      <c r="W279" s="306"/>
      <c r="X279" s="306"/>
      <c r="Y279" s="306"/>
      <c r="Z279" s="306"/>
    </row>
    <row r="280" ht="12.75" customHeight="1">
      <c r="A280" s="306"/>
      <c r="B280" s="306"/>
      <c r="C280" s="306"/>
      <c r="D280" s="306"/>
      <c r="E280" s="306"/>
      <c r="F280" s="306"/>
      <c r="G280" s="306"/>
      <c r="H280" s="306"/>
      <c r="I280" s="306"/>
      <c r="J280" s="306"/>
      <c r="K280" s="306"/>
      <c r="L280" s="306"/>
      <c r="M280" s="306"/>
      <c r="N280" s="306"/>
      <c r="O280" s="306"/>
      <c r="P280" s="306"/>
      <c r="Q280" s="306"/>
      <c r="R280" s="306"/>
      <c r="S280" s="306"/>
      <c r="T280" s="306"/>
      <c r="U280" s="306"/>
      <c r="V280" s="306"/>
      <c r="W280" s="306"/>
      <c r="X280" s="306"/>
      <c r="Y280" s="306"/>
      <c r="Z280" s="306"/>
    </row>
    <row r="281" ht="12.75" customHeight="1">
      <c r="A281" s="306"/>
      <c r="B281" s="306"/>
      <c r="C281" s="306"/>
      <c r="D281" s="306"/>
      <c r="E281" s="306"/>
      <c r="F281" s="306"/>
      <c r="G281" s="306"/>
      <c r="H281" s="306"/>
      <c r="I281" s="306"/>
      <c r="J281" s="306"/>
      <c r="K281" s="306"/>
      <c r="L281" s="306"/>
      <c r="M281" s="306"/>
      <c r="N281" s="306"/>
      <c r="O281" s="306"/>
      <c r="P281" s="306"/>
      <c r="Q281" s="306"/>
      <c r="R281" s="306"/>
      <c r="S281" s="306"/>
      <c r="T281" s="306"/>
      <c r="U281" s="306"/>
      <c r="V281" s="306"/>
      <c r="W281" s="306"/>
      <c r="X281" s="306"/>
      <c r="Y281" s="306"/>
      <c r="Z281" s="306"/>
    </row>
    <row r="282" ht="12.75" customHeight="1">
      <c r="A282" s="306"/>
      <c r="B282" s="306"/>
      <c r="C282" s="306"/>
      <c r="D282" s="306"/>
      <c r="E282" s="306"/>
      <c r="F282" s="306"/>
      <c r="G282" s="306"/>
      <c r="H282" s="306"/>
      <c r="I282" s="306"/>
      <c r="J282" s="306"/>
      <c r="K282" s="306"/>
      <c r="L282" s="306"/>
      <c r="M282" s="306"/>
      <c r="N282" s="306"/>
      <c r="O282" s="306"/>
      <c r="P282" s="306"/>
      <c r="Q282" s="306"/>
      <c r="R282" s="306"/>
      <c r="S282" s="306"/>
      <c r="T282" s="306"/>
      <c r="U282" s="306"/>
      <c r="V282" s="306"/>
      <c r="W282" s="306"/>
      <c r="X282" s="306"/>
      <c r="Y282" s="306"/>
      <c r="Z282" s="306"/>
    </row>
    <row r="283" ht="12.75" customHeight="1">
      <c r="A283" s="306"/>
      <c r="B283" s="306"/>
      <c r="C283" s="306"/>
      <c r="D283" s="306"/>
      <c r="E283" s="306"/>
      <c r="F283" s="306"/>
      <c r="G283" s="306"/>
      <c r="H283" s="306"/>
      <c r="I283" s="306"/>
      <c r="J283" s="306"/>
      <c r="K283" s="306"/>
      <c r="L283" s="306"/>
      <c r="M283" s="306"/>
      <c r="N283" s="306"/>
      <c r="O283" s="306"/>
      <c r="P283" s="306"/>
      <c r="Q283" s="306"/>
      <c r="R283" s="306"/>
      <c r="S283" s="306"/>
      <c r="T283" s="306"/>
      <c r="U283" s="306"/>
      <c r="V283" s="306"/>
      <c r="W283" s="306"/>
      <c r="X283" s="306"/>
      <c r="Y283" s="306"/>
      <c r="Z283" s="306"/>
    </row>
    <row r="284" ht="12.75" customHeight="1">
      <c r="A284" s="306"/>
      <c r="B284" s="306"/>
      <c r="C284" s="306"/>
      <c r="D284" s="306"/>
      <c r="E284" s="306"/>
      <c r="F284" s="306"/>
      <c r="G284" s="306"/>
      <c r="H284" s="306"/>
      <c r="I284" s="306"/>
      <c r="J284" s="306"/>
      <c r="K284" s="306"/>
      <c r="L284" s="306"/>
      <c r="M284" s="306"/>
      <c r="N284" s="306"/>
      <c r="O284" s="306"/>
      <c r="P284" s="306"/>
      <c r="Q284" s="306"/>
      <c r="R284" s="306"/>
      <c r="S284" s="306"/>
      <c r="T284" s="306"/>
      <c r="U284" s="306"/>
      <c r="V284" s="306"/>
      <c r="W284" s="306"/>
      <c r="X284" s="306"/>
      <c r="Y284" s="306"/>
      <c r="Z284" s="306"/>
    </row>
    <row r="285" ht="12.75" customHeight="1">
      <c r="A285" s="306"/>
      <c r="B285" s="306"/>
      <c r="C285" s="306"/>
      <c r="D285" s="306"/>
      <c r="E285" s="306"/>
      <c r="F285" s="306"/>
      <c r="G285" s="306"/>
      <c r="H285" s="306"/>
      <c r="I285" s="306"/>
      <c r="J285" s="306"/>
      <c r="K285" s="306"/>
      <c r="L285" s="306"/>
      <c r="M285" s="306"/>
      <c r="N285" s="306"/>
      <c r="O285" s="306"/>
      <c r="P285" s="306"/>
      <c r="Q285" s="306"/>
      <c r="R285" s="306"/>
      <c r="S285" s="306"/>
      <c r="T285" s="306"/>
      <c r="U285" s="306"/>
      <c r="V285" s="306"/>
      <c r="W285" s="306"/>
      <c r="X285" s="306"/>
      <c r="Y285" s="306"/>
      <c r="Z285" s="306"/>
    </row>
    <row r="286" ht="12.75" customHeight="1">
      <c r="A286" s="306"/>
      <c r="B286" s="306"/>
      <c r="C286" s="306"/>
      <c r="D286" s="306"/>
      <c r="E286" s="306"/>
      <c r="F286" s="306"/>
      <c r="G286" s="306"/>
      <c r="H286" s="306"/>
      <c r="I286" s="306"/>
      <c r="J286" s="306"/>
      <c r="K286" s="306"/>
      <c r="L286" s="306"/>
      <c r="M286" s="306"/>
      <c r="N286" s="306"/>
      <c r="O286" s="306"/>
      <c r="P286" s="306"/>
      <c r="Q286" s="306"/>
      <c r="R286" s="306"/>
      <c r="S286" s="306"/>
      <c r="T286" s="306"/>
      <c r="U286" s="306"/>
      <c r="V286" s="306"/>
      <c r="W286" s="306"/>
      <c r="X286" s="306"/>
      <c r="Y286" s="306"/>
      <c r="Z286" s="306"/>
    </row>
    <row r="287" ht="12.75" customHeight="1">
      <c r="A287" s="306"/>
      <c r="B287" s="306"/>
      <c r="C287" s="306"/>
      <c r="D287" s="306"/>
      <c r="E287" s="306"/>
      <c r="F287" s="306"/>
      <c r="G287" s="306"/>
      <c r="H287" s="306"/>
      <c r="I287" s="306"/>
      <c r="J287" s="306"/>
      <c r="K287" s="306"/>
      <c r="L287" s="306"/>
      <c r="M287" s="306"/>
      <c r="N287" s="306"/>
      <c r="O287" s="306"/>
      <c r="P287" s="306"/>
      <c r="Q287" s="306"/>
      <c r="R287" s="306"/>
      <c r="S287" s="306"/>
      <c r="T287" s="306"/>
      <c r="U287" s="306"/>
      <c r="V287" s="306"/>
      <c r="W287" s="306"/>
      <c r="X287" s="306"/>
      <c r="Y287" s="306"/>
      <c r="Z287" s="306"/>
    </row>
    <row r="288" ht="12.75" customHeight="1">
      <c r="A288" s="306"/>
      <c r="B288" s="306"/>
      <c r="C288" s="306"/>
      <c r="D288" s="306"/>
      <c r="E288" s="306"/>
      <c r="F288" s="306"/>
      <c r="G288" s="306"/>
      <c r="H288" s="306"/>
      <c r="I288" s="306"/>
      <c r="J288" s="306"/>
      <c r="K288" s="306"/>
      <c r="L288" s="306"/>
      <c r="M288" s="306"/>
      <c r="N288" s="306"/>
      <c r="O288" s="306"/>
      <c r="P288" s="306"/>
      <c r="Q288" s="306"/>
      <c r="R288" s="306"/>
      <c r="S288" s="306"/>
      <c r="T288" s="306"/>
      <c r="U288" s="306"/>
      <c r="V288" s="306"/>
      <c r="W288" s="306"/>
      <c r="X288" s="306"/>
      <c r="Y288" s="306"/>
      <c r="Z288" s="306"/>
    </row>
    <row r="289" ht="12.75" customHeight="1">
      <c r="A289" s="306"/>
      <c r="B289" s="306"/>
      <c r="C289" s="306"/>
      <c r="D289" s="306"/>
      <c r="E289" s="306"/>
      <c r="F289" s="306"/>
      <c r="G289" s="306"/>
      <c r="H289" s="306"/>
      <c r="I289" s="306"/>
      <c r="J289" s="306"/>
      <c r="K289" s="306"/>
      <c r="L289" s="306"/>
      <c r="M289" s="306"/>
      <c r="N289" s="306"/>
      <c r="O289" s="306"/>
      <c r="P289" s="306"/>
      <c r="Q289" s="306"/>
      <c r="R289" s="306"/>
      <c r="S289" s="306"/>
      <c r="T289" s="306"/>
      <c r="U289" s="306"/>
      <c r="V289" s="306"/>
      <c r="W289" s="306"/>
      <c r="X289" s="306"/>
      <c r="Y289" s="306"/>
      <c r="Z289" s="306"/>
    </row>
    <row r="290" ht="12.75" customHeight="1">
      <c r="A290" s="306"/>
      <c r="B290" s="306"/>
      <c r="C290" s="306"/>
      <c r="D290" s="306"/>
      <c r="E290" s="306"/>
      <c r="F290" s="306"/>
      <c r="G290" s="306"/>
      <c r="H290" s="306"/>
      <c r="I290" s="306"/>
      <c r="J290" s="306"/>
      <c r="K290" s="306"/>
      <c r="L290" s="306"/>
      <c r="M290" s="306"/>
      <c r="N290" s="306"/>
      <c r="O290" s="306"/>
      <c r="P290" s="306"/>
      <c r="Q290" s="306"/>
      <c r="R290" s="306"/>
      <c r="S290" s="306"/>
      <c r="T290" s="306"/>
      <c r="U290" s="306"/>
      <c r="V290" s="306"/>
      <c r="W290" s="306"/>
      <c r="X290" s="306"/>
      <c r="Y290" s="306"/>
      <c r="Z290" s="306"/>
    </row>
    <row r="291" ht="12.75" customHeight="1">
      <c r="A291" s="306"/>
      <c r="B291" s="306"/>
      <c r="C291" s="306"/>
      <c r="D291" s="306"/>
      <c r="E291" s="306"/>
      <c r="F291" s="306"/>
      <c r="G291" s="306"/>
      <c r="H291" s="306"/>
      <c r="I291" s="306"/>
      <c r="J291" s="306"/>
      <c r="K291" s="306"/>
      <c r="L291" s="306"/>
      <c r="M291" s="306"/>
      <c r="N291" s="306"/>
      <c r="O291" s="306"/>
      <c r="P291" s="306"/>
      <c r="Q291" s="306"/>
      <c r="R291" s="306"/>
      <c r="S291" s="306"/>
      <c r="T291" s="306"/>
      <c r="U291" s="306"/>
      <c r="V291" s="306"/>
      <c r="W291" s="306"/>
      <c r="X291" s="306"/>
      <c r="Y291" s="306"/>
      <c r="Z291" s="306"/>
    </row>
    <row r="292" ht="12.75" customHeight="1">
      <c r="A292" s="306"/>
      <c r="B292" s="306"/>
      <c r="C292" s="306"/>
      <c r="D292" s="306"/>
      <c r="E292" s="306"/>
      <c r="F292" s="306"/>
      <c r="G292" s="306"/>
      <c r="H292" s="306"/>
      <c r="I292" s="306"/>
      <c r="J292" s="306"/>
      <c r="K292" s="306"/>
      <c r="L292" s="306"/>
      <c r="M292" s="306"/>
      <c r="N292" s="306"/>
      <c r="O292" s="306"/>
      <c r="P292" s="306"/>
      <c r="Q292" s="306"/>
      <c r="R292" s="306"/>
      <c r="S292" s="306"/>
      <c r="T292" s="306"/>
      <c r="U292" s="306"/>
      <c r="V292" s="306"/>
      <c r="W292" s="306"/>
      <c r="X292" s="306"/>
      <c r="Y292" s="306"/>
      <c r="Z292" s="306"/>
    </row>
    <row r="293" ht="12.75" customHeight="1">
      <c r="A293" s="306"/>
      <c r="B293" s="306"/>
      <c r="C293" s="306"/>
      <c r="D293" s="306"/>
      <c r="E293" s="306"/>
      <c r="F293" s="306"/>
      <c r="G293" s="306"/>
      <c r="H293" s="306"/>
      <c r="I293" s="306"/>
      <c r="J293" s="306"/>
      <c r="K293" s="306"/>
      <c r="L293" s="306"/>
      <c r="M293" s="306"/>
      <c r="N293" s="306"/>
      <c r="O293" s="306"/>
      <c r="P293" s="306"/>
      <c r="Q293" s="306"/>
      <c r="R293" s="306"/>
      <c r="S293" s="306"/>
      <c r="T293" s="306"/>
      <c r="U293" s="306"/>
      <c r="V293" s="306"/>
      <c r="W293" s="306"/>
      <c r="X293" s="306"/>
      <c r="Y293" s="306"/>
      <c r="Z293" s="306"/>
    </row>
    <row r="294" ht="12.75" customHeight="1">
      <c r="A294" s="306"/>
      <c r="B294" s="306"/>
      <c r="C294" s="306"/>
      <c r="D294" s="306"/>
      <c r="E294" s="306"/>
      <c r="F294" s="306"/>
      <c r="G294" s="306"/>
      <c r="H294" s="306"/>
      <c r="I294" s="306"/>
      <c r="J294" s="306"/>
      <c r="K294" s="306"/>
      <c r="L294" s="306"/>
      <c r="M294" s="306"/>
      <c r="N294" s="306"/>
      <c r="O294" s="306"/>
      <c r="P294" s="306"/>
      <c r="Q294" s="306"/>
      <c r="R294" s="306"/>
      <c r="S294" s="306"/>
      <c r="T294" s="306"/>
      <c r="U294" s="306"/>
      <c r="V294" s="306"/>
      <c r="W294" s="306"/>
      <c r="X294" s="306"/>
      <c r="Y294" s="306"/>
      <c r="Z294" s="306"/>
    </row>
    <row r="295" ht="12.75" customHeight="1">
      <c r="A295" s="306"/>
      <c r="B295" s="306"/>
      <c r="C295" s="306"/>
      <c r="D295" s="306"/>
      <c r="E295" s="306"/>
      <c r="F295" s="306"/>
      <c r="G295" s="306"/>
      <c r="H295" s="306"/>
      <c r="I295" s="306"/>
      <c r="J295" s="306"/>
      <c r="K295" s="306"/>
      <c r="L295" s="306"/>
      <c r="M295" s="306"/>
      <c r="N295" s="306"/>
      <c r="O295" s="306"/>
      <c r="P295" s="306"/>
      <c r="Q295" s="306"/>
      <c r="R295" s="306"/>
      <c r="S295" s="306"/>
      <c r="T295" s="306"/>
      <c r="U295" s="306"/>
      <c r="V295" s="306"/>
      <c r="W295" s="306"/>
      <c r="X295" s="306"/>
      <c r="Y295" s="306"/>
      <c r="Z295" s="306"/>
    </row>
    <row r="296" ht="12.75" customHeight="1">
      <c r="A296" s="306"/>
      <c r="B296" s="306"/>
      <c r="C296" s="306"/>
      <c r="D296" s="306"/>
      <c r="E296" s="306"/>
      <c r="F296" s="306"/>
      <c r="G296" s="306"/>
      <c r="H296" s="306"/>
      <c r="I296" s="306"/>
      <c r="J296" s="306"/>
      <c r="K296" s="306"/>
      <c r="L296" s="306"/>
      <c r="M296" s="306"/>
      <c r="N296" s="306"/>
      <c r="O296" s="306"/>
      <c r="P296" s="306"/>
      <c r="Q296" s="306"/>
      <c r="R296" s="306"/>
      <c r="S296" s="306"/>
      <c r="T296" s="306"/>
      <c r="U296" s="306"/>
      <c r="V296" s="306"/>
      <c r="W296" s="306"/>
      <c r="X296" s="306"/>
      <c r="Y296" s="306"/>
      <c r="Z296" s="306"/>
    </row>
    <row r="297" ht="12.75" customHeight="1">
      <c r="A297" s="306"/>
      <c r="B297" s="306"/>
      <c r="C297" s="306"/>
      <c r="D297" s="306"/>
      <c r="E297" s="306"/>
      <c r="F297" s="306"/>
      <c r="G297" s="306"/>
      <c r="H297" s="306"/>
      <c r="I297" s="306"/>
      <c r="J297" s="306"/>
      <c r="K297" s="306"/>
      <c r="L297" s="306"/>
      <c r="M297" s="306"/>
      <c r="N297" s="306"/>
      <c r="O297" s="306"/>
      <c r="P297" s="306"/>
      <c r="Q297" s="306"/>
      <c r="R297" s="306"/>
      <c r="S297" s="306"/>
      <c r="T297" s="306"/>
      <c r="U297" s="306"/>
      <c r="V297" s="306"/>
      <c r="W297" s="306"/>
      <c r="X297" s="306"/>
      <c r="Y297" s="306"/>
      <c r="Z297" s="306"/>
    </row>
    <row r="298" ht="12.75" customHeight="1">
      <c r="A298" s="306"/>
      <c r="B298" s="306"/>
      <c r="C298" s="306"/>
      <c r="D298" s="306"/>
      <c r="E298" s="306"/>
      <c r="F298" s="306"/>
      <c r="G298" s="306"/>
      <c r="H298" s="306"/>
      <c r="I298" s="306"/>
      <c r="J298" s="306"/>
      <c r="K298" s="306"/>
      <c r="L298" s="306"/>
      <c r="M298" s="306"/>
      <c r="N298" s="306"/>
      <c r="O298" s="306"/>
      <c r="P298" s="306"/>
      <c r="Q298" s="306"/>
      <c r="R298" s="306"/>
      <c r="S298" s="306"/>
      <c r="T298" s="306"/>
      <c r="U298" s="306"/>
      <c r="V298" s="306"/>
      <c r="W298" s="306"/>
      <c r="X298" s="306"/>
      <c r="Y298" s="306"/>
      <c r="Z298" s="306"/>
    </row>
    <row r="299" ht="12.75" customHeight="1">
      <c r="A299" s="306"/>
      <c r="B299" s="306"/>
      <c r="C299" s="306"/>
      <c r="D299" s="306"/>
      <c r="E299" s="306"/>
      <c r="F299" s="306"/>
      <c r="G299" s="306"/>
      <c r="H299" s="306"/>
      <c r="I299" s="306"/>
      <c r="J299" s="306"/>
      <c r="K299" s="306"/>
      <c r="L299" s="306"/>
      <c r="M299" s="306"/>
      <c r="N299" s="306"/>
      <c r="O299" s="306"/>
      <c r="P299" s="306"/>
      <c r="Q299" s="306"/>
      <c r="R299" s="306"/>
      <c r="S299" s="306"/>
      <c r="T299" s="306"/>
      <c r="U299" s="306"/>
      <c r="V299" s="306"/>
      <c r="W299" s="306"/>
      <c r="X299" s="306"/>
      <c r="Y299" s="306"/>
      <c r="Z299" s="306"/>
    </row>
    <row r="300" ht="12.75" customHeight="1">
      <c r="A300" s="306"/>
      <c r="B300" s="306"/>
      <c r="C300" s="306"/>
      <c r="D300" s="306"/>
      <c r="E300" s="306"/>
      <c r="F300" s="306"/>
      <c r="G300" s="306"/>
      <c r="H300" s="306"/>
      <c r="I300" s="306"/>
      <c r="J300" s="306"/>
      <c r="K300" s="306"/>
      <c r="L300" s="306"/>
      <c r="M300" s="306"/>
      <c r="N300" s="306"/>
      <c r="O300" s="306"/>
      <c r="P300" s="306"/>
      <c r="Q300" s="306"/>
      <c r="R300" s="306"/>
      <c r="S300" s="306"/>
      <c r="T300" s="306"/>
      <c r="U300" s="306"/>
      <c r="V300" s="306"/>
      <c r="W300" s="306"/>
      <c r="X300" s="306"/>
      <c r="Y300" s="306"/>
      <c r="Z300" s="306"/>
    </row>
    <row r="301" ht="12.75" customHeight="1">
      <c r="A301" s="306"/>
      <c r="B301" s="306"/>
      <c r="C301" s="306"/>
      <c r="D301" s="306"/>
      <c r="E301" s="306"/>
      <c r="F301" s="306"/>
      <c r="G301" s="306"/>
      <c r="H301" s="306"/>
      <c r="I301" s="306"/>
      <c r="J301" s="306"/>
      <c r="K301" s="306"/>
      <c r="L301" s="306"/>
      <c r="M301" s="306"/>
      <c r="N301" s="306"/>
      <c r="O301" s="306"/>
      <c r="P301" s="306"/>
      <c r="Q301" s="306"/>
      <c r="R301" s="306"/>
      <c r="S301" s="306"/>
      <c r="T301" s="306"/>
      <c r="U301" s="306"/>
      <c r="V301" s="306"/>
      <c r="W301" s="306"/>
      <c r="X301" s="306"/>
      <c r="Y301" s="306"/>
      <c r="Z301" s="306"/>
    </row>
    <row r="302" ht="12.75" customHeight="1">
      <c r="A302" s="306"/>
      <c r="B302" s="306"/>
      <c r="C302" s="306"/>
      <c r="D302" s="306"/>
      <c r="E302" s="306"/>
      <c r="F302" s="306"/>
      <c r="G302" s="306"/>
      <c r="H302" s="306"/>
      <c r="I302" s="306"/>
      <c r="J302" s="306"/>
      <c r="K302" s="306"/>
      <c r="L302" s="306"/>
      <c r="M302" s="306"/>
      <c r="N302" s="306"/>
      <c r="O302" s="306"/>
      <c r="P302" s="306"/>
      <c r="Q302" s="306"/>
      <c r="R302" s="306"/>
      <c r="S302" s="306"/>
      <c r="T302" s="306"/>
      <c r="U302" s="306"/>
      <c r="V302" s="306"/>
      <c r="W302" s="306"/>
      <c r="X302" s="306"/>
      <c r="Y302" s="306"/>
      <c r="Z302" s="306"/>
    </row>
    <row r="303" ht="12.75" customHeight="1">
      <c r="A303" s="306"/>
      <c r="B303" s="306"/>
      <c r="C303" s="306"/>
      <c r="D303" s="306"/>
      <c r="E303" s="306"/>
      <c r="F303" s="306"/>
      <c r="G303" s="306"/>
      <c r="H303" s="306"/>
      <c r="I303" s="306"/>
      <c r="J303" s="306"/>
      <c r="K303" s="306"/>
      <c r="L303" s="306"/>
      <c r="M303" s="306"/>
      <c r="N303" s="306"/>
      <c r="O303" s="306"/>
      <c r="P303" s="306"/>
      <c r="Q303" s="306"/>
      <c r="R303" s="306"/>
      <c r="S303" s="306"/>
      <c r="T303" s="306"/>
      <c r="U303" s="306"/>
      <c r="V303" s="306"/>
      <c r="W303" s="306"/>
      <c r="X303" s="306"/>
      <c r="Y303" s="306"/>
      <c r="Z303" s="306"/>
    </row>
    <row r="304" ht="12.75" customHeight="1">
      <c r="A304" s="306"/>
      <c r="B304" s="306"/>
      <c r="C304" s="306"/>
      <c r="D304" s="306"/>
      <c r="E304" s="306"/>
      <c r="F304" s="306"/>
      <c r="G304" s="306"/>
      <c r="H304" s="306"/>
      <c r="I304" s="306"/>
      <c r="J304" s="306"/>
      <c r="K304" s="306"/>
      <c r="L304" s="306"/>
      <c r="M304" s="306"/>
      <c r="N304" s="306"/>
      <c r="O304" s="306"/>
      <c r="P304" s="306"/>
      <c r="Q304" s="306"/>
      <c r="R304" s="306"/>
      <c r="S304" s="306"/>
      <c r="T304" s="306"/>
      <c r="U304" s="306"/>
      <c r="V304" s="306"/>
      <c r="W304" s="306"/>
      <c r="X304" s="306"/>
      <c r="Y304" s="306"/>
      <c r="Z304" s="306"/>
    </row>
    <row r="305" ht="12.75" customHeight="1">
      <c r="A305" s="306"/>
      <c r="B305" s="306"/>
      <c r="C305" s="306"/>
      <c r="D305" s="306"/>
      <c r="E305" s="306"/>
      <c r="F305" s="306"/>
      <c r="G305" s="306"/>
      <c r="H305" s="306"/>
      <c r="I305" s="306"/>
      <c r="J305" s="306"/>
      <c r="K305" s="306"/>
      <c r="L305" s="306"/>
      <c r="M305" s="306"/>
      <c r="N305" s="306"/>
      <c r="O305" s="306"/>
      <c r="P305" s="306"/>
      <c r="Q305" s="306"/>
      <c r="R305" s="306"/>
      <c r="S305" s="306"/>
      <c r="T305" s="306"/>
      <c r="U305" s="306"/>
      <c r="V305" s="306"/>
      <c r="W305" s="306"/>
      <c r="X305" s="306"/>
      <c r="Y305" s="306"/>
      <c r="Z305" s="306"/>
    </row>
    <row r="306" ht="12.75" customHeight="1">
      <c r="A306" s="306"/>
      <c r="B306" s="306"/>
      <c r="C306" s="306"/>
      <c r="D306" s="306"/>
      <c r="E306" s="306"/>
      <c r="F306" s="306"/>
      <c r="G306" s="306"/>
      <c r="H306" s="306"/>
      <c r="I306" s="306"/>
      <c r="J306" s="306"/>
      <c r="K306" s="306"/>
      <c r="L306" s="306"/>
      <c r="M306" s="306"/>
      <c r="N306" s="306"/>
      <c r="O306" s="306"/>
      <c r="P306" s="306"/>
      <c r="Q306" s="306"/>
      <c r="R306" s="306"/>
      <c r="S306" s="306"/>
      <c r="T306" s="306"/>
      <c r="U306" s="306"/>
      <c r="V306" s="306"/>
      <c r="W306" s="306"/>
      <c r="X306" s="306"/>
      <c r="Y306" s="306"/>
      <c r="Z306" s="306"/>
    </row>
    <row r="307" ht="12.75" customHeight="1">
      <c r="A307" s="306"/>
      <c r="B307" s="306"/>
      <c r="C307" s="306"/>
      <c r="D307" s="306"/>
      <c r="E307" s="306"/>
      <c r="F307" s="306"/>
      <c r="G307" s="306"/>
      <c r="H307" s="306"/>
      <c r="I307" s="306"/>
      <c r="J307" s="306"/>
      <c r="K307" s="306"/>
      <c r="L307" s="306"/>
      <c r="M307" s="306"/>
      <c r="N307" s="306"/>
      <c r="O307" s="306"/>
      <c r="P307" s="306"/>
      <c r="Q307" s="306"/>
      <c r="R307" s="306"/>
      <c r="S307" s="306"/>
      <c r="T307" s="306"/>
      <c r="U307" s="306"/>
      <c r="V307" s="306"/>
      <c r="W307" s="306"/>
      <c r="X307" s="306"/>
      <c r="Y307" s="306"/>
      <c r="Z307" s="306"/>
    </row>
    <row r="308" ht="12.75" customHeight="1">
      <c r="A308" s="306"/>
      <c r="B308" s="306"/>
      <c r="C308" s="306"/>
      <c r="D308" s="306"/>
      <c r="E308" s="306"/>
      <c r="F308" s="306"/>
      <c r="G308" s="306"/>
      <c r="H308" s="306"/>
      <c r="I308" s="306"/>
      <c r="J308" s="306"/>
      <c r="K308" s="306"/>
      <c r="L308" s="306"/>
      <c r="M308" s="306"/>
      <c r="N308" s="306"/>
      <c r="O308" s="306"/>
      <c r="P308" s="306"/>
      <c r="Q308" s="306"/>
      <c r="R308" s="306"/>
      <c r="S308" s="306"/>
      <c r="T308" s="306"/>
      <c r="U308" s="306"/>
      <c r="V308" s="306"/>
      <c r="W308" s="306"/>
      <c r="X308" s="306"/>
      <c r="Y308" s="306"/>
      <c r="Z308" s="306"/>
    </row>
    <row r="309" ht="12.75" customHeight="1">
      <c r="A309" s="306"/>
      <c r="B309" s="306"/>
      <c r="C309" s="306"/>
      <c r="D309" s="306"/>
      <c r="E309" s="306"/>
      <c r="F309" s="306"/>
      <c r="G309" s="306"/>
      <c r="H309" s="306"/>
      <c r="I309" s="306"/>
      <c r="J309" s="306"/>
      <c r="K309" s="306"/>
      <c r="L309" s="306"/>
      <c r="M309" s="306"/>
      <c r="N309" s="306"/>
      <c r="O309" s="306"/>
      <c r="P309" s="306"/>
      <c r="Q309" s="306"/>
      <c r="R309" s="306"/>
      <c r="S309" s="306"/>
      <c r="T309" s="306"/>
      <c r="U309" s="306"/>
      <c r="V309" s="306"/>
      <c r="W309" s="306"/>
      <c r="X309" s="306"/>
      <c r="Y309" s="306"/>
      <c r="Z309" s="306"/>
    </row>
    <row r="310" ht="12.75" customHeight="1">
      <c r="A310" s="306"/>
      <c r="B310" s="306"/>
      <c r="C310" s="306"/>
      <c r="D310" s="306"/>
      <c r="E310" s="306"/>
      <c r="F310" s="306"/>
      <c r="G310" s="306"/>
      <c r="H310" s="306"/>
      <c r="I310" s="306"/>
      <c r="J310" s="306"/>
      <c r="K310" s="306"/>
      <c r="L310" s="306"/>
      <c r="M310" s="306"/>
      <c r="N310" s="306"/>
      <c r="O310" s="306"/>
      <c r="P310" s="306"/>
      <c r="Q310" s="306"/>
      <c r="R310" s="306"/>
      <c r="S310" s="306"/>
      <c r="T310" s="306"/>
      <c r="U310" s="306"/>
      <c r="V310" s="306"/>
      <c r="W310" s="306"/>
      <c r="X310" s="306"/>
      <c r="Y310" s="306"/>
      <c r="Z310" s="306"/>
    </row>
    <row r="311" ht="12.75" customHeight="1">
      <c r="A311" s="306"/>
      <c r="B311" s="306"/>
      <c r="C311" s="306"/>
      <c r="D311" s="306"/>
      <c r="E311" s="306"/>
      <c r="F311" s="306"/>
      <c r="G311" s="306"/>
      <c r="H311" s="306"/>
      <c r="I311" s="306"/>
      <c r="J311" s="306"/>
      <c r="K311" s="306"/>
      <c r="L311" s="306"/>
      <c r="M311" s="306"/>
      <c r="N311" s="306"/>
      <c r="O311" s="306"/>
      <c r="P311" s="306"/>
      <c r="Q311" s="306"/>
      <c r="R311" s="306"/>
      <c r="S311" s="306"/>
      <c r="T311" s="306"/>
      <c r="U311" s="306"/>
      <c r="V311" s="306"/>
      <c r="W311" s="306"/>
      <c r="X311" s="306"/>
      <c r="Y311" s="306"/>
      <c r="Z311" s="306"/>
    </row>
    <row r="312" ht="12.75" customHeight="1">
      <c r="A312" s="306"/>
      <c r="B312" s="306"/>
      <c r="C312" s="306"/>
      <c r="D312" s="306"/>
      <c r="E312" s="306"/>
      <c r="F312" s="306"/>
      <c r="G312" s="306"/>
      <c r="H312" s="306"/>
      <c r="I312" s="306"/>
      <c r="J312" s="306"/>
      <c r="K312" s="306"/>
      <c r="L312" s="306"/>
      <c r="M312" s="306"/>
      <c r="N312" s="306"/>
      <c r="O312" s="306"/>
      <c r="P312" s="306"/>
      <c r="Q312" s="306"/>
      <c r="R312" s="306"/>
      <c r="S312" s="306"/>
      <c r="T312" s="306"/>
      <c r="U312" s="306"/>
      <c r="V312" s="306"/>
      <c r="W312" s="306"/>
      <c r="X312" s="306"/>
      <c r="Y312" s="306"/>
      <c r="Z312" s="306"/>
    </row>
    <row r="313" ht="12.75" customHeight="1">
      <c r="A313" s="306"/>
      <c r="B313" s="306"/>
      <c r="C313" s="306"/>
      <c r="D313" s="306"/>
      <c r="E313" s="306"/>
      <c r="F313" s="306"/>
      <c r="G313" s="306"/>
      <c r="H313" s="306"/>
      <c r="I313" s="306"/>
      <c r="J313" s="306"/>
      <c r="K313" s="306"/>
      <c r="L313" s="306"/>
      <c r="M313" s="306"/>
      <c r="N313" s="306"/>
      <c r="O313" s="306"/>
      <c r="P313" s="306"/>
      <c r="Q313" s="306"/>
      <c r="R313" s="306"/>
      <c r="S313" s="306"/>
      <c r="T313" s="306"/>
      <c r="U313" s="306"/>
      <c r="V313" s="306"/>
      <c r="W313" s="306"/>
      <c r="X313" s="306"/>
      <c r="Y313" s="306"/>
      <c r="Z313" s="306"/>
    </row>
    <row r="314" ht="12.75" customHeight="1">
      <c r="A314" s="306"/>
      <c r="B314" s="306"/>
      <c r="C314" s="306"/>
      <c r="D314" s="306"/>
      <c r="E314" s="306"/>
      <c r="F314" s="306"/>
      <c r="G314" s="306"/>
      <c r="H314" s="306"/>
      <c r="I314" s="306"/>
      <c r="J314" s="306"/>
      <c r="K314" s="306"/>
      <c r="L314" s="306"/>
      <c r="M314" s="306"/>
      <c r="N314" s="306"/>
      <c r="O314" s="306"/>
      <c r="P314" s="306"/>
      <c r="Q314" s="306"/>
      <c r="R314" s="306"/>
      <c r="S314" s="306"/>
      <c r="T314" s="306"/>
      <c r="U314" s="306"/>
      <c r="V314" s="306"/>
      <c r="W314" s="306"/>
      <c r="X314" s="306"/>
      <c r="Y314" s="306"/>
      <c r="Z314" s="306"/>
    </row>
    <row r="315" ht="12.75" customHeight="1">
      <c r="A315" s="306"/>
      <c r="B315" s="306"/>
      <c r="C315" s="306"/>
      <c r="D315" s="306"/>
      <c r="E315" s="306"/>
      <c r="F315" s="306"/>
      <c r="G315" s="306"/>
      <c r="H315" s="306"/>
      <c r="I315" s="306"/>
      <c r="J315" s="306"/>
      <c r="K315" s="306"/>
      <c r="L315" s="306"/>
      <c r="M315" s="306"/>
      <c r="N315" s="306"/>
      <c r="O315" s="306"/>
      <c r="P315" s="306"/>
      <c r="Q315" s="306"/>
      <c r="R315" s="306"/>
      <c r="S315" s="306"/>
      <c r="T315" s="306"/>
      <c r="U315" s="306"/>
      <c r="V315" s="306"/>
      <c r="W315" s="306"/>
      <c r="X315" s="306"/>
      <c r="Y315" s="306"/>
      <c r="Z315" s="306"/>
    </row>
    <row r="316" ht="12.75" customHeight="1">
      <c r="A316" s="306"/>
      <c r="B316" s="306"/>
      <c r="C316" s="306"/>
      <c r="D316" s="306"/>
      <c r="E316" s="306"/>
      <c r="F316" s="306"/>
      <c r="G316" s="306"/>
      <c r="H316" s="306"/>
      <c r="I316" s="306"/>
      <c r="J316" s="306"/>
      <c r="K316" s="306"/>
      <c r="L316" s="306"/>
      <c r="M316" s="306"/>
      <c r="N316" s="306"/>
      <c r="O316" s="306"/>
      <c r="P316" s="306"/>
      <c r="Q316" s="306"/>
      <c r="R316" s="306"/>
      <c r="S316" s="306"/>
      <c r="T316" s="306"/>
      <c r="U316" s="306"/>
      <c r="V316" s="306"/>
      <c r="W316" s="306"/>
      <c r="X316" s="306"/>
      <c r="Y316" s="306"/>
      <c r="Z316" s="306"/>
    </row>
    <row r="317" ht="12.75" customHeight="1">
      <c r="A317" s="306"/>
      <c r="B317" s="306"/>
      <c r="C317" s="306"/>
      <c r="D317" s="306"/>
      <c r="E317" s="306"/>
      <c r="F317" s="306"/>
      <c r="G317" s="306"/>
      <c r="H317" s="306"/>
      <c r="I317" s="306"/>
      <c r="J317" s="306"/>
      <c r="K317" s="306"/>
      <c r="L317" s="306"/>
      <c r="M317" s="306"/>
      <c r="N317" s="306"/>
      <c r="O317" s="306"/>
      <c r="P317" s="306"/>
      <c r="Q317" s="306"/>
      <c r="R317" s="306"/>
      <c r="S317" s="306"/>
      <c r="T317" s="306"/>
      <c r="U317" s="306"/>
      <c r="V317" s="306"/>
      <c r="W317" s="306"/>
      <c r="X317" s="306"/>
      <c r="Y317" s="306"/>
      <c r="Z317" s="306"/>
    </row>
    <row r="318" ht="12.75" customHeight="1">
      <c r="A318" s="306"/>
      <c r="B318" s="306"/>
      <c r="C318" s="306"/>
      <c r="D318" s="306"/>
      <c r="E318" s="306"/>
      <c r="F318" s="306"/>
      <c r="G318" s="306"/>
      <c r="H318" s="306"/>
      <c r="I318" s="306"/>
      <c r="J318" s="306"/>
      <c r="K318" s="306"/>
      <c r="L318" s="306"/>
      <c r="M318" s="306"/>
      <c r="N318" s="306"/>
      <c r="O318" s="306"/>
      <c r="P318" s="306"/>
      <c r="Q318" s="306"/>
      <c r="R318" s="306"/>
      <c r="S318" s="306"/>
      <c r="T318" s="306"/>
      <c r="U318" s="306"/>
      <c r="V318" s="306"/>
      <c r="W318" s="306"/>
      <c r="X318" s="306"/>
      <c r="Y318" s="306"/>
      <c r="Z318" s="306"/>
    </row>
    <row r="319" ht="12.75" customHeight="1">
      <c r="A319" s="306"/>
      <c r="B319" s="306"/>
      <c r="C319" s="306"/>
      <c r="D319" s="306"/>
      <c r="E319" s="306"/>
      <c r="F319" s="306"/>
      <c r="G319" s="306"/>
      <c r="H319" s="306"/>
      <c r="I319" s="306"/>
      <c r="J319" s="306"/>
      <c r="K319" s="306"/>
      <c r="L319" s="306"/>
      <c r="M319" s="306"/>
      <c r="N319" s="306"/>
      <c r="O319" s="306"/>
      <c r="P319" s="306"/>
      <c r="Q319" s="306"/>
      <c r="R319" s="306"/>
      <c r="S319" s="306"/>
      <c r="T319" s="306"/>
      <c r="U319" s="306"/>
      <c r="V319" s="306"/>
      <c r="W319" s="306"/>
      <c r="X319" s="306"/>
      <c r="Y319" s="306"/>
      <c r="Z319" s="306"/>
    </row>
    <row r="320" ht="12.75" customHeight="1">
      <c r="A320" s="306"/>
      <c r="B320" s="306"/>
      <c r="C320" s="306"/>
      <c r="D320" s="306"/>
      <c r="E320" s="306"/>
      <c r="F320" s="306"/>
      <c r="G320" s="306"/>
      <c r="H320" s="306"/>
      <c r="I320" s="306"/>
      <c r="J320" s="306"/>
      <c r="K320" s="306"/>
      <c r="L320" s="306"/>
      <c r="M320" s="306"/>
      <c r="N320" s="306"/>
      <c r="O320" s="306"/>
      <c r="P320" s="306"/>
      <c r="Q320" s="306"/>
      <c r="R320" s="306"/>
      <c r="S320" s="306"/>
      <c r="T320" s="306"/>
      <c r="U320" s="306"/>
      <c r="V320" s="306"/>
      <c r="W320" s="306"/>
      <c r="X320" s="306"/>
      <c r="Y320" s="306"/>
      <c r="Z320" s="306"/>
    </row>
    <row r="321" ht="12.75" customHeight="1">
      <c r="A321" s="306"/>
      <c r="B321" s="306"/>
      <c r="C321" s="306"/>
      <c r="D321" s="306"/>
      <c r="E321" s="306"/>
      <c r="F321" s="306"/>
      <c r="G321" s="306"/>
      <c r="H321" s="306"/>
      <c r="I321" s="306"/>
      <c r="J321" s="306"/>
      <c r="K321" s="306"/>
      <c r="L321" s="306"/>
      <c r="M321" s="306"/>
      <c r="N321" s="306"/>
      <c r="O321" s="306"/>
      <c r="P321" s="306"/>
      <c r="Q321" s="306"/>
      <c r="R321" s="306"/>
      <c r="S321" s="306"/>
      <c r="T321" s="306"/>
      <c r="U321" s="306"/>
      <c r="V321" s="306"/>
      <c r="W321" s="306"/>
      <c r="X321" s="306"/>
      <c r="Y321" s="306"/>
      <c r="Z321" s="306"/>
    </row>
    <row r="322" ht="12.75" customHeight="1">
      <c r="A322" s="306"/>
      <c r="B322" s="306"/>
      <c r="C322" s="306"/>
      <c r="D322" s="306"/>
      <c r="E322" s="306"/>
      <c r="F322" s="306"/>
      <c r="G322" s="306"/>
      <c r="H322" s="306"/>
      <c r="I322" s="306"/>
      <c r="J322" s="306"/>
      <c r="K322" s="306"/>
      <c r="L322" s="306"/>
      <c r="M322" s="306"/>
      <c r="N322" s="306"/>
      <c r="O322" s="306"/>
      <c r="P322" s="306"/>
      <c r="Q322" s="306"/>
      <c r="R322" s="306"/>
      <c r="S322" s="306"/>
      <c r="T322" s="306"/>
      <c r="U322" s="306"/>
      <c r="V322" s="306"/>
      <c r="W322" s="306"/>
      <c r="X322" s="306"/>
      <c r="Y322" s="306"/>
      <c r="Z322" s="306"/>
    </row>
    <row r="323" ht="12.75" customHeight="1">
      <c r="A323" s="306"/>
      <c r="B323" s="306"/>
      <c r="C323" s="306"/>
      <c r="D323" s="306"/>
      <c r="E323" s="306"/>
      <c r="F323" s="306"/>
      <c r="G323" s="306"/>
      <c r="H323" s="306"/>
      <c r="I323" s="306"/>
      <c r="J323" s="306"/>
      <c r="K323" s="306"/>
      <c r="L323" s="306"/>
      <c r="M323" s="306"/>
      <c r="N323" s="306"/>
      <c r="O323" s="306"/>
      <c r="P323" s="306"/>
      <c r="Q323" s="306"/>
      <c r="R323" s="306"/>
      <c r="S323" s="306"/>
      <c r="T323" s="306"/>
      <c r="U323" s="306"/>
      <c r="V323" s="306"/>
      <c r="W323" s="306"/>
      <c r="X323" s="306"/>
      <c r="Y323" s="306"/>
      <c r="Z323" s="306"/>
    </row>
    <row r="324" ht="12.75" customHeight="1">
      <c r="A324" s="306"/>
      <c r="B324" s="306"/>
      <c r="C324" s="306"/>
      <c r="D324" s="306"/>
      <c r="E324" s="306"/>
      <c r="F324" s="306"/>
      <c r="G324" s="306"/>
      <c r="H324" s="306"/>
      <c r="I324" s="306"/>
      <c r="J324" s="306"/>
      <c r="K324" s="306"/>
      <c r="L324" s="306"/>
      <c r="M324" s="306"/>
      <c r="N324" s="306"/>
      <c r="O324" s="306"/>
      <c r="P324" s="306"/>
      <c r="Q324" s="306"/>
      <c r="R324" s="306"/>
      <c r="S324" s="306"/>
      <c r="T324" s="306"/>
      <c r="U324" s="306"/>
      <c r="V324" s="306"/>
      <c r="W324" s="306"/>
      <c r="X324" s="306"/>
      <c r="Y324" s="306"/>
      <c r="Z324" s="306"/>
    </row>
    <row r="325" ht="12.75" customHeight="1">
      <c r="A325" s="306"/>
      <c r="B325" s="306"/>
      <c r="C325" s="306"/>
      <c r="D325" s="306"/>
      <c r="E325" s="306"/>
      <c r="F325" s="306"/>
      <c r="G325" s="306"/>
      <c r="H325" s="306"/>
      <c r="I325" s="306"/>
      <c r="J325" s="306"/>
      <c r="K325" s="306"/>
      <c r="L325" s="306"/>
      <c r="M325" s="306"/>
      <c r="N325" s="306"/>
      <c r="O325" s="306"/>
      <c r="P325" s="306"/>
      <c r="Q325" s="306"/>
      <c r="R325" s="306"/>
      <c r="S325" s="306"/>
      <c r="T325" s="306"/>
      <c r="U325" s="306"/>
      <c r="V325" s="306"/>
      <c r="W325" s="306"/>
      <c r="X325" s="306"/>
      <c r="Y325" s="306"/>
      <c r="Z325" s="306"/>
    </row>
    <row r="326" ht="12.75" customHeight="1">
      <c r="A326" s="306"/>
      <c r="B326" s="306"/>
      <c r="C326" s="306"/>
      <c r="D326" s="306"/>
      <c r="E326" s="306"/>
      <c r="F326" s="306"/>
      <c r="G326" s="306"/>
      <c r="H326" s="306"/>
      <c r="I326" s="306"/>
      <c r="J326" s="306"/>
      <c r="K326" s="306"/>
      <c r="L326" s="306"/>
      <c r="M326" s="306"/>
      <c r="N326" s="306"/>
      <c r="O326" s="306"/>
      <c r="P326" s="306"/>
      <c r="Q326" s="306"/>
      <c r="R326" s="306"/>
      <c r="S326" s="306"/>
      <c r="T326" s="306"/>
      <c r="U326" s="306"/>
      <c r="V326" s="306"/>
      <c r="W326" s="306"/>
      <c r="X326" s="306"/>
      <c r="Y326" s="306"/>
      <c r="Z326" s="306"/>
    </row>
    <row r="327" ht="12.75" customHeight="1">
      <c r="A327" s="306"/>
      <c r="B327" s="306"/>
      <c r="C327" s="306"/>
      <c r="D327" s="306"/>
      <c r="E327" s="306"/>
      <c r="F327" s="306"/>
      <c r="G327" s="306"/>
      <c r="H327" s="306"/>
      <c r="I327" s="306"/>
      <c r="J327" s="306"/>
      <c r="K327" s="306"/>
      <c r="L327" s="306"/>
      <c r="M327" s="306"/>
      <c r="N327" s="306"/>
      <c r="O327" s="306"/>
      <c r="P327" s="306"/>
      <c r="Q327" s="306"/>
      <c r="R327" s="306"/>
      <c r="S327" s="306"/>
      <c r="T327" s="306"/>
      <c r="U327" s="306"/>
      <c r="V327" s="306"/>
      <c r="W327" s="306"/>
      <c r="X327" s="306"/>
      <c r="Y327" s="306"/>
      <c r="Z327" s="306"/>
    </row>
    <row r="328" ht="12.75" customHeight="1">
      <c r="A328" s="306"/>
      <c r="B328" s="306"/>
      <c r="C328" s="306"/>
      <c r="D328" s="306"/>
      <c r="E328" s="306"/>
      <c r="F328" s="306"/>
      <c r="G328" s="306"/>
      <c r="H328" s="306"/>
      <c r="I328" s="306"/>
      <c r="J328" s="306"/>
      <c r="K328" s="306"/>
      <c r="L328" s="306"/>
      <c r="M328" s="306"/>
      <c r="N328" s="306"/>
      <c r="O328" s="306"/>
      <c r="P328" s="306"/>
      <c r="Q328" s="306"/>
      <c r="R328" s="306"/>
      <c r="S328" s="306"/>
      <c r="T328" s="306"/>
      <c r="U328" s="306"/>
      <c r="V328" s="306"/>
      <c r="W328" s="306"/>
      <c r="X328" s="306"/>
      <c r="Y328" s="306"/>
      <c r="Z328" s="306"/>
    </row>
    <row r="329" ht="12.75" customHeight="1">
      <c r="A329" s="306"/>
      <c r="B329" s="306"/>
      <c r="C329" s="306"/>
      <c r="D329" s="306"/>
      <c r="E329" s="306"/>
      <c r="F329" s="306"/>
      <c r="G329" s="306"/>
      <c r="H329" s="306"/>
      <c r="I329" s="306"/>
      <c r="J329" s="306"/>
      <c r="K329" s="306"/>
      <c r="L329" s="306"/>
      <c r="M329" s="306"/>
      <c r="N329" s="306"/>
      <c r="O329" s="306"/>
      <c r="P329" s="306"/>
      <c r="Q329" s="306"/>
      <c r="R329" s="306"/>
      <c r="S329" s="306"/>
      <c r="T329" s="306"/>
      <c r="U329" s="306"/>
      <c r="V329" s="306"/>
      <c r="W329" s="306"/>
      <c r="X329" s="306"/>
      <c r="Y329" s="306"/>
      <c r="Z329" s="306"/>
    </row>
    <row r="330" ht="12.75" customHeight="1">
      <c r="A330" s="306"/>
      <c r="B330" s="306"/>
      <c r="C330" s="306"/>
      <c r="D330" s="306"/>
      <c r="E330" s="306"/>
      <c r="F330" s="306"/>
      <c r="G330" s="306"/>
      <c r="H330" s="306"/>
      <c r="I330" s="306"/>
      <c r="J330" s="306"/>
      <c r="K330" s="306"/>
      <c r="L330" s="306"/>
      <c r="M330" s="306"/>
      <c r="N330" s="306"/>
      <c r="O330" s="306"/>
      <c r="P330" s="306"/>
      <c r="Q330" s="306"/>
      <c r="R330" s="306"/>
      <c r="S330" s="306"/>
      <c r="T330" s="306"/>
      <c r="U330" s="306"/>
      <c r="V330" s="306"/>
      <c r="W330" s="306"/>
      <c r="X330" s="306"/>
      <c r="Y330" s="306"/>
      <c r="Z330" s="306"/>
    </row>
    <row r="331" ht="12.75" customHeight="1">
      <c r="A331" s="306"/>
      <c r="B331" s="306"/>
      <c r="C331" s="306"/>
      <c r="D331" s="306"/>
      <c r="E331" s="306"/>
      <c r="F331" s="306"/>
      <c r="G331" s="306"/>
      <c r="H331" s="306"/>
      <c r="I331" s="306"/>
      <c r="J331" s="306"/>
      <c r="K331" s="306"/>
      <c r="L331" s="306"/>
      <c r="M331" s="306"/>
      <c r="N331" s="306"/>
      <c r="O331" s="306"/>
      <c r="P331" s="306"/>
      <c r="Q331" s="306"/>
      <c r="R331" s="306"/>
      <c r="S331" s="306"/>
      <c r="T331" s="306"/>
      <c r="U331" s="306"/>
      <c r="V331" s="306"/>
      <c r="W331" s="306"/>
      <c r="X331" s="306"/>
      <c r="Y331" s="306"/>
      <c r="Z331" s="306"/>
    </row>
    <row r="332" ht="12.75" customHeight="1">
      <c r="A332" s="306"/>
      <c r="B332" s="306"/>
      <c r="C332" s="306"/>
      <c r="D332" s="306"/>
      <c r="E332" s="306"/>
      <c r="F332" s="306"/>
      <c r="G332" s="306"/>
      <c r="H332" s="306"/>
      <c r="I332" s="306"/>
      <c r="J332" s="306"/>
      <c r="K332" s="306"/>
      <c r="L332" s="306"/>
      <c r="M332" s="306"/>
      <c r="N332" s="306"/>
      <c r="O332" s="306"/>
      <c r="P332" s="306"/>
      <c r="Q332" s="306"/>
      <c r="R332" s="306"/>
      <c r="S332" s="306"/>
      <c r="T332" s="306"/>
      <c r="U332" s="306"/>
      <c r="V332" s="306"/>
      <c r="W332" s="306"/>
      <c r="X332" s="306"/>
      <c r="Y332" s="306"/>
      <c r="Z332" s="306"/>
    </row>
    <row r="333" ht="12.75" customHeight="1">
      <c r="A333" s="306"/>
      <c r="B333" s="306"/>
      <c r="C333" s="306"/>
      <c r="D333" s="306"/>
      <c r="E333" s="306"/>
      <c r="F333" s="306"/>
      <c r="G333" s="306"/>
      <c r="H333" s="306"/>
      <c r="I333" s="306"/>
      <c r="J333" s="306"/>
      <c r="K333" s="306"/>
      <c r="L333" s="306"/>
      <c r="M333" s="306"/>
      <c r="N333" s="306"/>
      <c r="O333" s="306"/>
      <c r="P333" s="306"/>
      <c r="Q333" s="306"/>
      <c r="R333" s="306"/>
      <c r="S333" s="306"/>
      <c r="T333" s="306"/>
      <c r="U333" s="306"/>
      <c r="V333" s="306"/>
      <c r="W333" s="306"/>
      <c r="X333" s="306"/>
      <c r="Y333" s="306"/>
      <c r="Z333" s="306"/>
    </row>
    <row r="334" ht="12.75" customHeight="1">
      <c r="A334" s="306"/>
      <c r="B334" s="306"/>
      <c r="C334" s="306"/>
      <c r="D334" s="306"/>
      <c r="E334" s="306"/>
      <c r="F334" s="306"/>
      <c r="G334" s="306"/>
      <c r="H334" s="306"/>
      <c r="I334" s="306"/>
      <c r="J334" s="306"/>
      <c r="K334" s="306"/>
      <c r="L334" s="306"/>
      <c r="M334" s="306"/>
      <c r="N334" s="306"/>
      <c r="O334" s="306"/>
      <c r="P334" s="306"/>
      <c r="Q334" s="306"/>
      <c r="R334" s="306"/>
      <c r="S334" s="306"/>
      <c r="T334" s="306"/>
      <c r="U334" s="306"/>
      <c r="V334" s="306"/>
      <c r="W334" s="306"/>
      <c r="X334" s="306"/>
      <c r="Y334" s="306"/>
      <c r="Z334" s="306"/>
    </row>
    <row r="335" ht="12.75" customHeight="1">
      <c r="A335" s="306"/>
      <c r="B335" s="306"/>
      <c r="C335" s="306"/>
      <c r="D335" s="306"/>
      <c r="E335" s="306"/>
      <c r="F335" s="306"/>
      <c r="G335" s="306"/>
      <c r="H335" s="306"/>
      <c r="I335" s="306"/>
      <c r="J335" s="306"/>
      <c r="K335" s="306"/>
      <c r="L335" s="306"/>
      <c r="M335" s="306"/>
      <c r="N335" s="306"/>
      <c r="O335" s="306"/>
      <c r="P335" s="306"/>
      <c r="Q335" s="306"/>
      <c r="R335" s="306"/>
      <c r="S335" s="306"/>
      <c r="T335" s="306"/>
      <c r="U335" s="306"/>
      <c r="V335" s="306"/>
      <c r="W335" s="306"/>
      <c r="X335" s="306"/>
      <c r="Y335" s="306"/>
      <c r="Z335" s="306"/>
    </row>
    <row r="336" ht="12.75" customHeight="1">
      <c r="A336" s="306"/>
      <c r="B336" s="306"/>
      <c r="C336" s="306"/>
      <c r="D336" s="306"/>
      <c r="E336" s="306"/>
      <c r="F336" s="306"/>
      <c r="G336" s="306"/>
      <c r="H336" s="306"/>
      <c r="I336" s="306"/>
      <c r="J336" s="306"/>
      <c r="K336" s="306"/>
      <c r="L336" s="306"/>
      <c r="M336" s="306"/>
      <c r="N336" s="306"/>
      <c r="O336" s="306"/>
      <c r="P336" s="306"/>
      <c r="Q336" s="306"/>
      <c r="R336" s="306"/>
      <c r="S336" s="306"/>
      <c r="T336" s="306"/>
      <c r="U336" s="306"/>
      <c r="V336" s="306"/>
      <c r="W336" s="306"/>
      <c r="X336" s="306"/>
      <c r="Y336" s="306"/>
      <c r="Z336" s="306"/>
    </row>
    <row r="337" ht="12.75" customHeight="1">
      <c r="A337" s="306"/>
      <c r="B337" s="306"/>
      <c r="C337" s="306"/>
      <c r="D337" s="306"/>
      <c r="E337" s="306"/>
      <c r="F337" s="306"/>
      <c r="G337" s="306"/>
      <c r="H337" s="306"/>
      <c r="I337" s="306"/>
      <c r="J337" s="306"/>
      <c r="K337" s="306"/>
      <c r="L337" s="306"/>
      <c r="M337" s="306"/>
      <c r="N337" s="306"/>
      <c r="O337" s="306"/>
      <c r="P337" s="306"/>
      <c r="Q337" s="306"/>
      <c r="R337" s="306"/>
      <c r="S337" s="306"/>
      <c r="T337" s="306"/>
      <c r="U337" s="306"/>
      <c r="V337" s="306"/>
      <c r="W337" s="306"/>
      <c r="X337" s="306"/>
      <c r="Y337" s="306"/>
      <c r="Z337" s="306"/>
    </row>
    <row r="338" ht="12.75" customHeight="1">
      <c r="A338" s="306"/>
      <c r="B338" s="306"/>
      <c r="C338" s="306"/>
      <c r="D338" s="306"/>
      <c r="E338" s="306"/>
      <c r="F338" s="306"/>
      <c r="G338" s="306"/>
      <c r="H338" s="306"/>
      <c r="I338" s="306"/>
      <c r="J338" s="306"/>
      <c r="K338" s="306"/>
      <c r="L338" s="306"/>
      <c r="M338" s="306"/>
      <c r="N338" s="306"/>
      <c r="O338" s="306"/>
      <c r="P338" s="306"/>
      <c r="Q338" s="306"/>
      <c r="R338" s="306"/>
      <c r="S338" s="306"/>
      <c r="T338" s="306"/>
      <c r="U338" s="306"/>
      <c r="V338" s="306"/>
      <c r="W338" s="306"/>
      <c r="X338" s="306"/>
      <c r="Y338" s="306"/>
      <c r="Z338" s="306"/>
    </row>
    <row r="339" ht="12.75" customHeight="1">
      <c r="A339" s="306"/>
      <c r="B339" s="306"/>
      <c r="C339" s="306"/>
      <c r="D339" s="306"/>
      <c r="E339" s="306"/>
      <c r="F339" s="306"/>
      <c r="G339" s="306"/>
      <c r="H339" s="306"/>
      <c r="I339" s="306"/>
      <c r="J339" s="306"/>
      <c r="K339" s="306"/>
      <c r="L339" s="306"/>
      <c r="M339" s="306"/>
      <c r="N339" s="306"/>
      <c r="O339" s="306"/>
      <c r="P339" s="306"/>
      <c r="Q339" s="306"/>
      <c r="R339" s="306"/>
      <c r="S339" s="306"/>
      <c r="T339" s="306"/>
      <c r="U339" s="306"/>
      <c r="V339" s="306"/>
      <c r="W339" s="306"/>
      <c r="X339" s="306"/>
      <c r="Y339" s="306"/>
      <c r="Z339" s="306"/>
    </row>
    <row r="340" ht="12.75" customHeight="1">
      <c r="A340" s="306"/>
      <c r="B340" s="306"/>
      <c r="C340" s="306"/>
      <c r="D340" s="306"/>
      <c r="E340" s="306"/>
      <c r="F340" s="306"/>
      <c r="G340" s="306"/>
      <c r="H340" s="306"/>
      <c r="I340" s="306"/>
      <c r="J340" s="306"/>
      <c r="K340" s="306"/>
      <c r="L340" s="306"/>
      <c r="M340" s="306"/>
      <c r="N340" s="306"/>
      <c r="O340" s="306"/>
      <c r="P340" s="306"/>
      <c r="Q340" s="306"/>
      <c r="R340" s="306"/>
      <c r="S340" s="306"/>
      <c r="T340" s="306"/>
      <c r="U340" s="306"/>
      <c r="V340" s="306"/>
      <c r="W340" s="306"/>
      <c r="X340" s="306"/>
      <c r="Y340" s="306"/>
      <c r="Z340" s="306"/>
    </row>
    <row r="341" ht="12.75" customHeight="1">
      <c r="A341" s="306"/>
      <c r="B341" s="306"/>
      <c r="C341" s="306"/>
      <c r="D341" s="306"/>
      <c r="E341" s="306"/>
      <c r="F341" s="306"/>
      <c r="G341" s="306"/>
      <c r="H341" s="306"/>
      <c r="I341" s="306"/>
      <c r="J341" s="306"/>
      <c r="K341" s="306"/>
      <c r="L341" s="306"/>
      <c r="M341" s="306"/>
      <c r="N341" s="306"/>
      <c r="O341" s="306"/>
      <c r="P341" s="306"/>
      <c r="Q341" s="306"/>
      <c r="R341" s="306"/>
      <c r="S341" s="306"/>
      <c r="T341" s="306"/>
      <c r="U341" s="306"/>
      <c r="V341" s="306"/>
      <c r="W341" s="306"/>
      <c r="X341" s="306"/>
      <c r="Y341" s="306"/>
      <c r="Z341" s="306"/>
    </row>
    <row r="342" ht="12.75" customHeight="1">
      <c r="A342" s="306"/>
      <c r="B342" s="306"/>
      <c r="C342" s="306"/>
      <c r="D342" s="306"/>
      <c r="E342" s="306"/>
      <c r="F342" s="306"/>
      <c r="G342" s="306"/>
      <c r="H342" s="306"/>
      <c r="I342" s="306"/>
      <c r="J342" s="306"/>
      <c r="K342" s="306"/>
      <c r="L342" s="306"/>
      <c r="M342" s="306"/>
      <c r="N342" s="306"/>
      <c r="O342" s="306"/>
      <c r="P342" s="306"/>
      <c r="Q342" s="306"/>
      <c r="R342" s="306"/>
      <c r="S342" s="306"/>
      <c r="T342" s="306"/>
      <c r="U342" s="306"/>
      <c r="V342" s="306"/>
      <c r="W342" s="306"/>
      <c r="X342" s="306"/>
      <c r="Y342" s="306"/>
      <c r="Z342" s="306"/>
    </row>
    <row r="343" ht="12.75" customHeight="1">
      <c r="A343" s="306"/>
      <c r="B343" s="306"/>
      <c r="C343" s="306"/>
      <c r="D343" s="306"/>
      <c r="E343" s="306"/>
      <c r="F343" s="306"/>
      <c r="G343" s="306"/>
      <c r="H343" s="306"/>
      <c r="I343" s="306"/>
      <c r="J343" s="306"/>
      <c r="K343" s="306"/>
      <c r="L343" s="306"/>
      <c r="M343" s="306"/>
      <c r="N343" s="306"/>
      <c r="O343" s="306"/>
      <c r="P343" s="306"/>
      <c r="Q343" s="306"/>
      <c r="R343" s="306"/>
      <c r="S343" s="306"/>
      <c r="T343" s="306"/>
      <c r="U343" s="306"/>
      <c r="V343" s="306"/>
      <c r="W343" s="306"/>
      <c r="X343" s="306"/>
      <c r="Y343" s="306"/>
      <c r="Z343" s="306"/>
    </row>
    <row r="344" ht="12.75" customHeight="1">
      <c r="A344" s="306"/>
      <c r="B344" s="306"/>
      <c r="C344" s="306"/>
      <c r="D344" s="306"/>
      <c r="E344" s="306"/>
      <c r="F344" s="306"/>
      <c r="G344" s="306"/>
      <c r="H344" s="306"/>
      <c r="I344" s="306"/>
      <c r="J344" s="306"/>
      <c r="K344" s="306"/>
      <c r="L344" s="306"/>
      <c r="M344" s="306"/>
      <c r="N344" s="306"/>
      <c r="O344" s="306"/>
      <c r="P344" s="306"/>
      <c r="Q344" s="306"/>
      <c r="R344" s="306"/>
      <c r="S344" s="306"/>
      <c r="T344" s="306"/>
      <c r="U344" s="306"/>
      <c r="V344" s="306"/>
      <c r="W344" s="306"/>
      <c r="X344" s="306"/>
      <c r="Y344" s="306"/>
      <c r="Z344" s="306"/>
    </row>
    <row r="345" ht="12.75" customHeight="1">
      <c r="A345" s="306"/>
      <c r="B345" s="306"/>
      <c r="C345" s="306"/>
      <c r="D345" s="306"/>
      <c r="E345" s="306"/>
      <c r="F345" s="306"/>
      <c r="G345" s="306"/>
      <c r="H345" s="306"/>
      <c r="I345" s="306"/>
      <c r="J345" s="306"/>
      <c r="K345" s="306"/>
      <c r="L345" s="306"/>
      <c r="M345" s="306"/>
      <c r="N345" s="306"/>
      <c r="O345" s="306"/>
      <c r="P345" s="306"/>
      <c r="Q345" s="306"/>
      <c r="R345" s="306"/>
      <c r="S345" s="306"/>
      <c r="T345" s="306"/>
      <c r="U345" s="306"/>
      <c r="V345" s="306"/>
      <c r="W345" s="306"/>
      <c r="X345" s="306"/>
      <c r="Y345" s="306"/>
      <c r="Z345" s="306"/>
    </row>
    <row r="346" ht="12.75" customHeight="1">
      <c r="A346" s="306"/>
      <c r="B346" s="306"/>
      <c r="C346" s="306"/>
      <c r="D346" s="306"/>
      <c r="E346" s="306"/>
      <c r="F346" s="306"/>
      <c r="G346" s="306"/>
      <c r="H346" s="306"/>
      <c r="I346" s="306"/>
      <c r="J346" s="306"/>
      <c r="K346" s="306"/>
      <c r="L346" s="306"/>
      <c r="M346" s="306"/>
      <c r="N346" s="306"/>
      <c r="O346" s="306"/>
      <c r="P346" s="306"/>
      <c r="Q346" s="306"/>
      <c r="R346" s="306"/>
      <c r="S346" s="306"/>
      <c r="T346" s="306"/>
      <c r="U346" s="306"/>
      <c r="V346" s="306"/>
      <c r="W346" s="306"/>
      <c r="X346" s="306"/>
      <c r="Y346" s="306"/>
      <c r="Z346" s="306"/>
    </row>
    <row r="347" ht="12.75" customHeight="1">
      <c r="A347" s="306"/>
      <c r="B347" s="306"/>
      <c r="C347" s="306"/>
      <c r="D347" s="306"/>
      <c r="E347" s="306"/>
      <c r="F347" s="306"/>
      <c r="G347" s="306"/>
      <c r="H347" s="306"/>
      <c r="I347" s="306"/>
      <c r="J347" s="306"/>
      <c r="K347" s="306"/>
      <c r="L347" s="306"/>
      <c r="M347" s="306"/>
      <c r="N347" s="306"/>
      <c r="O347" s="306"/>
      <c r="P347" s="306"/>
      <c r="Q347" s="306"/>
      <c r="R347" s="306"/>
      <c r="S347" s="306"/>
      <c r="T347" s="306"/>
      <c r="U347" s="306"/>
      <c r="V347" s="306"/>
      <c r="W347" s="306"/>
      <c r="X347" s="306"/>
      <c r="Y347" s="306"/>
      <c r="Z347" s="306"/>
    </row>
    <row r="348" ht="12.75" customHeight="1">
      <c r="A348" s="306"/>
      <c r="B348" s="306"/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6"/>
      <c r="Q348" s="306"/>
      <c r="R348" s="306"/>
      <c r="S348" s="306"/>
      <c r="T348" s="306"/>
      <c r="U348" s="306"/>
      <c r="V348" s="306"/>
      <c r="W348" s="306"/>
      <c r="X348" s="306"/>
      <c r="Y348" s="306"/>
      <c r="Z348" s="306"/>
    </row>
    <row r="349" ht="12.75" customHeight="1">
      <c r="A349" s="306"/>
      <c r="B349" s="306"/>
      <c r="C349" s="306"/>
      <c r="D349" s="306"/>
      <c r="E349" s="306"/>
      <c r="F349" s="306"/>
      <c r="G349" s="306"/>
      <c r="H349" s="306"/>
      <c r="I349" s="306"/>
      <c r="J349" s="306"/>
      <c r="K349" s="306"/>
      <c r="L349" s="306"/>
      <c r="M349" s="306"/>
      <c r="N349" s="306"/>
      <c r="O349" s="306"/>
      <c r="P349" s="306"/>
      <c r="Q349" s="306"/>
      <c r="R349" s="306"/>
      <c r="S349" s="306"/>
      <c r="T349" s="306"/>
      <c r="U349" s="306"/>
      <c r="V349" s="306"/>
      <c r="W349" s="306"/>
      <c r="X349" s="306"/>
      <c r="Y349" s="306"/>
      <c r="Z349" s="306"/>
    </row>
    <row r="350" ht="12.75" customHeight="1">
      <c r="A350" s="306"/>
      <c r="B350" s="306"/>
      <c r="C350" s="306"/>
      <c r="D350" s="306"/>
      <c r="E350" s="306"/>
      <c r="F350" s="306"/>
      <c r="G350" s="306"/>
      <c r="H350" s="306"/>
      <c r="I350" s="306"/>
      <c r="J350" s="306"/>
      <c r="K350" s="306"/>
      <c r="L350" s="306"/>
      <c r="M350" s="306"/>
      <c r="N350" s="306"/>
      <c r="O350" s="306"/>
      <c r="P350" s="306"/>
      <c r="Q350" s="306"/>
      <c r="R350" s="306"/>
      <c r="S350" s="306"/>
      <c r="T350" s="306"/>
      <c r="U350" s="306"/>
      <c r="V350" s="306"/>
      <c r="W350" s="306"/>
      <c r="X350" s="306"/>
      <c r="Y350" s="306"/>
      <c r="Z350" s="306"/>
    </row>
    <row r="351" ht="12.75" customHeight="1">
      <c r="A351" s="306"/>
      <c r="B351" s="306"/>
      <c r="C351" s="306"/>
      <c r="D351" s="306"/>
      <c r="E351" s="306"/>
      <c r="F351" s="306"/>
      <c r="G351" s="306"/>
      <c r="H351" s="306"/>
      <c r="I351" s="306"/>
      <c r="J351" s="306"/>
      <c r="K351" s="306"/>
      <c r="L351" s="306"/>
      <c r="M351" s="306"/>
      <c r="N351" s="306"/>
      <c r="O351" s="306"/>
      <c r="P351" s="306"/>
      <c r="Q351" s="306"/>
      <c r="R351" s="306"/>
      <c r="S351" s="306"/>
      <c r="T351" s="306"/>
      <c r="U351" s="306"/>
      <c r="V351" s="306"/>
      <c r="W351" s="306"/>
      <c r="X351" s="306"/>
      <c r="Y351" s="306"/>
      <c r="Z351" s="306"/>
    </row>
    <row r="352" ht="12.75" customHeight="1">
      <c r="A352" s="306"/>
      <c r="B352" s="306"/>
      <c r="C352" s="306"/>
      <c r="D352" s="306"/>
      <c r="E352" s="306"/>
      <c r="F352" s="306"/>
      <c r="G352" s="306"/>
      <c r="H352" s="306"/>
      <c r="I352" s="306"/>
      <c r="J352" s="306"/>
      <c r="K352" s="306"/>
      <c r="L352" s="306"/>
      <c r="M352" s="306"/>
      <c r="N352" s="306"/>
      <c r="O352" s="306"/>
      <c r="P352" s="306"/>
      <c r="Q352" s="306"/>
      <c r="R352" s="306"/>
      <c r="S352" s="306"/>
      <c r="T352" s="306"/>
      <c r="U352" s="306"/>
      <c r="V352" s="306"/>
      <c r="W352" s="306"/>
      <c r="X352" s="306"/>
      <c r="Y352" s="306"/>
      <c r="Z352" s="306"/>
    </row>
    <row r="353" ht="12.75" customHeight="1">
      <c r="A353" s="306"/>
      <c r="B353" s="306"/>
      <c r="C353" s="306"/>
      <c r="D353" s="306"/>
      <c r="E353" s="306"/>
      <c r="F353" s="306"/>
      <c r="G353" s="306"/>
      <c r="H353" s="306"/>
      <c r="I353" s="306"/>
      <c r="J353" s="306"/>
      <c r="K353" s="306"/>
      <c r="L353" s="306"/>
      <c r="M353" s="306"/>
      <c r="N353" s="306"/>
      <c r="O353" s="306"/>
      <c r="P353" s="306"/>
      <c r="Q353" s="306"/>
      <c r="R353" s="306"/>
      <c r="S353" s="306"/>
      <c r="T353" s="306"/>
      <c r="U353" s="306"/>
      <c r="V353" s="306"/>
      <c r="W353" s="306"/>
      <c r="X353" s="306"/>
      <c r="Y353" s="306"/>
      <c r="Z353" s="306"/>
    </row>
    <row r="354" ht="12.75" customHeight="1">
      <c r="A354" s="306"/>
      <c r="B354" s="306"/>
      <c r="C354" s="306"/>
      <c r="D354" s="306"/>
      <c r="E354" s="306"/>
      <c r="F354" s="306"/>
      <c r="G354" s="306"/>
      <c r="H354" s="306"/>
      <c r="I354" s="306"/>
      <c r="J354" s="306"/>
      <c r="K354" s="306"/>
      <c r="L354" s="306"/>
      <c r="M354" s="306"/>
      <c r="N354" s="306"/>
      <c r="O354" s="306"/>
      <c r="P354" s="306"/>
      <c r="Q354" s="306"/>
      <c r="R354" s="306"/>
      <c r="S354" s="306"/>
      <c r="T354" s="306"/>
      <c r="U354" s="306"/>
      <c r="V354" s="306"/>
      <c r="W354" s="306"/>
      <c r="X354" s="306"/>
      <c r="Y354" s="306"/>
      <c r="Z354" s="306"/>
    </row>
    <row r="355" ht="12.75" customHeight="1">
      <c r="A355" s="306"/>
      <c r="B355" s="306"/>
      <c r="C355" s="306"/>
      <c r="D355" s="306"/>
      <c r="E355" s="306"/>
      <c r="F355" s="306"/>
      <c r="G355" s="306"/>
      <c r="H355" s="306"/>
      <c r="I355" s="306"/>
      <c r="J355" s="306"/>
      <c r="K355" s="306"/>
      <c r="L355" s="306"/>
      <c r="M355" s="306"/>
      <c r="N355" s="306"/>
      <c r="O355" s="306"/>
      <c r="P355" s="306"/>
      <c r="Q355" s="306"/>
      <c r="R355" s="306"/>
      <c r="S355" s="306"/>
      <c r="T355" s="306"/>
      <c r="U355" s="306"/>
      <c r="V355" s="306"/>
      <c r="W355" s="306"/>
      <c r="X355" s="306"/>
      <c r="Y355" s="306"/>
      <c r="Z355" s="306"/>
    </row>
    <row r="356" ht="12.75" customHeight="1">
      <c r="A356" s="306"/>
      <c r="B356" s="306"/>
      <c r="C356" s="306"/>
      <c r="D356" s="306"/>
      <c r="E356" s="306"/>
      <c r="F356" s="306"/>
      <c r="G356" s="306"/>
      <c r="H356" s="306"/>
      <c r="I356" s="306"/>
      <c r="J356" s="306"/>
      <c r="K356" s="306"/>
      <c r="L356" s="306"/>
      <c r="M356" s="306"/>
      <c r="N356" s="306"/>
      <c r="O356" s="306"/>
      <c r="P356" s="306"/>
      <c r="Q356" s="306"/>
      <c r="R356" s="306"/>
      <c r="S356" s="306"/>
      <c r="T356" s="306"/>
      <c r="U356" s="306"/>
      <c r="V356" s="306"/>
      <c r="W356" s="306"/>
      <c r="X356" s="306"/>
      <c r="Y356" s="306"/>
      <c r="Z356" s="306"/>
    </row>
    <row r="357" ht="12.75" customHeight="1">
      <c r="A357" s="306"/>
      <c r="B357" s="306"/>
      <c r="C357" s="306"/>
      <c r="D357" s="306"/>
      <c r="E357" s="306"/>
      <c r="F357" s="306"/>
      <c r="G357" s="306"/>
      <c r="H357" s="306"/>
      <c r="I357" s="306"/>
      <c r="J357" s="306"/>
      <c r="K357" s="306"/>
      <c r="L357" s="306"/>
      <c r="M357" s="306"/>
      <c r="N357" s="306"/>
      <c r="O357" s="306"/>
      <c r="P357" s="306"/>
      <c r="Q357" s="306"/>
      <c r="R357" s="306"/>
      <c r="S357" s="306"/>
      <c r="T357" s="306"/>
      <c r="U357" s="306"/>
      <c r="V357" s="306"/>
      <c r="W357" s="306"/>
      <c r="X357" s="306"/>
      <c r="Y357" s="306"/>
      <c r="Z357" s="306"/>
    </row>
    <row r="358" ht="12.75" customHeight="1">
      <c r="A358" s="306"/>
      <c r="B358" s="306"/>
      <c r="C358" s="306"/>
      <c r="D358" s="306"/>
      <c r="E358" s="306"/>
      <c r="F358" s="306"/>
      <c r="G358" s="306"/>
      <c r="H358" s="306"/>
      <c r="I358" s="306"/>
      <c r="J358" s="306"/>
      <c r="K358" s="306"/>
      <c r="L358" s="306"/>
      <c r="M358" s="306"/>
      <c r="N358" s="306"/>
      <c r="O358" s="306"/>
      <c r="P358" s="306"/>
      <c r="Q358" s="306"/>
      <c r="R358" s="306"/>
      <c r="S358" s="306"/>
      <c r="T358" s="306"/>
      <c r="U358" s="306"/>
      <c r="V358" s="306"/>
      <c r="W358" s="306"/>
      <c r="X358" s="306"/>
      <c r="Y358" s="306"/>
      <c r="Z358" s="306"/>
    </row>
    <row r="359" ht="12.75" customHeight="1">
      <c r="A359" s="306"/>
      <c r="B359" s="306"/>
      <c r="C359" s="306"/>
      <c r="D359" s="306"/>
      <c r="E359" s="306"/>
      <c r="F359" s="306"/>
      <c r="G359" s="306"/>
      <c r="H359" s="306"/>
      <c r="I359" s="306"/>
      <c r="J359" s="306"/>
      <c r="K359" s="306"/>
      <c r="L359" s="306"/>
      <c r="M359" s="306"/>
      <c r="N359" s="306"/>
      <c r="O359" s="306"/>
      <c r="P359" s="306"/>
      <c r="Q359" s="306"/>
      <c r="R359" s="306"/>
      <c r="S359" s="306"/>
      <c r="T359" s="306"/>
      <c r="U359" s="306"/>
      <c r="V359" s="306"/>
      <c r="W359" s="306"/>
      <c r="X359" s="306"/>
      <c r="Y359" s="306"/>
      <c r="Z359" s="306"/>
    </row>
    <row r="360" ht="12.75" customHeight="1">
      <c r="A360" s="306"/>
      <c r="B360" s="306"/>
      <c r="C360" s="306"/>
      <c r="D360" s="306"/>
      <c r="E360" s="306"/>
      <c r="F360" s="306"/>
      <c r="G360" s="306"/>
      <c r="H360" s="306"/>
      <c r="I360" s="306"/>
      <c r="J360" s="306"/>
      <c r="K360" s="306"/>
      <c r="L360" s="306"/>
      <c r="M360" s="306"/>
      <c r="N360" s="306"/>
      <c r="O360" s="306"/>
      <c r="P360" s="306"/>
      <c r="Q360" s="306"/>
      <c r="R360" s="306"/>
      <c r="S360" s="306"/>
      <c r="T360" s="306"/>
      <c r="U360" s="306"/>
      <c r="V360" s="306"/>
      <c r="W360" s="306"/>
      <c r="X360" s="306"/>
      <c r="Y360" s="306"/>
      <c r="Z360" s="306"/>
    </row>
    <row r="361" ht="12.75" customHeight="1">
      <c r="A361" s="306"/>
      <c r="B361" s="306"/>
      <c r="C361" s="306"/>
      <c r="D361" s="306"/>
      <c r="E361" s="306"/>
      <c r="F361" s="306"/>
      <c r="G361" s="306"/>
      <c r="H361" s="306"/>
      <c r="I361" s="306"/>
      <c r="J361" s="306"/>
      <c r="K361" s="306"/>
      <c r="L361" s="306"/>
      <c r="M361" s="306"/>
      <c r="N361" s="306"/>
      <c r="O361" s="306"/>
      <c r="P361" s="306"/>
      <c r="Q361" s="306"/>
      <c r="R361" s="306"/>
      <c r="S361" s="306"/>
      <c r="T361" s="306"/>
      <c r="U361" s="306"/>
      <c r="V361" s="306"/>
      <c r="W361" s="306"/>
      <c r="X361" s="306"/>
      <c r="Y361" s="306"/>
      <c r="Z361" s="306"/>
    </row>
    <row r="362" ht="12.75" customHeight="1">
      <c r="A362" s="306"/>
      <c r="B362" s="306"/>
      <c r="C362" s="306"/>
      <c r="D362" s="306"/>
      <c r="E362" s="306"/>
      <c r="F362" s="306"/>
      <c r="G362" s="306"/>
      <c r="H362" s="306"/>
      <c r="I362" s="306"/>
      <c r="J362" s="306"/>
      <c r="K362" s="306"/>
      <c r="L362" s="306"/>
      <c r="M362" s="306"/>
      <c r="N362" s="306"/>
      <c r="O362" s="306"/>
      <c r="P362" s="306"/>
      <c r="Q362" s="306"/>
      <c r="R362" s="306"/>
      <c r="S362" s="306"/>
      <c r="T362" s="306"/>
      <c r="U362" s="306"/>
      <c r="V362" s="306"/>
      <c r="W362" s="306"/>
      <c r="X362" s="306"/>
      <c r="Y362" s="306"/>
      <c r="Z362" s="306"/>
    </row>
    <row r="363" ht="12.75" customHeight="1">
      <c r="A363" s="306"/>
      <c r="B363" s="306"/>
      <c r="C363" s="306"/>
      <c r="D363" s="306"/>
      <c r="E363" s="306"/>
      <c r="F363" s="306"/>
      <c r="G363" s="306"/>
      <c r="H363" s="306"/>
      <c r="I363" s="306"/>
      <c r="J363" s="306"/>
      <c r="K363" s="306"/>
      <c r="L363" s="306"/>
      <c r="M363" s="306"/>
      <c r="N363" s="306"/>
      <c r="O363" s="306"/>
      <c r="P363" s="306"/>
      <c r="Q363" s="306"/>
      <c r="R363" s="306"/>
      <c r="S363" s="306"/>
      <c r="T363" s="306"/>
      <c r="U363" s="306"/>
      <c r="V363" s="306"/>
      <c r="W363" s="306"/>
      <c r="X363" s="306"/>
      <c r="Y363" s="306"/>
      <c r="Z363" s="306"/>
    </row>
    <row r="364" ht="12.75" customHeight="1">
      <c r="A364" s="306"/>
      <c r="B364" s="306"/>
      <c r="C364" s="306"/>
      <c r="D364" s="306"/>
      <c r="E364" s="306"/>
      <c r="F364" s="306"/>
      <c r="G364" s="306"/>
      <c r="H364" s="306"/>
      <c r="I364" s="306"/>
      <c r="J364" s="306"/>
      <c r="K364" s="306"/>
      <c r="L364" s="306"/>
      <c r="M364" s="306"/>
      <c r="N364" s="306"/>
      <c r="O364" s="306"/>
      <c r="P364" s="306"/>
      <c r="Q364" s="306"/>
      <c r="R364" s="306"/>
      <c r="S364" s="306"/>
      <c r="T364" s="306"/>
      <c r="U364" s="306"/>
      <c r="V364" s="306"/>
      <c r="W364" s="306"/>
      <c r="X364" s="306"/>
      <c r="Y364" s="306"/>
      <c r="Z364" s="306"/>
    </row>
    <row r="365" ht="12.75" customHeight="1">
      <c r="A365" s="306"/>
      <c r="B365" s="306"/>
      <c r="C365" s="306"/>
      <c r="D365" s="306"/>
      <c r="E365" s="306"/>
      <c r="F365" s="306"/>
      <c r="G365" s="306"/>
      <c r="H365" s="306"/>
      <c r="I365" s="306"/>
      <c r="J365" s="306"/>
      <c r="K365" s="306"/>
      <c r="L365" s="306"/>
      <c r="M365" s="306"/>
      <c r="N365" s="306"/>
      <c r="O365" s="306"/>
      <c r="P365" s="306"/>
      <c r="Q365" s="306"/>
      <c r="R365" s="306"/>
      <c r="S365" s="306"/>
      <c r="T365" s="306"/>
      <c r="U365" s="306"/>
      <c r="V365" s="306"/>
      <c r="W365" s="306"/>
      <c r="X365" s="306"/>
      <c r="Y365" s="306"/>
      <c r="Z365" s="306"/>
    </row>
    <row r="366" ht="12.75" customHeight="1">
      <c r="A366" s="306"/>
      <c r="B366" s="306"/>
      <c r="C366" s="306"/>
      <c r="D366" s="306"/>
      <c r="E366" s="306"/>
      <c r="F366" s="306"/>
      <c r="G366" s="306"/>
      <c r="H366" s="306"/>
      <c r="I366" s="306"/>
      <c r="J366" s="306"/>
      <c r="K366" s="306"/>
      <c r="L366" s="306"/>
      <c r="M366" s="306"/>
      <c r="N366" s="306"/>
      <c r="O366" s="306"/>
      <c r="P366" s="306"/>
      <c r="Q366" s="306"/>
      <c r="R366" s="306"/>
      <c r="S366" s="306"/>
      <c r="T366" s="306"/>
      <c r="U366" s="306"/>
      <c r="V366" s="306"/>
      <c r="W366" s="306"/>
      <c r="X366" s="306"/>
      <c r="Y366" s="306"/>
      <c r="Z366" s="306"/>
    </row>
    <row r="367" ht="12.75" customHeight="1">
      <c r="A367" s="306"/>
      <c r="B367" s="306"/>
      <c r="C367" s="306"/>
      <c r="D367" s="306"/>
      <c r="E367" s="306"/>
      <c r="F367" s="306"/>
      <c r="G367" s="306"/>
      <c r="H367" s="306"/>
      <c r="I367" s="306"/>
      <c r="J367" s="306"/>
      <c r="K367" s="306"/>
      <c r="L367" s="306"/>
      <c r="M367" s="306"/>
      <c r="N367" s="306"/>
      <c r="O367" s="306"/>
      <c r="P367" s="306"/>
      <c r="Q367" s="306"/>
      <c r="R367" s="306"/>
      <c r="S367" s="306"/>
      <c r="T367" s="306"/>
      <c r="U367" s="306"/>
      <c r="V367" s="306"/>
      <c r="W367" s="306"/>
      <c r="X367" s="306"/>
      <c r="Y367" s="306"/>
      <c r="Z367" s="306"/>
    </row>
    <row r="368" ht="12.75" customHeight="1">
      <c r="A368" s="306"/>
      <c r="B368" s="306"/>
      <c r="C368" s="306"/>
      <c r="D368" s="306"/>
      <c r="E368" s="306"/>
      <c r="F368" s="306"/>
      <c r="G368" s="306"/>
      <c r="H368" s="306"/>
      <c r="I368" s="306"/>
      <c r="J368" s="306"/>
      <c r="K368" s="306"/>
      <c r="L368" s="306"/>
      <c r="M368" s="306"/>
      <c r="N368" s="306"/>
      <c r="O368" s="306"/>
      <c r="P368" s="306"/>
      <c r="Q368" s="306"/>
      <c r="R368" s="306"/>
      <c r="S368" s="306"/>
      <c r="T368" s="306"/>
      <c r="U368" s="306"/>
      <c r="V368" s="306"/>
      <c r="W368" s="306"/>
      <c r="X368" s="306"/>
      <c r="Y368" s="306"/>
      <c r="Z368" s="306"/>
    </row>
    <row r="369" ht="12.75" customHeight="1">
      <c r="A369" s="306"/>
      <c r="B369" s="306"/>
      <c r="C369" s="306"/>
      <c r="D369" s="306"/>
      <c r="E369" s="306"/>
      <c r="F369" s="306"/>
      <c r="G369" s="306"/>
      <c r="H369" s="306"/>
      <c r="I369" s="306"/>
      <c r="J369" s="306"/>
      <c r="K369" s="306"/>
      <c r="L369" s="306"/>
      <c r="M369" s="306"/>
      <c r="N369" s="306"/>
      <c r="O369" s="306"/>
      <c r="P369" s="306"/>
      <c r="Q369" s="306"/>
      <c r="R369" s="306"/>
      <c r="S369" s="306"/>
      <c r="T369" s="306"/>
      <c r="U369" s="306"/>
      <c r="V369" s="306"/>
      <c r="W369" s="306"/>
      <c r="X369" s="306"/>
      <c r="Y369" s="306"/>
      <c r="Z369" s="306"/>
    </row>
    <row r="370" ht="12.75" customHeight="1">
      <c r="A370" s="306"/>
      <c r="B370" s="306"/>
      <c r="C370" s="306"/>
      <c r="D370" s="306"/>
      <c r="E370" s="306"/>
      <c r="F370" s="306"/>
      <c r="G370" s="306"/>
      <c r="H370" s="306"/>
      <c r="I370" s="306"/>
      <c r="J370" s="306"/>
      <c r="K370" s="306"/>
      <c r="L370" s="306"/>
      <c r="M370" s="306"/>
      <c r="N370" s="306"/>
      <c r="O370" s="306"/>
      <c r="P370" s="306"/>
      <c r="Q370" s="306"/>
      <c r="R370" s="306"/>
      <c r="S370" s="306"/>
      <c r="T370" s="306"/>
      <c r="U370" s="306"/>
      <c r="V370" s="306"/>
      <c r="W370" s="306"/>
      <c r="X370" s="306"/>
      <c r="Y370" s="306"/>
      <c r="Z370" s="306"/>
    </row>
    <row r="371" ht="12.75" customHeight="1">
      <c r="A371" s="306"/>
      <c r="B371" s="306"/>
      <c r="C371" s="306"/>
      <c r="D371" s="306"/>
      <c r="E371" s="306"/>
      <c r="F371" s="306"/>
      <c r="G371" s="306"/>
      <c r="H371" s="306"/>
      <c r="I371" s="306"/>
      <c r="J371" s="306"/>
      <c r="K371" s="306"/>
      <c r="L371" s="306"/>
      <c r="M371" s="306"/>
      <c r="N371" s="306"/>
      <c r="O371" s="306"/>
      <c r="P371" s="306"/>
      <c r="Q371" s="306"/>
      <c r="R371" s="306"/>
      <c r="S371" s="306"/>
      <c r="T371" s="306"/>
      <c r="U371" s="306"/>
      <c r="V371" s="306"/>
      <c r="W371" s="306"/>
      <c r="X371" s="306"/>
      <c r="Y371" s="306"/>
      <c r="Z371" s="306"/>
    </row>
    <row r="372" ht="12.75" customHeight="1">
      <c r="A372" s="306"/>
      <c r="B372" s="306"/>
      <c r="C372" s="306"/>
      <c r="D372" s="306"/>
      <c r="E372" s="306"/>
      <c r="F372" s="306"/>
      <c r="G372" s="306"/>
      <c r="H372" s="306"/>
      <c r="I372" s="306"/>
      <c r="J372" s="306"/>
      <c r="K372" s="306"/>
      <c r="L372" s="306"/>
      <c r="M372" s="306"/>
      <c r="N372" s="306"/>
      <c r="O372" s="306"/>
      <c r="P372" s="306"/>
      <c r="Q372" s="306"/>
      <c r="R372" s="306"/>
      <c r="S372" s="306"/>
      <c r="T372" s="306"/>
      <c r="U372" s="306"/>
      <c r="V372" s="306"/>
      <c r="W372" s="306"/>
      <c r="X372" s="306"/>
      <c r="Y372" s="306"/>
      <c r="Z372" s="306"/>
    </row>
    <row r="373" ht="12.75" customHeight="1">
      <c r="A373" s="306"/>
      <c r="B373" s="306"/>
      <c r="C373" s="306"/>
      <c r="D373" s="306"/>
      <c r="E373" s="306"/>
      <c r="F373" s="306"/>
      <c r="G373" s="306"/>
      <c r="H373" s="306"/>
      <c r="I373" s="306"/>
      <c r="J373" s="306"/>
      <c r="K373" s="306"/>
      <c r="L373" s="306"/>
      <c r="M373" s="306"/>
      <c r="N373" s="306"/>
      <c r="O373" s="306"/>
      <c r="P373" s="306"/>
      <c r="Q373" s="306"/>
      <c r="R373" s="306"/>
      <c r="S373" s="306"/>
      <c r="T373" s="306"/>
      <c r="U373" s="306"/>
      <c r="V373" s="306"/>
      <c r="W373" s="306"/>
      <c r="X373" s="306"/>
      <c r="Y373" s="306"/>
      <c r="Z373" s="306"/>
    </row>
    <row r="374" ht="12.75" customHeight="1">
      <c r="A374" s="306"/>
      <c r="B374" s="306"/>
      <c r="C374" s="306"/>
      <c r="D374" s="306"/>
      <c r="E374" s="306"/>
      <c r="F374" s="306"/>
      <c r="G374" s="306"/>
      <c r="H374" s="306"/>
      <c r="I374" s="306"/>
      <c r="J374" s="306"/>
      <c r="K374" s="306"/>
      <c r="L374" s="306"/>
      <c r="M374" s="306"/>
      <c r="N374" s="306"/>
      <c r="O374" s="306"/>
      <c r="P374" s="306"/>
      <c r="Q374" s="306"/>
      <c r="R374" s="306"/>
      <c r="S374" s="306"/>
      <c r="T374" s="306"/>
      <c r="U374" s="306"/>
      <c r="V374" s="306"/>
      <c r="W374" s="306"/>
      <c r="X374" s="306"/>
      <c r="Y374" s="306"/>
      <c r="Z374" s="306"/>
    </row>
    <row r="375" ht="12.75" customHeight="1">
      <c r="A375" s="306"/>
      <c r="B375" s="306"/>
      <c r="C375" s="306"/>
      <c r="D375" s="306"/>
      <c r="E375" s="306"/>
      <c r="F375" s="306"/>
      <c r="G375" s="306"/>
      <c r="H375" s="306"/>
      <c r="I375" s="306"/>
      <c r="J375" s="306"/>
      <c r="K375" s="306"/>
      <c r="L375" s="306"/>
      <c r="M375" s="306"/>
      <c r="N375" s="306"/>
      <c r="O375" s="306"/>
      <c r="P375" s="306"/>
      <c r="Q375" s="306"/>
      <c r="R375" s="306"/>
      <c r="S375" s="306"/>
      <c r="T375" s="306"/>
      <c r="U375" s="306"/>
      <c r="V375" s="306"/>
      <c r="W375" s="306"/>
      <c r="X375" s="306"/>
      <c r="Y375" s="306"/>
      <c r="Z375" s="306"/>
    </row>
    <row r="376" ht="12.75" customHeight="1">
      <c r="A376" s="306"/>
      <c r="B376" s="306"/>
      <c r="C376" s="306"/>
      <c r="D376" s="306"/>
      <c r="E376" s="306"/>
      <c r="F376" s="306"/>
      <c r="G376" s="306"/>
      <c r="H376" s="306"/>
      <c r="I376" s="306"/>
      <c r="J376" s="306"/>
      <c r="K376" s="306"/>
      <c r="L376" s="306"/>
      <c r="M376" s="306"/>
      <c r="N376" s="306"/>
      <c r="O376" s="306"/>
      <c r="P376" s="306"/>
      <c r="Q376" s="306"/>
      <c r="R376" s="306"/>
      <c r="S376" s="306"/>
      <c r="T376" s="306"/>
      <c r="U376" s="306"/>
      <c r="V376" s="306"/>
      <c r="W376" s="306"/>
      <c r="X376" s="306"/>
      <c r="Y376" s="306"/>
      <c r="Z376" s="306"/>
    </row>
    <row r="377" ht="12.75" customHeight="1">
      <c r="A377" s="306"/>
      <c r="B377" s="306"/>
      <c r="C377" s="306"/>
      <c r="D377" s="306"/>
      <c r="E377" s="306"/>
      <c r="F377" s="306"/>
      <c r="G377" s="306"/>
      <c r="H377" s="306"/>
      <c r="I377" s="306"/>
      <c r="J377" s="306"/>
      <c r="K377" s="306"/>
      <c r="L377" s="306"/>
      <c r="M377" s="306"/>
      <c r="N377" s="306"/>
      <c r="O377" s="306"/>
      <c r="P377" s="306"/>
      <c r="Q377" s="306"/>
      <c r="R377" s="306"/>
      <c r="S377" s="306"/>
      <c r="T377" s="306"/>
      <c r="U377" s="306"/>
      <c r="V377" s="306"/>
      <c r="W377" s="306"/>
      <c r="X377" s="306"/>
      <c r="Y377" s="306"/>
      <c r="Z377" s="306"/>
    </row>
    <row r="378" ht="12.75" customHeight="1">
      <c r="A378" s="306"/>
      <c r="B378" s="306"/>
      <c r="C378" s="306"/>
      <c r="D378" s="306"/>
      <c r="E378" s="306"/>
      <c r="F378" s="306"/>
      <c r="G378" s="306"/>
      <c r="H378" s="306"/>
      <c r="I378" s="306"/>
      <c r="J378" s="306"/>
      <c r="K378" s="306"/>
      <c r="L378" s="306"/>
      <c r="M378" s="306"/>
      <c r="N378" s="306"/>
      <c r="O378" s="306"/>
      <c r="P378" s="306"/>
      <c r="Q378" s="306"/>
      <c r="R378" s="306"/>
      <c r="S378" s="306"/>
      <c r="T378" s="306"/>
      <c r="U378" s="306"/>
      <c r="V378" s="306"/>
      <c r="W378" s="306"/>
      <c r="X378" s="306"/>
      <c r="Y378" s="306"/>
      <c r="Z378" s="306"/>
    </row>
    <row r="379" ht="12.75" customHeight="1">
      <c r="A379" s="306"/>
      <c r="B379" s="306"/>
      <c r="C379" s="306"/>
      <c r="D379" s="306"/>
      <c r="E379" s="306"/>
      <c r="F379" s="306"/>
      <c r="G379" s="306"/>
      <c r="H379" s="306"/>
      <c r="I379" s="306"/>
      <c r="J379" s="306"/>
      <c r="K379" s="306"/>
      <c r="L379" s="306"/>
      <c r="M379" s="306"/>
      <c r="N379" s="306"/>
      <c r="O379" s="306"/>
      <c r="P379" s="306"/>
      <c r="Q379" s="306"/>
      <c r="R379" s="306"/>
      <c r="S379" s="306"/>
      <c r="T379" s="306"/>
      <c r="U379" s="306"/>
      <c r="V379" s="306"/>
      <c r="W379" s="306"/>
      <c r="X379" s="306"/>
      <c r="Y379" s="306"/>
      <c r="Z379" s="306"/>
    </row>
    <row r="380" ht="12.75" customHeight="1">
      <c r="A380" s="306"/>
      <c r="B380" s="306"/>
      <c r="C380" s="306"/>
      <c r="D380" s="306"/>
      <c r="E380" s="306"/>
      <c r="F380" s="306"/>
      <c r="G380" s="306"/>
      <c r="H380" s="306"/>
      <c r="I380" s="306"/>
      <c r="J380" s="306"/>
      <c r="K380" s="306"/>
      <c r="L380" s="306"/>
      <c r="M380" s="306"/>
      <c r="N380" s="306"/>
      <c r="O380" s="306"/>
      <c r="P380" s="306"/>
      <c r="Q380" s="306"/>
      <c r="R380" s="306"/>
      <c r="S380" s="306"/>
      <c r="T380" s="306"/>
      <c r="U380" s="306"/>
      <c r="V380" s="306"/>
      <c r="W380" s="306"/>
      <c r="X380" s="306"/>
      <c r="Y380" s="306"/>
      <c r="Z380" s="306"/>
    </row>
    <row r="381" ht="12.75" customHeight="1">
      <c r="A381" s="306"/>
      <c r="B381" s="306"/>
      <c r="C381" s="306"/>
      <c r="D381" s="306"/>
      <c r="E381" s="306"/>
      <c r="F381" s="306"/>
      <c r="G381" s="306"/>
      <c r="H381" s="306"/>
      <c r="I381" s="306"/>
      <c r="J381" s="306"/>
      <c r="K381" s="306"/>
      <c r="L381" s="306"/>
      <c r="M381" s="306"/>
      <c r="N381" s="306"/>
      <c r="O381" s="306"/>
      <c r="P381" s="306"/>
      <c r="Q381" s="306"/>
      <c r="R381" s="306"/>
      <c r="S381" s="306"/>
      <c r="T381" s="306"/>
      <c r="U381" s="306"/>
      <c r="V381" s="306"/>
      <c r="W381" s="306"/>
      <c r="X381" s="306"/>
      <c r="Y381" s="306"/>
      <c r="Z381" s="306"/>
    </row>
    <row r="382" ht="12.75" customHeight="1">
      <c r="A382" s="306"/>
      <c r="B382" s="306"/>
      <c r="C382" s="306"/>
      <c r="D382" s="306"/>
      <c r="E382" s="306"/>
      <c r="F382" s="306"/>
      <c r="G382" s="306"/>
      <c r="H382" s="306"/>
      <c r="I382" s="306"/>
      <c r="J382" s="306"/>
      <c r="K382" s="306"/>
      <c r="L382" s="306"/>
      <c r="M382" s="306"/>
      <c r="N382" s="306"/>
      <c r="O382" s="306"/>
      <c r="P382" s="306"/>
      <c r="Q382" s="306"/>
      <c r="R382" s="306"/>
      <c r="S382" s="306"/>
      <c r="T382" s="306"/>
      <c r="U382" s="306"/>
      <c r="V382" s="306"/>
      <c r="W382" s="306"/>
      <c r="X382" s="306"/>
      <c r="Y382" s="306"/>
      <c r="Z382" s="306"/>
    </row>
    <row r="383" ht="12.75" customHeight="1">
      <c r="A383" s="306"/>
      <c r="B383" s="306"/>
      <c r="C383" s="306"/>
      <c r="D383" s="306"/>
      <c r="E383" s="306"/>
      <c r="F383" s="306"/>
      <c r="G383" s="306"/>
      <c r="H383" s="306"/>
      <c r="I383" s="306"/>
      <c r="J383" s="306"/>
      <c r="K383" s="306"/>
      <c r="L383" s="306"/>
      <c r="M383" s="306"/>
      <c r="N383" s="306"/>
      <c r="O383" s="306"/>
      <c r="P383" s="306"/>
      <c r="Q383" s="306"/>
      <c r="R383" s="306"/>
      <c r="S383" s="306"/>
      <c r="T383" s="306"/>
      <c r="U383" s="306"/>
      <c r="V383" s="306"/>
      <c r="W383" s="306"/>
      <c r="X383" s="306"/>
      <c r="Y383" s="306"/>
      <c r="Z383" s="306"/>
    </row>
    <row r="384" ht="12.75" customHeight="1">
      <c r="A384" s="306"/>
      <c r="B384" s="306"/>
      <c r="C384" s="306"/>
      <c r="D384" s="306"/>
      <c r="E384" s="306"/>
      <c r="F384" s="306"/>
      <c r="G384" s="306"/>
      <c r="H384" s="306"/>
      <c r="I384" s="306"/>
      <c r="J384" s="306"/>
      <c r="K384" s="306"/>
      <c r="L384" s="306"/>
      <c r="M384" s="306"/>
      <c r="N384" s="306"/>
      <c r="O384" s="306"/>
      <c r="P384" s="306"/>
      <c r="Q384" s="306"/>
      <c r="R384" s="306"/>
      <c r="S384" s="306"/>
      <c r="T384" s="306"/>
      <c r="U384" s="306"/>
      <c r="V384" s="306"/>
      <c r="W384" s="306"/>
      <c r="X384" s="306"/>
      <c r="Y384" s="306"/>
      <c r="Z384" s="306"/>
    </row>
    <row r="385" ht="12.75" customHeight="1">
      <c r="A385" s="306"/>
      <c r="B385" s="306"/>
      <c r="C385" s="306"/>
      <c r="D385" s="306"/>
      <c r="E385" s="306"/>
      <c r="F385" s="306"/>
      <c r="G385" s="306"/>
      <c r="H385" s="306"/>
      <c r="I385" s="306"/>
      <c r="J385" s="306"/>
      <c r="K385" s="306"/>
      <c r="L385" s="306"/>
      <c r="M385" s="306"/>
      <c r="N385" s="306"/>
      <c r="O385" s="306"/>
      <c r="P385" s="306"/>
      <c r="Q385" s="306"/>
      <c r="R385" s="306"/>
      <c r="S385" s="306"/>
      <c r="T385" s="306"/>
      <c r="U385" s="306"/>
      <c r="V385" s="306"/>
      <c r="W385" s="306"/>
      <c r="X385" s="306"/>
      <c r="Y385" s="306"/>
      <c r="Z385" s="306"/>
    </row>
    <row r="386" ht="12.75" customHeight="1">
      <c r="A386" s="306"/>
      <c r="B386" s="306"/>
      <c r="C386" s="306"/>
      <c r="D386" s="306"/>
      <c r="E386" s="306"/>
      <c r="F386" s="306"/>
      <c r="G386" s="306"/>
      <c r="H386" s="306"/>
      <c r="I386" s="306"/>
      <c r="J386" s="306"/>
      <c r="K386" s="306"/>
      <c r="L386" s="306"/>
      <c r="M386" s="306"/>
      <c r="N386" s="306"/>
      <c r="O386" s="306"/>
      <c r="P386" s="306"/>
      <c r="Q386" s="306"/>
      <c r="R386" s="306"/>
      <c r="S386" s="306"/>
      <c r="T386" s="306"/>
      <c r="U386" s="306"/>
      <c r="V386" s="306"/>
      <c r="W386" s="306"/>
      <c r="X386" s="306"/>
      <c r="Y386" s="306"/>
      <c r="Z386" s="306"/>
    </row>
    <row r="387" ht="12.75" customHeight="1">
      <c r="A387" s="306"/>
      <c r="B387" s="306"/>
      <c r="C387" s="306"/>
      <c r="D387" s="306"/>
      <c r="E387" s="306"/>
      <c r="F387" s="306"/>
      <c r="G387" s="306"/>
      <c r="H387" s="306"/>
      <c r="I387" s="306"/>
      <c r="J387" s="306"/>
      <c r="K387" s="306"/>
      <c r="L387" s="306"/>
      <c r="M387" s="306"/>
      <c r="N387" s="306"/>
      <c r="O387" s="306"/>
      <c r="P387" s="306"/>
      <c r="Q387" s="306"/>
      <c r="R387" s="306"/>
      <c r="S387" s="306"/>
      <c r="T387" s="306"/>
      <c r="U387" s="306"/>
      <c r="V387" s="306"/>
      <c r="W387" s="306"/>
      <c r="X387" s="306"/>
      <c r="Y387" s="306"/>
      <c r="Z387" s="306"/>
    </row>
    <row r="388" ht="12.75" customHeight="1">
      <c r="A388" s="306"/>
      <c r="B388" s="306"/>
      <c r="C388" s="306"/>
      <c r="D388" s="306"/>
      <c r="E388" s="306"/>
      <c r="F388" s="306"/>
      <c r="G388" s="306"/>
      <c r="H388" s="306"/>
      <c r="I388" s="306"/>
      <c r="J388" s="306"/>
      <c r="K388" s="306"/>
      <c r="L388" s="306"/>
      <c r="M388" s="306"/>
      <c r="N388" s="306"/>
      <c r="O388" s="306"/>
      <c r="P388" s="306"/>
      <c r="Q388" s="306"/>
      <c r="R388" s="306"/>
      <c r="S388" s="306"/>
      <c r="T388" s="306"/>
      <c r="U388" s="306"/>
      <c r="V388" s="306"/>
      <c r="W388" s="306"/>
      <c r="X388" s="306"/>
      <c r="Y388" s="306"/>
      <c r="Z388" s="306"/>
    </row>
    <row r="389" ht="12.75" customHeight="1">
      <c r="A389" s="306"/>
      <c r="B389" s="306"/>
      <c r="C389" s="306"/>
      <c r="D389" s="306"/>
      <c r="E389" s="306"/>
      <c r="F389" s="306"/>
      <c r="G389" s="306"/>
      <c r="H389" s="306"/>
      <c r="I389" s="306"/>
      <c r="J389" s="306"/>
      <c r="K389" s="306"/>
      <c r="L389" s="306"/>
      <c r="M389" s="306"/>
      <c r="N389" s="306"/>
      <c r="O389" s="306"/>
      <c r="P389" s="306"/>
      <c r="Q389" s="306"/>
      <c r="R389" s="306"/>
      <c r="S389" s="306"/>
      <c r="T389" s="306"/>
      <c r="U389" s="306"/>
      <c r="V389" s="306"/>
      <c r="W389" s="306"/>
      <c r="X389" s="306"/>
      <c r="Y389" s="306"/>
      <c r="Z389" s="306"/>
    </row>
    <row r="390" ht="12.75" customHeight="1">
      <c r="A390" s="306"/>
      <c r="B390" s="306"/>
      <c r="C390" s="306"/>
      <c r="D390" s="306"/>
      <c r="E390" s="306"/>
      <c r="F390" s="306"/>
      <c r="G390" s="306"/>
      <c r="H390" s="306"/>
      <c r="I390" s="306"/>
      <c r="J390" s="306"/>
      <c r="K390" s="306"/>
      <c r="L390" s="306"/>
      <c r="M390" s="306"/>
      <c r="N390" s="306"/>
      <c r="O390" s="306"/>
      <c r="P390" s="306"/>
      <c r="Q390" s="306"/>
      <c r="R390" s="306"/>
      <c r="S390" s="306"/>
      <c r="T390" s="306"/>
      <c r="U390" s="306"/>
      <c r="V390" s="306"/>
      <c r="W390" s="306"/>
      <c r="X390" s="306"/>
      <c r="Y390" s="306"/>
      <c r="Z390" s="306"/>
    </row>
    <row r="391" ht="12.75" customHeight="1">
      <c r="A391" s="306"/>
      <c r="B391" s="306"/>
      <c r="C391" s="306"/>
      <c r="D391" s="306"/>
      <c r="E391" s="306"/>
      <c r="F391" s="306"/>
      <c r="G391" s="306"/>
      <c r="H391" s="306"/>
      <c r="I391" s="306"/>
      <c r="J391" s="306"/>
      <c r="K391" s="306"/>
      <c r="L391" s="306"/>
      <c r="M391" s="306"/>
      <c r="N391" s="306"/>
      <c r="O391" s="306"/>
      <c r="P391" s="306"/>
      <c r="Q391" s="306"/>
      <c r="R391" s="306"/>
      <c r="S391" s="306"/>
      <c r="T391" s="306"/>
      <c r="U391" s="306"/>
      <c r="V391" s="306"/>
      <c r="W391" s="306"/>
      <c r="X391" s="306"/>
      <c r="Y391" s="306"/>
      <c r="Z391" s="306"/>
    </row>
    <row r="392" ht="12.75" customHeight="1">
      <c r="A392" s="306"/>
      <c r="B392" s="306"/>
      <c r="C392" s="306"/>
      <c r="D392" s="306"/>
      <c r="E392" s="306"/>
      <c r="F392" s="306"/>
      <c r="G392" s="306"/>
      <c r="H392" s="306"/>
      <c r="I392" s="306"/>
      <c r="J392" s="306"/>
      <c r="K392" s="306"/>
      <c r="L392" s="306"/>
      <c r="M392" s="306"/>
      <c r="N392" s="306"/>
      <c r="O392" s="306"/>
      <c r="P392" s="306"/>
      <c r="Q392" s="306"/>
      <c r="R392" s="306"/>
      <c r="S392" s="306"/>
      <c r="T392" s="306"/>
      <c r="U392" s="306"/>
      <c r="V392" s="306"/>
      <c r="W392" s="306"/>
      <c r="X392" s="306"/>
      <c r="Y392" s="306"/>
      <c r="Z392" s="306"/>
    </row>
    <row r="393" ht="12.75" customHeight="1">
      <c r="A393" s="306"/>
      <c r="B393" s="306"/>
      <c r="C393" s="306"/>
      <c r="D393" s="306"/>
      <c r="E393" s="306"/>
      <c r="F393" s="306"/>
      <c r="G393" s="306"/>
      <c r="H393" s="306"/>
      <c r="I393" s="306"/>
      <c r="J393" s="306"/>
      <c r="K393" s="306"/>
      <c r="L393" s="306"/>
      <c r="M393" s="306"/>
      <c r="N393" s="306"/>
      <c r="O393" s="306"/>
      <c r="P393" s="306"/>
      <c r="Q393" s="306"/>
      <c r="R393" s="306"/>
      <c r="S393" s="306"/>
      <c r="T393" s="306"/>
      <c r="U393" s="306"/>
      <c r="V393" s="306"/>
      <c r="W393" s="306"/>
      <c r="X393" s="306"/>
      <c r="Y393" s="306"/>
      <c r="Z393" s="306"/>
    </row>
    <row r="394" ht="12.75" customHeight="1">
      <c r="A394" s="306"/>
      <c r="B394" s="306"/>
      <c r="C394" s="306"/>
      <c r="D394" s="306"/>
      <c r="E394" s="306"/>
      <c r="F394" s="306"/>
      <c r="G394" s="306"/>
      <c r="H394" s="306"/>
      <c r="I394" s="306"/>
      <c r="J394" s="306"/>
      <c r="K394" s="306"/>
      <c r="L394" s="306"/>
      <c r="M394" s="306"/>
      <c r="N394" s="306"/>
      <c r="O394" s="306"/>
      <c r="P394" s="306"/>
      <c r="Q394" s="306"/>
      <c r="R394" s="306"/>
      <c r="S394" s="306"/>
      <c r="T394" s="306"/>
      <c r="U394" s="306"/>
      <c r="V394" s="306"/>
      <c r="W394" s="306"/>
      <c r="X394" s="306"/>
      <c r="Y394" s="306"/>
      <c r="Z394" s="306"/>
    </row>
    <row r="395" ht="12.75" customHeight="1">
      <c r="A395" s="306"/>
      <c r="B395" s="306"/>
      <c r="C395" s="306"/>
      <c r="D395" s="306"/>
      <c r="E395" s="306"/>
      <c r="F395" s="306"/>
      <c r="G395" s="306"/>
      <c r="H395" s="306"/>
      <c r="I395" s="306"/>
      <c r="J395" s="306"/>
      <c r="K395" s="306"/>
      <c r="L395" s="306"/>
      <c r="M395" s="306"/>
      <c r="N395" s="306"/>
      <c r="O395" s="306"/>
      <c r="P395" s="306"/>
      <c r="Q395" s="306"/>
      <c r="R395" s="306"/>
      <c r="S395" s="306"/>
      <c r="T395" s="306"/>
      <c r="U395" s="306"/>
      <c r="V395" s="306"/>
      <c r="W395" s="306"/>
      <c r="X395" s="306"/>
      <c r="Y395" s="306"/>
      <c r="Z395" s="306"/>
    </row>
    <row r="396" ht="12.75" customHeight="1">
      <c r="A396" s="306"/>
      <c r="B396" s="306"/>
      <c r="C396" s="306"/>
      <c r="D396" s="306"/>
      <c r="E396" s="306"/>
      <c r="F396" s="306"/>
      <c r="G396" s="306"/>
      <c r="H396" s="306"/>
      <c r="I396" s="306"/>
      <c r="J396" s="306"/>
      <c r="K396" s="306"/>
      <c r="L396" s="306"/>
      <c r="M396" s="306"/>
      <c r="N396" s="306"/>
      <c r="O396" s="306"/>
      <c r="P396" s="306"/>
      <c r="Q396" s="306"/>
      <c r="R396" s="306"/>
      <c r="S396" s="306"/>
      <c r="T396" s="306"/>
      <c r="U396" s="306"/>
      <c r="V396" s="306"/>
      <c r="W396" s="306"/>
      <c r="X396" s="306"/>
      <c r="Y396" s="306"/>
      <c r="Z396" s="306"/>
    </row>
    <row r="397" ht="12.75" customHeight="1">
      <c r="A397" s="306"/>
      <c r="B397" s="306"/>
      <c r="C397" s="306"/>
      <c r="D397" s="306"/>
      <c r="E397" s="306"/>
      <c r="F397" s="306"/>
      <c r="G397" s="306"/>
      <c r="H397" s="306"/>
      <c r="I397" s="306"/>
      <c r="J397" s="306"/>
      <c r="K397" s="306"/>
      <c r="L397" s="306"/>
      <c r="M397" s="306"/>
      <c r="N397" s="306"/>
      <c r="O397" s="306"/>
      <c r="P397" s="306"/>
      <c r="Q397" s="306"/>
      <c r="R397" s="306"/>
      <c r="S397" s="306"/>
      <c r="T397" s="306"/>
      <c r="U397" s="306"/>
      <c r="V397" s="306"/>
      <c r="W397" s="306"/>
      <c r="X397" s="306"/>
      <c r="Y397" s="306"/>
      <c r="Z397" s="306"/>
    </row>
    <row r="398" ht="12.75" customHeight="1">
      <c r="A398" s="306"/>
      <c r="B398" s="306"/>
      <c r="C398" s="306"/>
      <c r="D398" s="306"/>
      <c r="E398" s="306"/>
      <c r="F398" s="306"/>
      <c r="G398" s="306"/>
      <c r="H398" s="306"/>
      <c r="I398" s="306"/>
      <c r="J398" s="306"/>
      <c r="K398" s="306"/>
      <c r="L398" s="306"/>
      <c r="M398" s="306"/>
      <c r="N398" s="306"/>
      <c r="O398" s="306"/>
      <c r="P398" s="306"/>
      <c r="Q398" s="306"/>
      <c r="R398" s="306"/>
      <c r="S398" s="306"/>
      <c r="T398" s="306"/>
      <c r="U398" s="306"/>
      <c r="V398" s="306"/>
      <c r="W398" s="306"/>
      <c r="X398" s="306"/>
      <c r="Y398" s="306"/>
      <c r="Z398" s="306"/>
    </row>
    <row r="399" ht="12.75" customHeight="1">
      <c r="A399" s="306"/>
      <c r="B399" s="306"/>
      <c r="C399" s="306"/>
      <c r="D399" s="306"/>
      <c r="E399" s="306"/>
      <c r="F399" s="306"/>
      <c r="G399" s="306"/>
      <c r="H399" s="306"/>
      <c r="I399" s="306"/>
      <c r="J399" s="306"/>
      <c r="K399" s="306"/>
      <c r="L399" s="306"/>
      <c r="M399" s="306"/>
      <c r="N399" s="306"/>
      <c r="O399" s="306"/>
      <c r="P399" s="306"/>
      <c r="Q399" s="306"/>
      <c r="R399" s="306"/>
      <c r="S399" s="306"/>
      <c r="T399" s="306"/>
      <c r="U399" s="306"/>
      <c r="V399" s="306"/>
      <c r="W399" s="306"/>
      <c r="X399" s="306"/>
      <c r="Y399" s="306"/>
      <c r="Z399" s="306"/>
    </row>
  </sheetData>
  <printOptions/>
  <pageMargins bottom="0.75" footer="0.0" header="0.0" left="0.7" right="0.7" top="0.75"/>
  <pageSetup fitToHeight="0" orientation="portrait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Hojas de cálculo</vt:lpstr>
      </vt:variant>
      <vt:variant>
        <vt:i4>21</vt:i4>
      </vt:variant>
    </vt:vector>
  </HeadingPairs>
  <TitlesOfParts>
    <vt:vector baseType="lpstr" size="21">
      <vt:lpstr>DIM TECNICO - Evolución de la P</vt:lpstr>
      <vt:lpstr>DIM TECNICO - Consumo de MP - P</vt:lpstr>
      <vt:lpstr>DIM TECNICO - Balance Anual - M</vt:lpstr>
      <vt:lpstr>Conformación de Datos</vt:lpstr>
      <vt:lpstr>Energìa e Impuestos</vt:lpstr>
      <vt:lpstr>InfoInicial</vt:lpstr>
      <vt:lpstr>E-Inv AF y Am</vt:lpstr>
      <vt:lpstr>Marcha Credito Act. Trabajo REN</vt:lpstr>
      <vt:lpstr>E-Costos</vt:lpstr>
      <vt:lpstr>E-InvAT</vt:lpstr>
      <vt:lpstr>E-Cal Inv.</vt:lpstr>
      <vt:lpstr>E-IVA</vt:lpstr>
      <vt:lpstr>E-Form</vt:lpstr>
      <vt:lpstr>F-Cred</vt:lpstr>
      <vt:lpstr>Marcha Credito Act. Fijo NO REN</vt:lpstr>
      <vt:lpstr>F-CRes</vt:lpstr>
      <vt:lpstr>F-2 Estructura</vt:lpstr>
      <vt:lpstr>F-IVA</vt:lpstr>
      <vt:lpstr>F-Balance</vt:lpstr>
      <vt:lpstr>F- CFyU</vt:lpstr>
      <vt:lpstr>F- Form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Makeltor</cp:lastModifiedBy>
  <dcterms:modified xsi:type="dcterms:W3CDTF">2018-11-20T01:14:43Z</dcterms:modified>
</cp:coreProperties>
</file>