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iliano\Dropbox\Facultad\4to Año\Evaluación de Proyectos\EP Grupo 1\2 - Dim. Físico\"/>
    </mc:Choice>
  </mc:AlternateContent>
  <bookViews>
    <workbookView xWindow="0" yWindow="0" windowWidth="20490" windowHeight="7530" activeTab="4"/>
  </bookViews>
  <sheets>
    <sheet name="Evolucion Produccion" sheetId="1" r:id="rId1"/>
    <sheet name="Evolucion Stock y Ventas" sheetId="2" r:id="rId2"/>
    <sheet name="Consumo MP" sheetId="4" r:id="rId3"/>
    <sheet name="Programa de Compras" sheetId="5" r:id="rId4"/>
    <sheet name="Resumen General" sheetId="6" r:id="rId5"/>
  </sheets>
  <externalReferences>
    <externalReference r:id="rId6"/>
  </externalReferenc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Y8" i="6" l="1"/>
  <c r="X8" i="6"/>
  <c r="W8" i="6"/>
  <c r="V8" i="6"/>
  <c r="U8" i="6"/>
  <c r="T8" i="6"/>
  <c r="S8" i="6"/>
  <c r="R8" i="6"/>
  <c r="W9" i="6"/>
  <c r="V9" i="6"/>
  <c r="U9" i="6"/>
  <c r="T9" i="6"/>
  <c r="S9" i="6"/>
  <c r="R9" i="6"/>
  <c r="K10" i="4"/>
  <c r="B27" i="4"/>
  <c r="B33" i="4" s="1"/>
  <c r="O10" i="6" s="1"/>
  <c r="K12" i="4"/>
  <c r="C4" i="5" s="1"/>
  <c r="K13" i="4"/>
  <c r="K14" i="4"/>
  <c r="C6" i="5" s="1"/>
  <c r="I24" i="5" s="1"/>
  <c r="K15" i="4"/>
  <c r="V11" i="6" s="1"/>
  <c r="K16" i="4"/>
  <c r="C8" i="5" s="1"/>
  <c r="K17" i="4"/>
  <c r="K18" i="4"/>
  <c r="C10" i="5" s="1"/>
  <c r="Q32" i="5" s="1"/>
  <c r="K11" i="4"/>
  <c r="C3" i="5" s="1"/>
  <c r="S11" i="6"/>
  <c r="B14" i="2"/>
  <c r="I6" i="5" s="1"/>
  <c r="H23" i="5" s="1"/>
  <c r="B18" i="1"/>
  <c r="F18" i="1"/>
  <c r="G18" i="1" s="1"/>
  <c r="B10" i="2" s="1"/>
  <c r="R5" i="6" s="1"/>
  <c r="B12" i="1"/>
  <c r="B11" i="1"/>
  <c r="E11" i="1"/>
  <c r="F11" i="1"/>
  <c r="G11" i="1" s="1"/>
  <c r="B4" i="4" s="1"/>
  <c r="B12" i="6" s="1"/>
  <c r="F12" i="1"/>
  <c r="G12" i="1" s="1"/>
  <c r="B13" i="6" l="1"/>
  <c r="W11" i="6"/>
  <c r="U11" i="6"/>
  <c r="B29" i="4"/>
  <c r="K10" i="6" s="1"/>
  <c r="B31" i="4"/>
  <c r="B32" i="4"/>
  <c r="B34" i="4"/>
  <c r="P10" i="6" s="1"/>
  <c r="C7" i="5"/>
  <c r="I4" i="5"/>
  <c r="D23" i="5" s="1"/>
  <c r="I3" i="5"/>
  <c r="B23" i="5" s="1"/>
  <c r="I5" i="5"/>
  <c r="F23" i="5" s="1"/>
  <c r="I8" i="5"/>
  <c r="L23" i="5" s="1"/>
  <c r="I9" i="5"/>
  <c r="N23" i="5" s="1"/>
  <c r="I10" i="5"/>
  <c r="P23" i="5" s="1"/>
  <c r="I7" i="5"/>
  <c r="J23" i="5" s="1"/>
  <c r="B3" i="4"/>
  <c r="B10" i="4"/>
  <c r="G13" i="1"/>
  <c r="B8" i="4"/>
  <c r="F13" i="6" s="1"/>
  <c r="B6" i="4"/>
  <c r="B11" i="4"/>
  <c r="B9" i="4"/>
  <c r="B7" i="4"/>
  <c r="B5" i="4"/>
  <c r="B15" i="4"/>
  <c r="B19" i="4"/>
  <c r="B22" i="4"/>
  <c r="B20" i="4"/>
  <c r="B23" i="4"/>
  <c r="B18" i="4"/>
  <c r="B16" i="4"/>
  <c r="B17" i="4"/>
  <c r="B21" i="4"/>
  <c r="G16" i="4" s="1"/>
  <c r="I25" i="5"/>
  <c r="B15" i="2"/>
  <c r="B16" i="2" s="1"/>
  <c r="R7" i="6"/>
  <c r="E32" i="5"/>
  <c r="E30" i="5"/>
  <c r="E28" i="5"/>
  <c r="E33" i="5"/>
  <c r="E31" i="5"/>
  <c r="E26" i="5"/>
  <c r="E24" i="5"/>
  <c r="E25" i="5"/>
  <c r="E27" i="5"/>
  <c r="E34" i="5"/>
  <c r="X10" i="6"/>
  <c r="H24" i="5"/>
  <c r="C34" i="5"/>
  <c r="C33" i="5"/>
  <c r="C31" i="5"/>
  <c r="C30" i="5"/>
  <c r="C29" i="5"/>
  <c r="C32" i="5"/>
  <c r="C27" i="5"/>
  <c r="C26" i="5"/>
  <c r="C25" i="5"/>
  <c r="C28" i="5"/>
  <c r="C24" i="5"/>
  <c r="B24" i="5" s="1"/>
  <c r="S10" i="6"/>
  <c r="Q30" i="5"/>
  <c r="I27" i="5"/>
  <c r="M27" i="5"/>
  <c r="M29" i="5"/>
  <c r="M34" i="5"/>
  <c r="M25" i="5"/>
  <c r="M32" i="5"/>
  <c r="M28" i="5"/>
  <c r="M30" i="5"/>
  <c r="M24" i="5"/>
  <c r="E29" i="5"/>
  <c r="Q25" i="5"/>
  <c r="Q28" i="5"/>
  <c r="Q24" i="5"/>
  <c r="Q31" i="5"/>
  <c r="Q26" i="5"/>
  <c r="Q33" i="5"/>
  <c r="Q27" i="5"/>
  <c r="Q34" i="5"/>
  <c r="Q29" i="5"/>
  <c r="I32" i="5"/>
  <c r="I30" i="5"/>
  <c r="I33" i="5"/>
  <c r="I28" i="5"/>
  <c r="I26" i="5"/>
  <c r="I29" i="5"/>
  <c r="I31" i="5"/>
  <c r="W10" i="6"/>
  <c r="I34" i="5"/>
  <c r="M31" i="5"/>
  <c r="R11" i="6"/>
  <c r="X11" i="6"/>
  <c r="C9" i="5"/>
  <c r="T11" i="6"/>
  <c r="C5" i="5"/>
  <c r="M33" i="5"/>
  <c r="M26" i="5"/>
  <c r="Y11" i="6"/>
  <c r="B28" i="4"/>
  <c r="B35" i="4"/>
  <c r="K34" i="5"/>
  <c r="K27" i="5"/>
  <c r="K32" i="5"/>
  <c r="K29" i="5"/>
  <c r="K31" i="5"/>
  <c r="K28" i="5"/>
  <c r="B30" i="4"/>
  <c r="K33" i="5"/>
  <c r="K26" i="5"/>
  <c r="B25" i="5" l="1"/>
  <c r="B26" i="5" s="1"/>
  <c r="B27" i="5" s="1"/>
  <c r="B28" i="5" s="1"/>
  <c r="B29" i="5" s="1"/>
  <c r="B30" i="5" s="1"/>
  <c r="B31" i="5" s="1"/>
  <c r="B32" i="5" s="1"/>
  <c r="B33" i="5" s="1"/>
  <c r="B34" i="5" s="1"/>
  <c r="D24" i="5"/>
  <c r="G17" i="4"/>
  <c r="P11" i="6" s="1"/>
  <c r="G14" i="4"/>
  <c r="M9" i="6" s="1"/>
  <c r="N10" i="6"/>
  <c r="V10" i="6"/>
  <c r="U10" i="6"/>
  <c r="M10" i="6"/>
  <c r="K25" i="5"/>
  <c r="K30" i="5"/>
  <c r="K24" i="5"/>
  <c r="J24" i="5" s="1"/>
  <c r="I35" i="5"/>
  <c r="R6" i="6"/>
  <c r="J6" i="6"/>
  <c r="E12" i="6"/>
  <c r="E13" i="6"/>
  <c r="F12" i="6"/>
  <c r="G15" i="4"/>
  <c r="G13" i="6"/>
  <c r="G12" i="6"/>
  <c r="P8" i="6"/>
  <c r="L8" i="6"/>
  <c r="O8" i="6"/>
  <c r="K8" i="6"/>
  <c r="G10" i="4"/>
  <c r="N8" i="6"/>
  <c r="J8" i="6"/>
  <c r="J7" i="6"/>
  <c r="B9" i="2"/>
  <c r="J5" i="6" s="1"/>
  <c r="Q8" i="6"/>
  <c r="M8" i="6"/>
  <c r="O9" i="6"/>
  <c r="O11" i="6"/>
  <c r="I13" i="6"/>
  <c r="I12" i="6"/>
  <c r="H13" i="6"/>
  <c r="H12" i="6"/>
  <c r="C12" i="6"/>
  <c r="G12" i="4"/>
  <c r="C13" i="6"/>
  <c r="D12" i="6"/>
  <c r="D13" i="6"/>
  <c r="M11" i="6"/>
  <c r="Y10" i="6"/>
  <c r="G18" i="4"/>
  <c r="Q11" i="6" s="1"/>
  <c r="Q10" i="6"/>
  <c r="B35" i="5"/>
  <c r="H25" i="5"/>
  <c r="H26" i="5" s="1"/>
  <c r="H27" i="5" s="1"/>
  <c r="H28" i="5" s="1"/>
  <c r="H29" i="5" s="1"/>
  <c r="H30" i="5" s="1"/>
  <c r="H31" i="5" s="1"/>
  <c r="H32" i="5" s="1"/>
  <c r="H33" i="5" s="1"/>
  <c r="H34" i="5" s="1"/>
  <c r="E35" i="5"/>
  <c r="T10" i="6"/>
  <c r="L10" i="6"/>
  <c r="G13" i="4"/>
  <c r="J10" i="6"/>
  <c r="R10" i="6"/>
  <c r="O27" i="5"/>
  <c r="O30" i="5"/>
  <c r="O25" i="5"/>
  <c r="O32" i="5"/>
  <c r="O26" i="5"/>
  <c r="O28" i="5"/>
  <c r="O33" i="5"/>
  <c r="O31" i="5"/>
  <c r="O34" i="5"/>
  <c r="O24" i="5"/>
  <c r="O29" i="5"/>
  <c r="D25" i="5"/>
  <c r="D26" i="5" s="1"/>
  <c r="D27" i="5" s="1"/>
  <c r="D28" i="5" s="1"/>
  <c r="D29" i="5" s="1"/>
  <c r="D30" i="5" s="1"/>
  <c r="D31" i="5" s="1"/>
  <c r="D32" i="5" s="1"/>
  <c r="D33" i="5" s="1"/>
  <c r="D34" i="5" s="1"/>
  <c r="M35" i="5"/>
  <c r="L24" i="5"/>
  <c r="C35" i="5"/>
  <c r="G28" i="5"/>
  <c r="G27" i="5"/>
  <c r="G31" i="5"/>
  <c r="G26" i="5"/>
  <c r="G29" i="5"/>
  <c r="G25" i="5"/>
  <c r="G32" i="5"/>
  <c r="G34" i="5"/>
  <c r="G24" i="5"/>
  <c r="G30" i="5"/>
  <c r="G33" i="5"/>
  <c r="Q35" i="5"/>
  <c r="P24" i="5"/>
  <c r="G11" i="4"/>
  <c r="J25" i="5" l="1"/>
  <c r="J26" i="5" s="1"/>
  <c r="J27" i="5" s="1"/>
  <c r="J28" i="5" s="1"/>
  <c r="J29" i="5" s="1"/>
  <c r="J30" i="5" s="1"/>
  <c r="J31" i="5" s="1"/>
  <c r="J32" i="5" s="1"/>
  <c r="J33" i="5" s="1"/>
  <c r="J34" i="5" s="1"/>
  <c r="K35" i="5"/>
  <c r="K11" i="6"/>
  <c r="K9" i="6"/>
  <c r="N11" i="6"/>
  <c r="N9" i="6"/>
  <c r="J9" i="6"/>
  <c r="J11" i="6"/>
  <c r="P25" i="5"/>
  <c r="P26" i="5" s="1"/>
  <c r="P27" i="5" s="1"/>
  <c r="P28" i="5" s="1"/>
  <c r="P29" i="5" s="1"/>
  <c r="P30" i="5" s="1"/>
  <c r="P31" i="5" s="1"/>
  <c r="P32" i="5" s="1"/>
  <c r="P33" i="5" s="1"/>
  <c r="P34" i="5" s="1"/>
  <c r="G35" i="5"/>
  <c r="F24" i="5"/>
  <c r="D35" i="5"/>
  <c r="H35" i="5"/>
  <c r="R12" i="6"/>
  <c r="J12" i="6"/>
  <c r="J35" i="5"/>
  <c r="N24" i="5"/>
  <c r="O35" i="5"/>
  <c r="L9" i="6"/>
  <c r="L11" i="6"/>
  <c r="L25" i="5"/>
  <c r="L26" i="5" s="1"/>
  <c r="L27" i="5" s="1"/>
  <c r="L28" i="5" s="1"/>
  <c r="L29" i="5" s="1"/>
  <c r="L30" i="5" s="1"/>
  <c r="L31" i="5" s="1"/>
  <c r="L32" i="5" s="1"/>
  <c r="L33" i="5" s="1"/>
  <c r="L34" i="5" s="1"/>
  <c r="P35" i="5" l="1"/>
  <c r="Y12" i="6" s="1"/>
  <c r="R13" i="6"/>
  <c r="S12" i="6"/>
  <c r="K12" i="6"/>
  <c r="K13" i="6" s="1"/>
  <c r="N25" i="5"/>
  <c r="N26" i="5" s="1"/>
  <c r="N27" i="5" s="1"/>
  <c r="N28" i="5" s="1"/>
  <c r="N29" i="5" s="1"/>
  <c r="N30" i="5" s="1"/>
  <c r="N31" i="5" s="1"/>
  <c r="N32" i="5" s="1"/>
  <c r="N33" i="5" s="1"/>
  <c r="N34" i="5" s="1"/>
  <c r="F25" i="5"/>
  <c r="F26" i="5" s="1"/>
  <c r="F27" i="5" s="1"/>
  <c r="F28" i="5" s="1"/>
  <c r="F29" i="5" s="1"/>
  <c r="F30" i="5" s="1"/>
  <c r="F31" i="5" s="1"/>
  <c r="F32" i="5" s="1"/>
  <c r="F33" i="5" s="1"/>
  <c r="F34" i="5" s="1"/>
  <c r="J13" i="6"/>
  <c r="U12" i="6"/>
  <c r="M12" i="6"/>
  <c r="M13" i="6" s="1"/>
  <c r="L35" i="5"/>
  <c r="V12" i="6"/>
  <c r="N12" i="6"/>
  <c r="N13" i="6" s="1"/>
  <c r="S13" i="6" l="1"/>
  <c r="Q12" i="6"/>
  <c r="Q13" i="6" s="1"/>
  <c r="V13" i="6"/>
  <c r="U13" i="6"/>
  <c r="N35" i="5"/>
  <c r="W12" i="6"/>
  <c r="O12" i="6"/>
  <c r="O13" i="6" s="1"/>
  <c r="F35" i="5"/>
  <c r="W13" i="6" l="1"/>
  <c r="Y13" i="6"/>
  <c r="X12" i="6"/>
  <c r="P12" i="6"/>
  <c r="P13" i="6" s="1"/>
  <c r="T12" i="6"/>
  <c r="L12" i="6"/>
  <c r="L13" i="6" s="1"/>
  <c r="T13" i="6" l="1"/>
  <c r="X13" i="6"/>
</calcChain>
</file>

<file path=xl/sharedStrings.xml><?xml version="1.0" encoding="utf-8"?>
<sst xmlns="http://schemas.openxmlformats.org/spreadsheetml/2006/main" count="336" uniqueCount="94">
  <si>
    <t>Qprod</t>
  </si>
  <si>
    <t>[pares/año]</t>
  </si>
  <si>
    <t>Período de puesta en marcha</t>
  </si>
  <si>
    <t>[meses]</t>
  </si>
  <si>
    <t>Días del año</t>
  </si>
  <si>
    <t>[dias]</t>
  </si>
  <si>
    <t>Vacaciones</t>
  </si>
  <si>
    <t>Feriados</t>
  </si>
  <si>
    <t>Meses laborales</t>
  </si>
  <si>
    <t>1er Año</t>
  </si>
  <si>
    <t>Periodo</t>
  </si>
  <si>
    <t>Meses</t>
  </si>
  <si>
    <t>Ritmo de produccion Inical</t>
  </si>
  <si>
    <t>Ritmo de produccion Final</t>
  </si>
  <si>
    <t>Produccion Promedio</t>
  </si>
  <si>
    <t>Produccion mensual promedio</t>
  </si>
  <si>
    <t>Produccion propuesta</t>
  </si>
  <si>
    <t>Puesta en marcha</t>
  </si>
  <si>
    <t>[pares]</t>
  </si>
  <si>
    <t>Régimen</t>
  </si>
  <si>
    <t>TOTAL</t>
  </si>
  <si>
    <t>-</t>
  </si>
  <si>
    <t>2do a 5to Año</t>
  </si>
  <si>
    <t>Semanas Año</t>
  </si>
  <si>
    <t>[semanas]</t>
  </si>
  <si>
    <t>Semanas Vacaciones</t>
  </si>
  <si>
    <t>Semanas Feriados</t>
  </si>
  <si>
    <t>Semanas Operativas</t>
  </si>
  <si>
    <t>Ventas</t>
  </si>
  <si>
    <t>Stock PT</t>
  </si>
  <si>
    <t>Producción Semanal</t>
  </si>
  <si>
    <t>[pares/semana]</t>
  </si>
  <si>
    <t>Stock de Seguridad de PT</t>
  </si>
  <si>
    <t>(Se mantendrá un stock de PT equivalente al 5% de la producción en régime)</t>
  </si>
  <si>
    <t>Stock promedio elaborado</t>
  </si>
  <si>
    <t>(Stock generado en la puesta en marcha, se mantiene constante y siempre renovado)</t>
  </si>
  <si>
    <t>Q PT</t>
  </si>
  <si>
    <t>Q cuero</t>
  </si>
  <si>
    <t>[m2]</t>
  </si>
  <si>
    <t>Q forro</t>
  </si>
  <si>
    <t>Q plantillas</t>
  </si>
  <si>
    <t>Q aislante</t>
  </si>
  <si>
    <t>Q poliuretano AD</t>
  </si>
  <si>
    <t>[kg]</t>
  </si>
  <si>
    <t>Q poliuretano BD</t>
  </si>
  <si>
    <t>Q punteras</t>
  </si>
  <si>
    <t>[u]</t>
  </si>
  <si>
    <t>Q cordón</t>
  </si>
  <si>
    <t>[m]</t>
  </si>
  <si>
    <t>Resto del 1er Año</t>
  </si>
  <si>
    <t>Mercadería en Curso y Semielaborada</t>
  </si>
  <si>
    <t>Ciclos de elaboración</t>
  </si>
  <si>
    <t>hora</t>
  </si>
  <si>
    <t>Consumo Mensual de MP Mensual</t>
  </si>
  <si>
    <t>Stock de seguridad para 1 semana</t>
  </si>
  <si>
    <t>+</t>
  </si>
  <si>
    <t>Al ser todos los proveedores de MP locales, se recibirán las mismas en tiempo y forma dentro de los 5 días hábiles de realizado el pedido.</t>
  </si>
  <si>
    <t>Se mantendrá un stock de seguridad de MP equivalente a las cantidades necesarias para la producción de una semana, con el objetivo de preveer algún posible contratiempo en la recepción de las MP.</t>
  </si>
  <si>
    <t>Los pedidos se realizarán en la última semana de cada mes con las cantidades necesarias para producir el mes siguiente.</t>
  </si>
  <si>
    <t>Mes</t>
  </si>
  <si>
    <t>Cuero</t>
  </si>
  <si>
    <t>Forro</t>
  </si>
  <si>
    <t>Plantillas</t>
  </si>
  <si>
    <t>Aislante</t>
  </si>
  <si>
    <t>Pol. AD</t>
  </si>
  <si>
    <t>Pol.BD</t>
  </si>
  <si>
    <t>Puntera</t>
  </si>
  <si>
    <t>Cordon</t>
  </si>
  <si>
    <t>Stock</t>
  </si>
  <si>
    <t>Compra</t>
  </si>
  <si>
    <t>Totales</t>
  </si>
  <si>
    <t>Resumen</t>
  </si>
  <si>
    <t>Ítem</t>
  </si>
  <si>
    <t>Año 0</t>
  </si>
  <si>
    <t>Año 1</t>
  </si>
  <si>
    <t>Año 2 a 5</t>
  </si>
  <si>
    <t>Plantilla</t>
  </si>
  <si>
    <t>Poliur. AD</t>
  </si>
  <si>
    <t>Poliur. BD</t>
  </si>
  <si>
    <t>P.AD</t>
  </si>
  <si>
    <t>P.BD</t>
  </si>
  <si>
    <t>[Kg]</t>
  </si>
  <si>
    <t>Stock promedio de elaborado</t>
  </si>
  <si>
    <t>Producción</t>
  </si>
  <si>
    <t>Desperdicio no recuperable</t>
  </si>
  <si>
    <t>En curso y semielaborado</t>
  </si>
  <si>
    <t>Consumo de materia prima</t>
  </si>
  <si>
    <t>Stock de materia prima</t>
  </si>
  <si>
    <t>Compra de materia prima</t>
  </si>
  <si>
    <t>(La compra de MP a realizar en el año 0 es la equivalente a la necesaria para el período de puesta en marcha)</t>
  </si>
  <si>
    <t>(Se mantendrá un stock de MP de seguridad para el año 1 en adelante)</t>
  </si>
  <si>
    <t>Fin de semanas</t>
  </si>
  <si>
    <t>(Consideramos distribuidos los feriados del año y se tienen en cuenta las vacaciones en la programación de la producción, por lo tanto, al no tener paradas de producción por mantenimiento, las semanas laborales son 52)</t>
  </si>
  <si>
    <t>Se planifican 10 compras con lo necesario para la producción mensual en los meses de Febrero a Noviembre, y 2 compras para la mitad de las producciones mensuales en los meses de Diciembre y Enero, considerando que los meses operativos son 11 dados los 15 días de vacaciones y los 15 días feriados que para el análisis se los considera concentrados en el mes de diciembre por ser éste el mes de menor productividad en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</si>
</sst>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9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2" fillId="0" borderId="1" xfId="0" applyFont="1" applyBorder="1" applyAlignment="1">
      <alignment horizontal="center" vertical="center" wrapText="1"/>
    </xf>
    <xf numFmtId="0" fontId="0" fillId="0" borderId="4" xfId="0" applyBorder="1"/>
    <xf numFmtId="0" fontId="2" fillId="0" borderId="1" xfId="0" applyFont="1" applyBorder="1" applyAlignment="1">
      <alignment horizontal="center" vertical="center"/>
    </xf>
    <xf numFmtId="9" fontId="0" fillId="0" borderId="1" xfId="1" applyFont="1" applyBorder="1" applyAlignment="1">
      <alignment horizontal="center"/>
    </xf>
    <xf numFmtId="0" fontId="0" fillId="0" borderId="0" xfId="0" applyBorder="1"/>
    <xf numFmtId="3" fontId="2" fillId="0" borderId="0" xfId="0" applyNumberFormat="1" applyFont="1" applyBorder="1"/>
    <xf numFmtId="0" fontId="2" fillId="0" borderId="0" xfId="0" applyFont="1" applyBorder="1"/>
    <xf numFmtId="3" fontId="0" fillId="0" borderId="9" xfId="0" applyNumberFormat="1" applyBorder="1" applyAlignment="1">
      <alignment horizontal="center"/>
    </xf>
    <xf numFmtId="0" fontId="0" fillId="0" borderId="11" xfId="0" applyBorder="1"/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/>
    <xf numFmtId="3" fontId="2" fillId="0" borderId="3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8" xfId="0" applyBorder="1"/>
    <xf numFmtId="4" fontId="2" fillId="0" borderId="9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1" fontId="0" fillId="0" borderId="14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9" fontId="0" fillId="0" borderId="14" xfId="1" applyFont="1" applyBorder="1" applyAlignment="1">
      <alignment horizontal="center"/>
    </xf>
    <xf numFmtId="9" fontId="0" fillId="0" borderId="2" xfId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left"/>
    </xf>
    <xf numFmtId="1" fontId="2" fillId="0" borderId="0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Border="1"/>
    <xf numFmtId="3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Border="1" applyAlignment="1"/>
    <xf numFmtId="0" fontId="5" fillId="0" borderId="8" xfId="0" applyFont="1" applyBorder="1" applyAlignment="1"/>
    <xf numFmtId="4" fontId="0" fillId="0" borderId="11" xfId="0" applyNumberFormat="1" applyFill="1" applyBorder="1" applyAlignment="1">
      <alignment horizontal="center"/>
    </xf>
    <xf numFmtId="0" fontId="0" fillId="0" borderId="0" xfId="0" applyFill="1"/>
    <xf numFmtId="0" fontId="5" fillId="0" borderId="11" xfId="0" applyFont="1" applyFill="1" applyBorder="1"/>
    <xf numFmtId="3" fontId="0" fillId="0" borderId="11" xfId="0" applyNumberFormat="1" applyFill="1" applyBorder="1" applyAlignment="1">
      <alignment horizontal="center"/>
    </xf>
    <xf numFmtId="0" fontId="5" fillId="0" borderId="8" xfId="0" applyFont="1" applyFill="1" applyBorder="1" applyAlignment="1"/>
    <xf numFmtId="4" fontId="2" fillId="0" borderId="8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5" fillId="0" borderId="4" xfId="0" applyFont="1" applyFill="1" applyBorder="1"/>
    <xf numFmtId="4" fontId="0" fillId="0" borderId="4" xfId="0" applyNumberForma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0" xfId="0" applyFont="1" applyFill="1" applyBorder="1"/>
    <xf numFmtId="4" fontId="0" fillId="0" borderId="8" xfId="0" applyNumberForma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2" xfId="0" applyFont="1" applyFill="1" applyBorder="1"/>
    <xf numFmtId="2" fontId="0" fillId="0" borderId="8" xfId="0" applyNumberFormat="1" applyFill="1" applyBorder="1" applyAlignment="1">
      <alignment horizontal="center"/>
    </xf>
    <xf numFmtId="0" fontId="0" fillId="0" borderId="15" xfId="0" applyFill="1" applyBorder="1"/>
    <xf numFmtId="0" fontId="0" fillId="0" borderId="2" xfId="0" applyFill="1" applyBorder="1"/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14" xfId="0" applyBorder="1" applyAlignment="1">
      <alignment horizontal="center"/>
    </xf>
    <xf numFmtId="0" fontId="0" fillId="0" borderId="14" xfId="0" applyBorder="1"/>
    <xf numFmtId="4" fontId="0" fillId="0" borderId="13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0" fillId="0" borderId="30" xfId="1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28" xfId="1" applyNumberFormat="1" applyFont="1" applyBorder="1" applyAlignment="1">
      <alignment horizontal="center" vertical="center"/>
    </xf>
    <xf numFmtId="2" fontId="0" fillId="0" borderId="18" xfId="1" applyNumberFormat="1" applyFont="1" applyBorder="1" applyAlignment="1">
      <alignment horizontal="center" vertical="center"/>
    </xf>
    <xf numFmtId="2" fontId="0" fillId="0" borderId="29" xfId="1" applyNumberFormat="1" applyFont="1" applyBorder="1" applyAlignment="1">
      <alignment horizontal="center" vertical="center"/>
    </xf>
    <xf numFmtId="2" fontId="0" fillId="0" borderId="26" xfId="1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0" fillId="0" borderId="0" xfId="0" applyNumberFormat="1"/>
    <xf numFmtId="0" fontId="5" fillId="0" borderId="11" xfId="0" applyFont="1" applyFill="1" applyBorder="1" applyAlignment="1">
      <alignment horizontal="left"/>
    </xf>
    <xf numFmtId="0" fontId="0" fillId="0" borderId="2" xfId="0" applyBorder="1" applyAlignment="1">
      <alignment horizontal="center" vertical="center"/>
    </xf>
    <xf numFmtId="4" fontId="0" fillId="0" borderId="38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3" fontId="0" fillId="0" borderId="30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0" fillId="0" borderId="39" xfId="0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48" xfId="0" applyNumberFormat="1" applyBorder="1" applyAlignment="1">
      <alignment horizontal="center"/>
    </xf>
    <xf numFmtId="4" fontId="0" fillId="0" borderId="49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37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0" fontId="0" fillId="0" borderId="50" xfId="0" applyBorder="1"/>
    <xf numFmtId="0" fontId="0" fillId="0" borderId="51" xfId="0" applyBorder="1" applyAlignment="1">
      <alignment vertical="center"/>
    </xf>
    <xf numFmtId="0" fontId="0" fillId="0" borderId="50" xfId="0" applyBorder="1" applyAlignment="1">
      <alignment vertical="center"/>
    </xf>
    <xf numFmtId="4" fontId="2" fillId="0" borderId="3" xfId="0" applyNumberFormat="1" applyFont="1" applyBorder="1" applyAlignment="1">
      <alignment horizontal="center"/>
    </xf>
    <xf numFmtId="4" fontId="0" fillId="0" borderId="44" xfId="0" applyNumberFormat="1" applyBorder="1" applyAlignment="1">
      <alignment horizontal="center" vertical="center"/>
    </xf>
    <xf numFmtId="4" fontId="0" fillId="0" borderId="47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terminaci&#243;n%20de%20M&#225;quinas%20e%20Instalaciones%20-%20Ej%201%20a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Desperdicioes"/>
      <sheetName val="Proceso y Materiales"/>
      <sheetName val="Capacidad Anual"/>
      <sheetName val="Cantidad de Máquinas Operativas"/>
    </sheetNames>
    <sheetDataSet>
      <sheetData sheetId="0">
        <row r="8">
          <cell r="F8">
            <v>0.184</v>
          </cell>
          <cell r="O8">
            <v>0.04</v>
          </cell>
        </row>
        <row r="9">
          <cell r="B9">
            <v>8.6999999999999994E-2</v>
          </cell>
          <cell r="D9">
            <v>8.6999999999999994E-2</v>
          </cell>
          <cell r="F9">
            <v>0.184</v>
          </cell>
          <cell r="O9">
            <v>0.14285714285714285</v>
          </cell>
        </row>
        <row r="10">
          <cell r="B10">
            <v>7.0000000000000001E-3</v>
          </cell>
          <cell r="D10">
            <v>7.0000000000000001E-3</v>
          </cell>
          <cell r="F10">
            <v>3.3119999999999997E-2</v>
          </cell>
          <cell r="O10">
            <v>0.16</v>
          </cell>
        </row>
        <row r="11">
          <cell r="F11">
            <v>0.184</v>
          </cell>
          <cell r="O11">
            <v>1.6666666666666666E-2</v>
          </cell>
        </row>
        <row r="12">
          <cell r="F12">
            <v>0.248</v>
          </cell>
          <cell r="O12">
            <v>1.3888888888888888E-2</v>
          </cell>
        </row>
        <row r="13">
          <cell r="F13">
            <v>0.44700000000000001</v>
          </cell>
          <cell r="O13">
            <v>1.6666666666666666E-2</v>
          </cell>
        </row>
        <row r="14">
          <cell r="F14">
            <v>2</v>
          </cell>
          <cell r="O14">
            <v>3.3333333333333333E-2</v>
          </cell>
        </row>
        <row r="15">
          <cell r="F15">
            <v>1.7</v>
          </cell>
        </row>
      </sheetData>
      <sheetData sheetId="1"/>
      <sheetData sheetId="2">
        <row r="12">
          <cell r="C12">
            <v>100000</v>
          </cell>
        </row>
        <row r="13">
          <cell r="C13">
            <v>20000.8</v>
          </cell>
          <cell r="AD13">
            <v>18400</v>
          </cell>
        </row>
        <row r="14">
          <cell r="C14">
            <v>20000.8</v>
          </cell>
          <cell r="AD14">
            <v>18400</v>
          </cell>
        </row>
        <row r="15">
          <cell r="C15">
            <v>3600.1439999999993</v>
          </cell>
          <cell r="AD15">
            <v>3311.9999999999995</v>
          </cell>
        </row>
        <row r="16">
          <cell r="C16">
            <v>20000.8</v>
          </cell>
          <cell r="AD16">
            <v>18400</v>
          </cell>
        </row>
        <row r="17">
          <cell r="C17">
            <v>24973.599999999999</v>
          </cell>
          <cell r="AD17">
            <v>24800</v>
          </cell>
        </row>
        <row r="18">
          <cell r="C18">
            <v>45012.899999999994</v>
          </cell>
          <cell r="AD18">
            <v>44700</v>
          </cell>
        </row>
        <row r="19">
          <cell r="C19">
            <v>200000</v>
          </cell>
          <cell r="AD19">
            <v>200000</v>
          </cell>
        </row>
        <row r="20">
          <cell r="C20">
            <v>170000</v>
          </cell>
          <cell r="AD20">
            <v>170000</v>
          </cell>
        </row>
        <row r="24">
          <cell r="C24">
            <v>1600.7999999999993</v>
          </cell>
        </row>
        <row r="25">
          <cell r="C25">
            <v>1600.7999999999993</v>
          </cell>
        </row>
        <row r="26">
          <cell r="C26">
            <v>288.14399999999978</v>
          </cell>
        </row>
        <row r="27">
          <cell r="C27">
            <v>1600.7999999999993</v>
          </cell>
        </row>
        <row r="28">
          <cell r="C28">
            <v>173.59999999999854</v>
          </cell>
        </row>
        <row r="29">
          <cell r="C29">
            <v>312.89999999999418</v>
          </cell>
        </row>
      </sheetData>
      <sheetData sheetId="3">
        <row r="2">
          <cell r="C2">
            <v>1832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7" sqref="B7"/>
    </sheetView>
  </sheetViews>
  <sheetFormatPr baseColWidth="10" defaultColWidth="11.42578125" defaultRowHeight="15" x14ac:dyDescent="0.25"/>
  <cols>
    <col min="1" max="1" width="20" customWidth="1"/>
    <col min="7" max="7" width="10.7109375" customWidth="1"/>
    <col min="8" max="8" width="12" customWidth="1"/>
  </cols>
  <sheetData>
    <row r="1" spans="1:9" ht="15.75" thickBot="1" x14ac:dyDescent="0.3"/>
    <row r="2" spans="1:9" ht="15.75" thickBot="1" x14ac:dyDescent="0.3">
      <c r="A2" s="13" t="s">
        <v>0</v>
      </c>
      <c r="B2" s="164">
        <v>100000</v>
      </c>
      <c r="C2" s="30" t="s">
        <v>1</v>
      </c>
      <c r="E2" s="166" t="s">
        <v>2</v>
      </c>
      <c r="F2" s="167"/>
      <c r="G2" s="167"/>
      <c r="H2" s="215">
        <v>3</v>
      </c>
      <c r="I2" s="118" t="s">
        <v>3</v>
      </c>
    </row>
    <row r="3" spans="1:9" x14ac:dyDescent="0.25">
      <c r="A3" s="14" t="s">
        <v>4</v>
      </c>
      <c r="B3" s="52">
        <v>365</v>
      </c>
      <c r="C3" s="31" t="s">
        <v>5</v>
      </c>
    </row>
    <row r="4" spans="1:9" x14ac:dyDescent="0.25">
      <c r="A4" s="79" t="s">
        <v>6</v>
      </c>
      <c r="B4" s="165">
        <v>15</v>
      </c>
      <c r="C4" s="44" t="s">
        <v>5</v>
      </c>
      <c r="D4" s="56"/>
    </row>
    <row r="5" spans="1:9" x14ac:dyDescent="0.25">
      <c r="A5" s="79" t="s">
        <v>7</v>
      </c>
      <c r="B5" s="165">
        <v>15</v>
      </c>
      <c r="C5" s="44" t="s">
        <v>5</v>
      </c>
      <c r="D5" s="56"/>
    </row>
    <row r="6" spans="1:9" x14ac:dyDescent="0.25">
      <c r="A6" s="79" t="s">
        <v>8</v>
      </c>
      <c r="B6" s="165">
        <v>11</v>
      </c>
      <c r="C6" s="44" t="s">
        <v>3</v>
      </c>
      <c r="D6" s="56"/>
    </row>
    <row r="7" spans="1:9" ht="15.75" thickBot="1" x14ac:dyDescent="0.3">
      <c r="A7" s="80" t="s">
        <v>91</v>
      </c>
      <c r="B7" s="40">
        <v>106</v>
      </c>
      <c r="C7" s="45" t="s">
        <v>5</v>
      </c>
    </row>
    <row r="8" spans="1:9" x14ac:dyDescent="0.25">
      <c r="B8" s="1"/>
    </row>
    <row r="9" spans="1:9" ht="19.5" thickBot="1" x14ac:dyDescent="0.35">
      <c r="A9" s="34" t="s">
        <v>9</v>
      </c>
    </row>
    <row r="10" spans="1:9" ht="45.75" thickBot="1" x14ac:dyDescent="0.3">
      <c r="A10" s="17" t="s">
        <v>10</v>
      </c>
      <c r="B10" s="18" t="s">
        <v>11</v>
      </c>
      <c r="C10" s="18" t="s">
        <v>12</v>
      </c>
      <c r="D10" s="18" t="s">
        <v>13</v>
      </c>
      <c r="E10" s="18" t="s">
        <v>14</v>
      </c>
      <c r="F10" s="18" t="s">
        <v>15</v>
      </c>
      <c r="G10" s="168" t="s">
        <v>16</v>
      </c>
      <c r="H10" s="169"/>
    </row>
    <row r="11" spans="1:9" x14ac:dyDescent="0.25">
      <c r="A11" s="19" t="s">
        <v>17</v>
      </c>
      <c r="B11" s="23">
        <f>H2</f>
        <v>3</v>
      </c>
      <c r="C11" s="25">
        <v>0</v>
      </c>
      <c r="D11" s="25">
        <v>1</v>
      </c>
      <c r="E11" s="25">
        <f>(C11+D11)/2</f>
        <v>0.5</v>
      </c>
      <c r="F11" s="27">
        <f>$B$2/$B$6</f>
        <v>9090.9090909090901</v>
      </c>
      <c r="G11" s="20">
        <f>E11*F11*B11</f>
        <v>13636.363636363636</v>
      </c>
      <c r="H11" s="48" t="s">
        <v>18</v>
      </c>
    </row>
    <row r="12" spans="1:9" ht="15.75" thickBot="1" x14ac:dyDescent="0.3">
      <c r="A12" s="4" t="s">
        <v>19</v>
      </c>
      <c r="B12" s="24">
        <f>B6-H2</f>
        <v>8</v>
      </c>
      <c r="C12" s="26">
        <v>1</v>
      </c>
      <c r="D12" s="26">
        <v>1</v>
      </c>
      <c r="E12" s="26">
        <v>1</v>
      </c>
      <c r="F12" s="28">
        <f>$B$2/$B$6</f>
        <v>9090.9090909090901</v>
      </c>
      <c r="G12" s="22">
        <f>F12*E12*B12</f>
        <v>72727.272727272721</v>
      </c>
      <c r="H12" s="49" t="s">
        <v>18</v>
      </c>
    </row>
    <row r="13" spans="1:9" ht="15.75" thickBot="1" x14ac:dyDescent="0.3">
      <c r="A13" s="4" t="s">
        <v>20</v>
      </c>
      <c r="B13" s="124" t="s">
        <v>21</v>
      </c>
      <c r="C13" s="124" t="s">
        <v>21</v>
      </c>
      <c r="D13" s="124" t="s">
        <v>21</v>
      </c>
      <c r="E13" s="124" t="s">
        <v>21</v>
      </c>
      <c r="F13" s="124" t="s">
        <v>21</v>
      </c>
      <c r="G13" s="21">
        <f>ROUNDDOWN(SUM(G11:G12),0)</f>
        <v>86363</v>
      </c>
      <c r="H13" s="49" t="s">
        <v>18</v>
      </c>
    </row>
    <row r="14" spans="1:9" x14ac:dyDescent="0.25">
      <c r="A14" s="7"/>
      <c r="B14" s="7"/>
      <c r="C14" s="7"/>
      <c r="D14" s="7"/>
      <c r="E14" s="7"/>
      <c r="F14" s="7"/>
      <c r="G14" s="8"/>
      <c r="H14" s="9"/>
    </row>
    <row r="16" spans="1:9" ht="19.5" thickBot="1" x14ac:dyDescent="0.35">
      <c r="A16" s="34" t="s">
        <v>22</v>
      </c>
    </row>
    <row r="17" spans="1:8" ht="45.75" thickBot="1" x14ac:dyDescent="0.3">
      <c r="A17" s="5" t="s">
        <v>10</v>
      </c>
      <c r="B17" s="3" t="s">
        <v>11</v>
      </c>
      <c r="C17" s="3" t="s">
        <v>12</v>
      </c>
      <c r="D17" s="3" t="s">
        <v>13</v>
      </c>
      <c r="E17" s="3" t="s">
        <v>14</v>
      </c>
      <c r="F17" s="3" t="s">
        <v>15</v>
      </c>
      <c r="G17" s="170" t="s">
        <v>16</v>
      </c>
      <c r="H17" s="171"/>
    </row>
    <row r="18" spans="1:8" ht="15.75" thickBot="1" x14ac:dyDescent="0.3">
      <c r="A18" s="2" t="s">
        <v>19</v>
      </c>
      <c r="B18" s="33">
        <f>B6</f>
        <v>11</v>
      </c>
      <c r="C18" s="6">
        <v>1</v>
      </c>
      <c r="D18" s="6">
        <v>1</v>
      </c>
      <c r="E18" s="6">
        <v>1</v>
      </c>
      <c r="F18" s="16">
        <f>$B$2/$B$6</f>
        <v>9090.9090909090901</v>
      </c>
      <c r="G18" s="15">
        <f>F18*E18*B18</f>
        <v>99999.999999999985</v>
      </c>
      <c r="H18" s="50" t="s">
        <v>1</v>
      </c>
    </row>
  </sheetData>
  <mergeCells count="3">
    <mergeCell ref="E2:G2"/>
    <mergeCell ref="G10:H10"/>
    <mergeCell ref="G17:H1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G28" sqref="G28"/>
    </sheetView>
  </sheetViews>
  <sheetFormatPr baseColWidth="10" defaultColWidth="11.42578125" defaultRowHeight="15" x14ac:dyDescent="0.25"/>
  <cols>
    <col min="1" max="1" width="25.28515625" customWidth="1"/>
    <col min="2" max="2" width="12.42578125" customWidth="1"/>
    <col min="3" max="3" width="15.7109375" customWidth="1"/>
    <col min="4" max="4" width="3.5703125" customWidth="1"/>
    <col min="5" max="5" width="24.5703125" customWidth="1"/>
    <col min="6" max="6" width="25.28515625" style="1" customWidth="1"/>
    <col min="7" max="7" width="12.42578125" customWidth="1"/>
    <col min="8" max="8" width="15.7109375" customWidth="1"/>
  </cols>
  <sheetData>
    <row r="1" spans="1:15" ht="15" customHeight="1" thickBot="1" x14ac:dyDescent="0.35">
      <c r="E1" s="35"/>
      <c r="F1" s="12"/>
      <c r="G1" s="7"/>
      <c r="H1" s="7"/>
      <c r="I1" s="7"/>
      <c r="J1" s="7"/>
      <c r="K1" s="7"/>
      <c r="L1" s="7"/>
      <c r="M1" s="7"/>
      <c r="N1" s="7"/>
      <c r="O1" s="7"/>
    </row>
    <row r="2" spans="1:15" x14ac:dyDescent="0.25">
      <c r="A2" s="29" t="s">
        <v>23</v>
      </c>
      <c r="B2" s="39">
        <v>52</v>
      </c>
      <c r="C2" s="30" t="s">
        <v>24</v>
      </c>
      <c r="E2" s="12"/>
      <c r="F2" s="12"/>
      <c r="G2" s="7"/>
      <c r="H2" s="7"/>
      <c r="I2" s="7"/>
      <c r="J2" s="7"/>
      <c r="K2" s="7"/>
      <c r="L2" s="7"/>
      <c r="M2" s="7"/>
      <c r="N2" s="7"/>
      <c r="O2" s="7"/>
    </row>
    <row r="3" spans="1:15" x14ac:dyDescent="0.25">
      <c r="A3" s="11" t="s">
        <v>25</v>
      </c>
      <c r="B3" s="52">
        <v>2</v>
      </c>
      <c r="C3" s="31" t="s">
        <v>24</v>
      </c>
      <c r="E3" s="7"/>
      <c r="F3" s="12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11" t="s">
        <v>26</v>
      </c>
      <c r="B4" s="52">
        <v>2</v>
      </c>
      <c r="C4" s="31" t="s">
        <v>24</v>
      </c>
      <c r="E4" s="7"/>
      <c r="F4" s="38"/>
      <c r="G4" s="9"/>
      <c r="H4" s="7"/>
      <c r="I4" s="41"/>
      <c r="J4" s="7"/>
      <c r="K4" s="7"/>
      <c r="L4" s="7"/>
      <c r="M4" s="7"/>
      <c r="N4" s="7"/>
      <c r="O4" s="7"/>
    </row>
    <row r="5" spans="1:15" ht="15.75" thickBot="1" x14ac:dyDescent="0.3">
      <c r="A5" s="4" t="s">
        <v>27</v>
      </c>
      <c r="B5" s="216">
        <f>B2</f>
        <v>52</v>
      </c>
      <c r="C5" s="32" t="s">
        <v>24</v>
      </c>
      <c r="E5" s="89" t="s">
        <v>92</v>
      </c>
    </row>
    <row r="6" spans="1:15" x14ac:dyDescent="0.25">
      <c r="A6" s="7"/>
      <c r="B6" s="12"/>
      <c r="C6" s="12"/>
    </row>
    <row r="7" spans="1:15" x14ac:dyDescent="0.25">
      <c r="A7" s="7"/>
      <c r="B7" s="12"/>
    </row>
    <row r="8" spans="1:15" ht="19.5" thickBot="1" x14ac:dyDescent="0.35">
      <c r="A8" s="34" t="s">
        <v>28</v>
      </c>
    </row>
    <row r="9" spans="1:15" x14ac:dyDescent="0.25">
      <c r="A9" s="13" t="s">
        <v>9</v>
      </c>
      <c r="B9" s="51">
        <f>'Evolucion Produccion'!$G$13-'Evolucion Stock y Ventas'!$B$16</f>
        <v>82901</v>
      </c>
      <c r="C9" s="48" t="s">
        <v>1</v>
      </c>
    </row>
    <row r="10" spans="1:15" ht="15.75" thickBot="1" x14ac:dyDescent="0.3">
      <c r="A10" s="85" t="s">
        <v>19</v>
      </c>
      <c r="B10" s="21">
        <f>'Evolucion Produccion'!$G$18</f>
        <v>99999.999999999985</v>
      </c>
      <c r="C10" s="49" t="s">
        <v>1</v>
      </c>
    </row>
    <row r="13" spans="1:15" ht="19.5" thickBot="1" x14ac:dyDescent="0.35">
      <c r="A13" s="34" t="s">
        <v>29</v>
      </c>
      <c r="B13" s="1"/>
    </row>
    <row r="14" spans="1:15" x14ac:dyDescent="0.25">
      <c r="A14" s="13" t="s">
        <v>30</v>
      </c>
      <c r="B14" s="10">
        <f>ROUNDUP('Evolucion Produccion'!B2/B5,0)</f>
        <v>1924</v>
      </c>
      <c r="C14" s="30" t="s">
        <v>31</v>
      </c>
      <c r="D14" s="7"/>
    </row>
    <row r="15" spans="1:15" x14ac:dyDescent="0.25">
      <c r="A15" s="84" t="s">
        <v>32</v>
      </c>
      <c r="B15" s="83">
        <f>0.05*'Evolucion Produccion'!G18</f>
        <v>5000</v>
      </c>
      <c r="C15" s="31" t="s">
        <v>31</v>
      </c>
      <c r="D15" s="7"/>
      <c r="E15" s="89" t="s">
        <v>33</v>
      </c>
    </row>
    <row r="16" spans="1:15" ht="15.75" thickBot="1" x14ac:dyDescent="0.3">
      <c r="A16" s="85" t="s">
        <v>34</v>
      </c>
      <c r="B16" s="21">
        <f>(B14+B15)/2</f>
        <v>3462</v>
      </c>
      <c r="C16" s="49" t="s">
        <v>31</v>
      </c>
      <c r="D16" s="9"/>
      <c r="E16" s="37" t="s">
        <v>35</v>
      </c>
    </row>
    <row r="17" spans="1:6" x14ac:dyDescent="0.25">
      <c r="A17" s="87"/>
      <c r="B17" s="81"/>
      <c r="C17" s="82"/>
      <c r="D17" s="9"/>
      <c r="E17" s="37"/>
    </row>
    <row r="18" spans="1:6" x14ac:dyDescent="0.25">
      <c r="F18"/>
    </row>
    <row r="19" spans="1:6" x14ac:dyDescent="0.25">
      <c r="F19"/>
    </row>
    <row r="20" spans="1:6" x14ac:dyDescent="0.25">
      <c r="F20"/>
    </row>
    <row r="21" spans="1:6" x14ac:dyDescent="0.25">
      <c r="F21"/>
    </row>
    <row r="22" spans="1:6" x14ac:dyDescent="0.25">
      <c r="F22"/>
    </row>
    <row r="23" spans="1:6" x14ac:dyDescent="0.25">
      <c r="F23"/>
    </row>
    <row r="24" spans="1:6" x14ac:dyDescent="0.25">
      <c r="F24"/>
    </row>
    <row r="25" spans="1:6" x14ac:dyDescent="0.25">
      <c r="F25"/>
    </row>
    <row r="26" spans="1:6" x14ac:dyDescent="0.25">
      <c r="F26"/>
    </row>
    <row r="27" spans="1:6" x14ac:dyDescent="0.25">
      <c r="F27"/>
    </row>
    <row r="28" spans="1:6" x14ac:dyDescent="0.25">
      <c r="F28"/>
    </row>
    <row r="29" spans="1:6" x14ac:dyDescent="0.25">
      <c r="F29"/>
    </row>
    <row r="30" spans="1:6" x14ac:dyDescent="0.25">
      <c r="F30"/>
    </row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zoomScaleNormal="100" workbookViewId="0">
      <selection activeCell="F28" sqref="F28"/>
    </sheetView>
  </sheetViews>
  <sheetFormatPr baseColWidth="10" defaultColWidth="11.42578125" defaultRowHeight="15" x14ac:dyDescent="0.25"/>
  <cols>
    <col min="1" max="1" width="21" customWidth="1"/>
    <col min="2" max="2" width="16.140625" customWidth="1"/>
    <col min="3" max="3" width="10.140625" customWidth="1"/>
    <col min="6" max="6" width="18" customWidth="1"/>
    <col min="7" max="7" width="11.140625" customWidth="1"/>
    <col min="8" max="8" width="10.140625" customWidth="1"/>
    <col min="9" max="9" width="11.42578125" customWidth="1"/>
    <col min="10" max="10" width="18" customWidth="1"/>
    <col min="11" max="11" width="11.140625" customWidth="1"/>
    <col min="12" max="12" width="10.140625" customWidth="1"/>
  </cols>
  <sheetData>
    <row r="2" spans="1:13" ht="16.5" customHeight="1" thickBot="1" x14ac:dyDescent="0.35">
      <c r="A2" s="172" t="s">
        <v>2</v>
      </c>
      <c r="B2" s="172"/>
      <c r="C2" s="172"/>
      <c r="M2" s="53"/>
    </row>
    <row r="3" spans="1:13" ht="15.75" customHeight="1" x14ac:dyDescent="0.25">
      <c r="A3" s="54" t="s">
        <v>36</v>
      </c>
      <c r="B3" s="46">
        <f>'Evolucion Produccion'!G11</f>
        <v>13636.363636363636</v>
      </c>
      <c r="C3" s="42" t="s">
        <v>18</v>
      </c>
    </row>
    <row r="4" spans="1:13" ht="15.75" customHeight="1" x14ac:dyDescent="0.25">
      <c r="A4" s="43" t="s">
        <v>37</v>
      </c>
      <c r="B4" s="47">
        <f>'Evolucion Produccion'!$G$11*[1]Datos!$F8*(1+[1]Datos!$B$9:$C$9)</f>
        <v>2727.3818181818178</v>
      </c>
      <c r="C4" s="31" t="s">
        <v>38</v>
      </c>
    </row>
    <row r="5" spans="1:13" ht="15.75" x14ac:dyDescent="0.25">
      <c r="A5" s="43" t="s">
        <v>39</v>
      </c>
      <c r="B5" s="47">
        <f>'Evolucion Produccion'!$G$11*[1]Datos!$F9*(1+[1]Datos!$B$9:$C$9)</f>
        <v>2727.3818181818178</v>
      </c>
      <c r="C5" s="31" t="s">
        <v>38</v>
      </c>
    </row>
    <row r="6" spans="1:13" ht="15.75" x14ac:dyDescent="0.25">
      <c r="A6" s="43" t="s">
        <v>40</v>
      </c>
      <c r="B6" s="47">
        <f>'Evolucion Produccion'!$G$11*[1]Datos!$F10*(1+[1]Datos!$B$9:$C$9)</f>
        <v>490.9287272727272</v>
      </c>
      <c r="C6" s="31" t="s">
        <v>38</v>
      </c>
    </row>
    <row r="7" spans="1:13" ht="15.75" x14ac:dyDescent="0.25">
      <c r="A7" s="123" t="s">
        <v>41</v>
      </c>
      <c r="B7" s="55">
        <f>'Evolucion Produccion'!$G$11*[1]Datos!$F11*(1+[1]Datos!$B$9:$C$9)</f>
        <v>2727.3818181818178</v>
      </c>
      <c r="C7" s="44" t="s">
        <v>38</v>
      </c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15.75" x14ac:dyDescent="0.25">
      <c r="A8" s="57" t="s">
        <v>42</v>
      </c>
      <c r="B8" s="55">
        <f>'Evolucion Produccion'!$G$11*[1]Datos!$F12*(1+[1]Datos!$B$10:$C$10)</f>
        <v>3405.4909090909086</v>
      </c>
      <c r="C8" s="44" t="s">
        <v>43</v>
      </c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ht="19.5" thickBot="1" x14ac:dyDescent="0.35">
      <c r="A9" s="57" t="s">
        <v>44</v>
      </c>
      <c r="B9" s="55">
        <f>'Evolucion Produccion'!$G$11*[1]Datos!$F13*(1+[1]Datos!$B$10:$C$10)</f>
        <v>6138.1227272727265</v>
      </c>
      <c r="C9" s="44" t="s">
        <v>43</v>
      </c>
      <c r="D9" s="56"/>
      <c r="E9" s="56"/>
      <c r="F9" s="173" t="s">
        <v>9</v>
      </c>
      <c r="G9" s="173"/>
      <c r="H9" s="173"/>
      <c r="I9" s="56"/>
      <c r="J9" s="173" t="s">
        <v>22</v>
      </c>
      <c r="K9" s="173"/>
      <c r="L9" s="173"/>
      <c r="M9" s="56"/>
    </row>
    <row r="10" spans="1:13" ht="15.75" x14ac:dyDescent="0.25">
      <c r="A10" s="57" t="s">
        <v>45</v>
      </c>
      <c r="B10" s="58">
        <f>ROUNDDOWN('Evolucion Produccion'!$G$11*[1]Datos!$F14,0)</f>
        <v>27272</v>
      </c>
      <c r="C10" s="44" t="s">
        <v>46</v>
      </c>
      <c r="D10" s="56"/>
      <c r="E10" s="56"/>
      <c r="F10" s="59" t="s">
        <v>36</v>
      </c>
      <c r="G10" s="60">
        <f>'Evolucion Produccion'!$G$13</f>
        <v>86363</v>
      </c>
      <c r="H10" s="61" t="s">
        <v>18</v>
      </c>
      <c r="I10" s="56"/>
      <c r="J10" s="59" t="s">
        <v>36</v>
      </c>
      <c r="K10" s="60">
        <f>'[1]Proceso y Materiales'!$C$12</f>
        <v>100000</v>
      </c>
      <c r="L10" s="61" t="s">
        <v>18</v>
      </c>
      <c r="M10" s="56"/>
    </row>
    <row r="11" spans="1:13" ht="16.5" thickBot="1" x14ac:dyDescent="0.3">
      <c r="A11" s="62" t="s">
        <v>47</v>
      </c>
      <c r="B11" s="63">
        <f>'Evolucion Produccion'!$G$11*[1]Datos!$F15</f>
        <v>23181.81818181818</v>
      </c>
      <c r="C11" s="45" t="s">
        <v>48</v>
      </c>
      <c r="D11" s="56"/>
      <c r="E11" s="56"/>
      <c r="F11" s="123" t="s">
        <v>37</v>
      </c>
      <c r="G11" s="64">
        <f>$B4+$B16+$B28</f>
        <v>17278.112692735209</v>
      </c>
      <c r="H11" s="65" t="s">
        <v>38</v>
      </c>
      <c r="I11" s="56"/>
      <c r="J11" s="123" t="s">
        <v>37</v>
      </c>
      <c r="K11" s="64">
        <f>'[1]Proceso y Materiales'!$C13</f>
        <v>20000.8</v>
      </c>
      <c r="L11" s="65" t="s">
        <v>38</v>
      </c>
      <c r="M11" s="56"/>
    </row>
    <row r="12" spans="1:13" ht="15.75" x14ac:dyDescent="0.25">
      <c r="A12" s="56"/>
      <c r="B12" s="56"/>
      <c r="C12" s="56"/>
      <c r="D12" s="56"/>
      <c r="E12" s="56"/>
      <c r="F12" s="123" t="s">
        <v>39</v>
      </c>
      <c r="G12" s="64">
        <f>$B5+$B17+$B29</f>
        <v>17278.112692735209</v>
      </c>
      <c r="H12" s="65" t="s">
        <v>38</v>
      </c>
      <c r="I12" s="56"/>
      <c r="J12" s="123" t="s">
        <v>39</v>
      </c>
      <c r="K12" s="64">
        <f>'[1]Proceso y Materiales'!$C14</f>
        <v>20000.8</v>
      </c>
      <c r="L12" s="65" t="s">
        <v>38</v>
      </c>
      <c r="M12" s="56"/>
    </row>
    <row r="13" spans="1:13" ht="15.75" x14ac:dyDescent="0.25">
      <c r="A13" s="56"/>
      <c r="B13" s="56"/>
      <c r="C13" s="56"/>
      <c r="D13" s="56"/>
      <c r="E13" s="56"/>
      <c r="F13" s="123" t="s">
        <v>40</v>
      </c>
      <c r="G13" s="64">
        <f>$B6+$B18+$B30</f>
        <v>3110.0602846923371</v>
      </c>
      <c r="H13" s="65" t="s">
        <v>38</v>
      </c>
      <c r="I13" s="56"/>
      <c r="J13" s="123" t="s">
        <v>40</v>
      </c>
      <c r="K13" s="64">
        <f>'[1]Proceso y Materiales'!$C15</f>
        <v>3600.1439999999993</v>
      </c>
      <c r="L13" s="65" t="s">
        <v>38</v>
      </c>
      <c r="M13" s="56"/>
    </row>
    <row r="14" spans="1:13" ht="19.5" thickBot="1" x14ac:dyDescent="0.35">
      <c r="A14" s="66" t="s">
        <v>49</v>
      </c>
      <c r="B14" s="56"/>
      <c r="C14" s="56"/>
      <c r="D14" s="56"/>
      <c r="E14" s="56"/>
      <c r="F14" s="123" t="s">
        <v>41</v>
      </c>
      <c r="G14" s="64">
        <f t="shared" ref="G14:G18" si="0">$B7+$B19+$B31</f>
        <v>17278.112692735209</v>
      </c>
      <c r="H14" s="65" t="s">
        <v>38</v>
      </c>
      <c r="I14" s="56"/>
      <c r="J14" s="123" t="s">
        <v>41</v>
      </c>
      <c r="K14" s="64">
        <f>'[1]Proceso y Materiales'!$C16</f>
        <v>20000.8</v>
      </c>
      <c r="L14" s="65" t="s">
        <v>38</v>
      </c>
      <c r="M14" s="56"/>
    </row>
    <row r="15" spans="1:13" ht="15.75" x14ac:dyDescent="0.25">
      <c r="A15" s="59" t="s">
        <v>36</v>
      </c>
      <c r="B15" s="67">
        <f>'Evolucion Produccion'!$G$12</f>
        <v>72727.272727272721</v>
      </c>
      <c r="C15" s="68" t="s">
        <v>18</v>
      </c>
      <c r="D15" s="56"/>
      <c r="E15" s="56"/>
      <c r="F15" s="57" t="s">
        <v>42</v>
      </c>
      <c r="G15" s="64">
        <f t="shared" si="0"/>
        <v>21573.97079833267</v>
      </c>
      <c r="H15" s="65" t="s">
        <v>43</v>
      </c>
      <c r="I15" s="56"/>
      <c r="J15" s="57" t="s">
        <v>42</v>
      </c>
      <c r="K15" s="64">
        <f>'[1]Proceso y Materiales'!$C17</f>
        <v>24973.599999999999</v>
      </c>
      <c r="L15" s="65" t="s">
        <v>43</v>
      </c>
      <c r="M15" s="56"/>
    </row>
    <row r="16" spans="1:13" ht="15.75" x14ac:dyDescent="0.25">
      <c r="A16" s="123" t="s">
        <v>37</v>
      </c>
      <c r="B16" s="55">
        <f>'Evolucion Produccion'!$G$12*[1]Datos!$F8*(1+[1]Datos!$B$9:$C$9)</f>
        <v>14546.036363636362</v>
      </c>
      <c r="C16" s="44" t="s">
        <v>38</v>
      </c>
      <c r="D16" s="56"/>
      <c r="E16" s="56"/>
      <c r="F16" s="57" t="s">
        <v>44</v>
      </c>
      <c r="G16" s="64">
        <f t="shared" si="0"/>
        <v>38885.342527639928</v>
      </c>
      <c r="H16" s="65" t="s">
        <v>43</v>
      </c>
      <c r="I16" s="56"/>
      <c r="J16" s="57" t="s">
        <v>44</v>
      </c>
      <c r="K16" s="64">
        <f>'[1]Proceso y Materiales'!$C18</f>
        <v>45012.899999999994</v>
      </c>
      <c r="L16" s="65" t="s">
        <v>43</v>
      </c>
      <c r="M16" s="56"/>
    </row>
    <row r="17" spans="1:13" ht="15.75" x14ac:dyDescent="0.25">
      <c r="A17" s="123" t="s">
        <v>39</v>
      </c>
      <c r="B17" s="55">
        <f>'Evolucion Produccion'!$G$12*[1]Datos!$F9*(1+[1]Datos!$B$9:$C$9)</f>
        <v>14546.036363636362</v>
      </c>
      <c r="C17" s="44" t="s">
        <v>38</v>
      </c>
      <c r="D17" s="56"/>
      <c r="E17" s="56"/>
      <c r="F17" s="57" t="s">
        <v>45</v>
      </c>
      <c r="G17" s="64">
        <f t="shared" si="0"/>
        <v>172772.94323144105</v>
      </c>
      <c r="H17" s="65" t="s">
        <v>46</v>
      </c>
      <c r="I17" s="56"/>
      <c r="J17" s="57" t="s">
        <v>45</v>
      </c>
      <c r="K17" s="69">
        <f>'[1]Proceso y Materiales'!$C19</f>
        <v>200000</v>
      </c>
      <c r="L17" s="65" t="s">
        <v>46</v>
      </c>
      <c r="M17" s="56"/>
    </row>
    <row r="18" spans="1:13" ht="16.5" thickBot="1" x14ac:dyDescent="0.3">
      <c r="A18" s="123" t="s">
        <v>40</v>
      </c>
      <c r="B18" s="55">
        <f>'Evolucion Produccion'!$G$12*[1]Datos!$F10*(1+[1]Datos!$B$9:$C$9)</f>
        <v>2618.2865454545445</v>
      </c>
      <c r="C18" s="44" t="s">
        <v>38</v>
      </c>
      <c r="D18" s="56"/>
      <c r="E18" s="56"/>
      <c r="F18" s="62" t="s">
        <v>47</v>
      </c>
      <c r="G18" s="70">
        <f t="shared" si="0"/>
        <v>146858.08356490667</v>
      </c>
      <c r="H18" s="71" t="s">
        <v>48</v>
      </c>
      <c r="I18" s="56"/>
      <c r="J18" s="62" t="s">
        <v>47</v>
      </c>
      <c r="K18" s="72">
        <f>'[1]Proceso y Materiales'!$C20</f>
        <v>170000</v>
      </c>
      <c r="L18" s="71" t="s">
        <v>48</v>
      </c>
      <c r="M18" s="56"/>
    </row>
    <row r="19" spans="1:13" ht="15.75" x14ac:dyDescent="0.25">
      <c r="A19" s="123" t="s">
        <v>41</v>
      </c>
      <c r="B19" s="55">
        <f>'Evolucion Produccion'!$G$12*[1]Datos!$F11*(1+[1]Datos!$B$9:$C$9)</f>
        <v>14546.036363636362</v>
      </c>
      <c r="C19" s="44" t="s">
        <v>38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ht="15.75" x14ac:dyDescent="0.25">
      <c r="A20" s="57" t="s">
        <v>42</v>
      </c>
      <c r="B20" s="55">
        <f>'Evolucion Produccion'!$G$12*[1]Datos!$F12*(1+[1]Datos!$B$10:$C$10)</f>
        <v>18162.618181818179</v>
      </c>
      <c r="C20" s="44" t="s">
        <v>43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3" ht="15.75" x14ac:dyDescent="0.25">
      <c r="A21" s="57" t="s">
        <v>44</v>
      </c>
      <c r="B21" s="55">
        <f>'Evolucion Produccion'!$G$12*[1]Datos!$F13*(1+[1]Datos!$B$10:$C$10)</f>
        <v>32736.654545454541</v>
      </c>
      <c r="C21" s="44" t="s">
        <v>43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1:13" ht="15.75" x14ac:dyDescent="0.25">
      <c r="A22" s="57" t="s">
        <v>45</v>
      </c>
      <c r="B22" s="58">
        <f>ROUNDDOWN('Evolucion Produccion'!$G$12*[1]Datos!$F14,0)</f>
        <v>145454</v>
      </c>
      <c r="C22" s="44" t="s">
        <v>46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</row>
    <row r="23" spans="1:13" ht="16.5" thickBot="1" x14ac:dyDescent="0.3">
      <c r="A23" s="62" t="s">
        <v>47</v>
      </c>
      <c r="B23" s="63">
        <f>'Evolucion Produccion'!$G$12*[1]Datos!$F15</f>
        <v>123636.36363636362</v>
      </c>
      <c r="C23" s="45" t="s">
        <v>48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</row>
    <row r="24" spans="1:13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spans="1:13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3" ht="19.5" thickBot="1" x14ac:dyDescent="0.35">
      <c r="A26" s="174" t="s">
        <v>50</v>
      </c>
      <c r="B26" s="174"/>
      <c r="C26" s="174"/>
      <c r="D26" s="174"/>
      <c r="E26" s="56"/>
      <c r="F26" s="56"/>
      <c r="G26" s="56"/>
      <c r="H26" s="56"/>
      <c r="I26" s="56"/>
      <c r="J26" s="56"/>
      <c r="K26" s="56"/>
      <c r="L26" s="56"/>
      <c r="M26" s="56"/>
    </row>
    <row r="27" spans="1:13" ht="15.75" x14ac:dyDescent="0.25">
      <c r="A27" s="73" t="s">
        <v>51</v>
      </c>
      <c r="B27" s="78">
        <f>ROUNDUP(SUM([1]Datos!$O$8:$O$14),2)</f>
        <v>0.43</v>
      </c>
      <c r="C27" s="74" t="s">
        <v>52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15.75" x14ac:dyDescent="0.25">
      <c r="A28" s="75" t="s">
        <v>37</v>
      </c>
      <c r="B28" s="55">
        <f>'[1]Proceso y Materiales'!$C13/'[1]Capacidad Anual'!$C$2*$B$27</f>
        <v>4.6945109170305672</v>
      </c>
      <c r="C28" s="44" t="s">
        <v>38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ht="15.75" x14ac:dyDescent="0.25">
      <c r="A29" s="75" t="s">
        <v>39</v>
      </c>
      <c r="B29" s="55">
        <f>'[1]Proceso y Materiales'!$C14/'[1]Capacidad Anual'!$C$2*$B$27</f>
        <v>4.6945109170305672</v>
      </c>
      <c r="C29" s="44" t="s">
        <v>38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3" ht="15.75" x14ac:dyDescent="0.25">
      <c r="A30" s="75" t="s">
        <v>40</v>
      </c>
      <c r="B30" s="55">
        <f>'[1]Proceso y Materiales'!$C15/'[1]Capacidad Anual'!$C$2*$B$27</f>
        <v>0.84501196506550202</v>
      </c>
      <c r="C30" s="44" t="s">
        <v>38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</row>
    <row r="31" spans="1:13" ht="15.75" x14ac:dyDescent="0.25">
      <c r="A31" s="75" t="s">
        <v>41</v>
      </c>
      <c r="B31" s="55">
        <f>'[1]Proceso y Materiales'!$C16/'[1]Capacidad Anual'!$C$2*$B$27</f>
        <v>4.6945109170305672</v>
      </c>
      <c r="C31" s="44" t="s">
        <v>38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</row>
    <row r="32" spans="1:13" ht="15.75" x14ac:dyDescent="0.25">
      <c r="A32" s="76" t="s">
        <v>42</v>
      </c>
      <c r="B32" s="55">
        <f>'[1]Proceso y Materiales'!$C17/'[1]Capacidad Anual'!$C$2*$B$27</f>
        <v>5.8617074235807856</v>
      </c>
      <c r="C32" s="44" t="s">
        <v>43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13" ht="15.75" x14ac:dyDescent="0.25">
      <c r="A33" s="76" t="s">
        <v>44</v>
      </c>
      <c r="B33" s="55">
        <f>'[1]Proceso y Materiales'!$C18/'[1]Capacidad Anual'!$C$2*$B$27</f>
        <v>10.565254912663754</v>
      </c>
      <c r="C33" s="44" t="s">
        <v>43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1:13" ht="15.75" x14ac:dyDescent="0.25">
      <c r="A34" s="76" t="s">
        <v>45</v>
      </c>
      <c r="B34" s="55">
        <f>'[1]Proceso y Materiales'!$C19/'[1]Capacidad Anual'!$C$2*$B$27</f>
        <v>46.943231441048034</v>
      </c>
      <c r="C34" s="44" t="s">
        <v>46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1:13" ht="16.5" thickBot="1" x14ac:dyDescent="0.3">
      <c r="A35" s="77" t="s">
        <v>47</v>
      </c>
      <c r="B35" s="63">
        <f>'[1]Proceso y Materiales'!$C20/'[1]Capacidad Anual'!$C$2*$B$27</f>
        <v>39.901746724890835</v>
      </c>
      <c r="C35" s="45" t="s">
        <v>48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1:13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1:13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1:13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3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1:13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1:13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</row>
  </sheetData>
  <mergeCells count="4">
    <mergeCell ref="A2:C2"/>
    <mergeCell ref="J9:L9"/>
    <mergeCell ref="F9:H9"/>
    <mergeCell ref="A26:D2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5"/>
  <sheetViews>
    <sheetView topLeftCell="A4" workbookViewId="0">
      <selection activeCell="A17" sqref="A17:Q18"/>
    </sheetView>
  </sheetViews>
  <sheetFormatPr baseColWidth="10" defaultColWidth="11.42578125" defaultRowHeight="15" x14ac:dyDescent="0.25"/>
  <cols>
    <col min="1" max="2" width="11.42578125" customWidth="1"/>
    <col min="8" max="8" width="11.42578125" customWidth="1"/>
    <col min="10" max="10" width="11.42578125" customWidth="1"/>
    <col min="16" max="16" width="11.42578125" customWidth="1"/>
  </cols>
  <sheetData>
    <row r="2" spans="1:21" ht="19.5" thickBot="1" x14ac:dyDescent="0.35">
      <c r="A2" s="117" t="s">
        <v>53</v>
      </c>
      <c r="B2" s="117"/>
      <c r="G2" s="117" t="s">
        <v>54</v>
      </c>
      <c r="H2" s="117"/>
      <c r="S2" s="1"/>
      <c r="T2" s="1"/>
      <c r="U2" s="1"/>
    </row>
    <row r="3" spans="1:21" ht="15.75" x14ac:dyDescent="0.25">
      <c r="A3" s="180" t="s">
        <v>37</v>
      </c>
      <c r="B3" s="181"/>
      <c r="C3" s="60">
        <f>'Consumo MP'!K11/'Evolucion Produccion'!$B$6</f>
        <v>1818.2545454545455</v>
      </c>
      <c r="D3" s="86" t="s">
        <v>38</v>
      </c>
      <c r="G3" s="180" t="s">
        <v>37</v>
      </c>
      <c r="H3" s="187"/>
      <c r="I3" s="60">
        <f>'Evolucion Stock y Ventas'!$B$14*[1]Datos!$F8*(1+[1]Datos!$D$9)</f>
        <v>384.81539200000003</v>
      </c>
      <c r="J3" s="86" t="s">
        <v>38</v>
      </c>
      <c r="S3" s="1"/>
      <c r="T3" s="122"/>
      <c r="U3" s="122"/>
    </row>
    <row r="4" spans="1:21" ht="15.75" x14ac:dyDescent="0.25">
      <c r="A4" s="182" t="s">
        <v>39</v>
      </c>
      <c r="B4" s="175"/>
      <c r="C4" s="64">
        <f>'Consumo MP'!K12/'Evolucion Produccion'!$B$6</f>
        <v>1818.2545454545455</v>
      </c>
      <c r="D4" s="65" t="s">
        <v>38</v>
      </c>
      <c r="G4" s="182" t="s">
        <v>39</v>
      </c>
      <c r="H4" s="186"/>
      <c r="I4" s="64">
        <f>'Evolucion Stock y Ventas'!$B$14*[1]Datos!$F9*(1+[1]Datos!$D$9)</f>
        <v>384.81539200000003</v>
      </c>
      <c r="J4" s="65" t="s">
        <v>38</v>
      </c>
      <c r="S4" s="1"/>
    </row>
    <row r="5" spans="1:21" ht="15.75" x14ac:dyDescent="0.25">
      <c r="A5" s="182" t="s">
        <v>40</v>
      </c>
      <c r="B5" s="175"/>
      <c r="C5" s="64">
        <f>'Consumo MP'!K13/'Evolucion Produccion'!$B$6</f>
        <v>327.28581818181812</v>
      </c>
      <c r="D5" s="65" t="s">
        <v>38</v>
      </c>
      <c r="G5" s="182" t="s">
        <v>40</v>
      </c>
      <c r="H5" s="186"/>
      <c r="I5" s="64">
        <f>'Evolucion Stock y Ventas'!$B$14*[1]Datos!$F10*(1+[1]Datos!$D$9)</f>
        <v>69.266770559999998</v>
      </c>
      <c r="J5" s="65" t="s">
        <v>38</v>
      </c>
      <c r="S5" s="1"/>
    </row>
    <row r="6" spans="1:21" ht="15.75" customHeight="1" x14ac:dyDescent="0.25">
      <c r="A6" s="183" t="s">
        <v>41</v>
      </c>
      <c r="B6" s="184"/>
      <c r="C6" s="64">
        <f>'Consumo MP'!K14/'Evolucion Produccion'!$B$6</f>
        <v>1818.2545454545455</v>
      </c>
      <c r="D6" s="65" t="s">
        <v>38</v>
      </c>
      <c r="E6" s="178" t="s">
        <v>55</v>
      </c>
      <c r="F6" s="179"/>
      <c r="G6" s="183" t="s">
        <v>41</v>
      </c>
      <c r="H6" s="188"/>
      <c r="I6" s="64">
        <f>'Evolucion Stock y Ventas'!$B$14*[1]Datos!$F11*(1+[1]Datos!$D$9)</f>
        <v>384.81539200000003</v>
      </c>
      <c r="J6" s="65" t="s">
        <v>38</v>
      </c>
      <c r="S6" s="1"/>
    </row>
    <row r="7" spans="1:21" ht="15.75" x14ac:dyDescent="0.25">
      <c r="A7" s="182" t="s">
        <v>42</v>
      </c>
      <c r="B7" s="175"/>
      <c r="C7" s="64">
        <f>'Consumo MP'!K15/'Evolucion Produccion'!$B$6</f>
        <v>2270.3272727272724</v>
      </c>
      <c r="D7" s="65" t="s">
        <v>43</v>
      </c>
      <c r="G7" s="182" t="s">
        <v>42</v>
      </c>
      <c r="H7" s="186"/>
      <c r="I7" s="64">
        <f>'Evolucion Stock y Ventas'!$B$14*[1]Datos!$F12*(1+[1]Datos!$D$10)</f>
        <v>480.49206399999991</v>
      </c>
      <c r="J7" s="65" t="s">
        <v>43</v>
      </c>
      <c r="S7" s="1"/>
    </row>
    <row r="8" spans="1:21" ht="15.75" x14ac:dyDescent="0.25">
      <c r="A8" s="182" t="s">
        <v>44</v>
      </c>
      <c r="B8" s="175"/>
      <c r="C8" s="64">
        <f>'Consumo MP'!K16/'Evolucion Produccion'!$B$6</f>
        <v>4092.0818181818177</v>
      </c>
      <c r="D8" s="65" t="s">
        <v>43</v>
      </c>
      <c r="G8" s="182" t="s">
        <v>44</v>
      </c>
      <c r="H8" s="186"/>
      <c r="I8" s="64">
        <f>'Evolucion Stock y Ventas'!$B$14*[1]Datos!$F13*(1+[1]Datos!$D$10)</f>
        <v>866.04819599999996</v>
      </c>
      <c r="J8" s="65" t="s">
        <v>43</v>
      </c>
      <c r="S8" s="1"/>
    </row>
    <row r="9" spans="1:21" ht="15.75" x14ac:dyDescent="0.25">
      <c r="A9" s="182" t="s">
        <v>45</v>
      </c>
      <c r="B9" s="175"/>
      <c r="C9" s="64">
        <f>'Consumo MP'!K17/'Evolucion Produccion'!$B$6</f>
        <v>18181.81818181818</v>
      </c>
      <c r="D9" s="65" t="s">
        <v>46</v>
      </c>
      <c r="G9" s="182" t="s">
        <v>45</v>
      </c>
      <c r="H9" s="186"/>
      <c r="I9" s="64">
        <f>'Evolucion Stock y Ventas'!$B$14*[1]Datos!$F14</f>
        <v>3848</v>
      </c>
      <c r="J9" s="65" t="s">
        <v>46</v>
      </c>
      <c r="S9" s="1"/>
    </row>
    <row r="10" spans="1:21" ht="16.5" thickBot="1" x14ac:dyDescent="0.3">
      <c r="A10" s="176" t="s">
        <v>47</v>
      </c>
      <c r="B10" s="185"/>
      <c r="C10" s="70">
        <f>'Consumo MP'!K18/'Evolucion Produccion'!$B$6</f>
        <v>15454.545454545454</v>
      </c>
      <c r="D10" s="71" t="s">
        <v>48</v>
      </c>
      <c r="G10" s="176" t="s">
        <v>47</v>
      </c>
      <c r="H10" s="177"/>
      <c r="I10" s="70">
        <f>'Evolucion Stock y Ventas'!$B$14*[1]Datos!$F15</f>
        <v>3270.7999999999997</v>
      </c>
      <c r="J10" s="71" t="s">
        <v>48</v>
      </c>
      <c r="S10" s="1"/>
    </row>
    <row r="11" spans="1:21" x14ac:dyDescent="0.25">
      <c r="S11" s="1"/>
    </row>
    <row r="12" spans="1:21" x14ac:dyDescent="0.25">
      <c r="S12" s="1"/>
    </row>
    <row r="13" spans="1:21" x14ac:dyDescent="0.25">
      <c r="U13" s="1"/>
    </row>
    <row r="14" spans="1:21" ht="15.75" x14ac:dyDescent="0.25">
      <c r="A14" s="175" t="s">
        <v>56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</row>
    <row r="15" spans="1:21" x14ac:dyDescent="0.25">
      <c r="A15" s="217" t="s">
        <v>57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</row>
    <row r="16" spans="1:21" x14ac:dyDescent="0.25">
      <c r="A16" s="217" t="s">
        <v>58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</row>
    <row r="17" spans="1:17" ht="15" customHeight="1" x14ac:dyDescent="0.25">
      <c r="A17" s="218" t="s">
        <v>93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</row>
    <row r="18" spans="1:17" x14ac:dyDescent="0.25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</row>
    <row r="19" spans="1:17" x14ac:dyDescent="0.25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</row>
    <row r="20" spans="1:17" ht="15.75" thickBot="1" x14ac:dyDescent="0.3"/>
    <row r="21" spans="1:17" x14ac:dyDescent="0.25">
      <c r="A21" s="192" t="s">
        <v>59</v>
      </c>
      <c r="B21" s="189" t="s">
        <v>60</v>
      </c>
      <c r="C21" s="190"/>
      <c r="D21" s="189" t="s">
        <v>61</v>
      </c>
      <c r="E21" s="190"/>
      <c r="F21" s="189" t="s">
        <v>62</v>
      </c>
      <c r="G21" s="190"/>
      <c r="H21" s="189" t="s">
        <v>63</v>
      </c>
      <c r="I21" s="190"/>
      <c r="J21" s="189" t="s">
        <v>64</v>
      </c>
      <c r="K21" s="190"/>
      <c r="L21" s="189" t="s">
        <v>65</v>
      </c>
      <c r="M21" s="191"/>
      <c r="N21" s="189" t="s">
        <v>66</v>
      </c>
      <c r="O21" s="190"/>
      <c r="P21" s="189" t="s">
        <v>67</v>
      </c>
      <c r="Q21" s="190"/>
    </row>
    <row r="22" spans="1:17" ht="15.75" thickBot="1" x14ac:dyDescent="0.3">
      <c r="A22" s="193"/>
      <c r="B22" s="133" t="s">
        <v>68</v>
      </c>
      <c r="C22" s="31" t="s">
        <v>69</v>
      </c>
      <c r="D22" s="133" t="s">
        <v>68</v>
      </c>
      <c r="E22" s="31" t="s">
        <v>69</v>
      </c>
      <c r="F22" s="133" t="s">
        <v>68</v>
      </c>
      <c r="G22" s="31" t="s">
        <v>69</v>
      </c>
      <c r="H22" s="133" t="s">
        <v>68</v>
      </c>
      <c r="I22" s="31" t="s">
        <v>69</v>
      </c>
      <c r="J22" s="133" t="s">
        <v>68</v>
      </c>
      <c r="K22" s="31" t="s">
        <v>69</v>
      </c>
      <c r="L22" s="133" t="s">
        <v>68</v>
      </c>
      <c r="M22" s="12" t="s">
        <v>69</v>
      </c>
      <c r="N22" s="133" t="s">
        <v>68</v>
      </c>
      <c r="O22" s="31" t="s">
        <v>69</v>
      </c>
      <c r="P22" s="133" t="s">
        <v>68</v>
      </c>
      <c r="Q22" s="31" t="s">
        <v>69</v>
      </c>
    </row>
    <row r="23" spans="1:17" x14ac:dyDescent="0.25">
      <c r="A23" s="52">
        <v>1</v>
      </c>
      <c r="B23" s="126">
        <f>I3</f>
        <v>384.81539200000003</v>
      </c>
      <c r="C23" s="134" t="s">
        <v>21</v>
      </c>
      <c r="D23" s="135">
        <f>I4</f>
        <v>384.81539200000003</v>
      </c>
      <c r="E23" s="136" t="s">
        <v>21</v>
      </c>
      <c r="F23" s="126">
        <f>I5</f>
        <v>69.266770559999998</v>
      </c>
      <c r="G23" s="136" t="s">
        <v>21</v>
      </c>
      <c r="H23" s="126">
        <f>I6</f>
        <v>384.81539200000003</v>
      </c>
      <c r="I23" s="134" t="s">
        <v>21</v>
      </c>
      <c r="J23" s="135">
        <f>I7</f>
        <v>480.49206399999991</v>
      </c>
      <c r="K23" s="134" t="s">
        <v>21</v>
      </c>
      <c r="L23" s="135">
        <f>I8</f>
        <v>866.04819599999996</v>
      </c>
      <c r="M23" s="136" t="s">
        <v>21</v>
      </c>
      <c r="N23" s="126">
        <f>I9</f>
        <v>3848</v>
      </c>
      <c r="O23" s="134" t="s">
        <v>21</v>
      </c>
      <c r="P23" s="135">
        <f>I10</f>
        <v>3270.7999999999997</v>
      </c>
      <c r="Q23" s="134" t="s">
        <v>21</v>
      </c>
    </row>
    <row r="24" spans="1:17" x14ac:dyDescent="0.25">
      <c r="A24" s="52">
        <v>2</v>
      </c>
      <c r="B24" s="125">
        <f>B23+C24-$C$3</f>
        <v>384.8153920000002</v>
      </c>
      <c r="C24" s="137">
        <f>C$3</f>
        <v>1818.2545454545455</v>
      </c>
      <c r="D24" s="125">
        <f>D23+E24-$C$4</f>
        <v>384.8153920000002</v>
      </c>
      <c r="E24" s="138">
        <f>C$4</f>
        <v>1818.2545454545455</v>
      </c>
      <c r="F24" s="125">
        <f>F23+G24-$C$5</f>
        <v>69.266770559999998</v>
      </c>
      <c r="G24" s="138">
        <f>$C$5</f>
        <v>327.28581818181812</v>
      </c>
      <c r="H24" s="125">
        <f>H23+I24-$C$6</f>
        <v>384.8153920000002</v>
      </c>
      <c r="I24" s="137">
        <f>C$6</f>
        <v>1818.2545454545455</v>
      </c>
      <c r="J24" s="125">
        <f>J23+K24-$C$7</f>
        <v>480.49206400000003</v>
      </c>
      <c r="K24" s="137">
        <f>C$7</f>
        <v>2270.3272727272724</v>
      </c>
      <c r="L24" s="125">
        <f>L23+M24-$C$8</f>
        <v>866.04819599999973</v>
      </c>
      <c r="M24" s="138">
        <f>C$8</f>
        <v>4092.0818181818177</v>
      </c>
      <c r="N24" s="125">
        <f>N23+O24-$C$9</f>
        <v>3848</v>
      </c>
      <c r="O24" s="137">
        <f>C$9</f>
        <v>18181.81818181818</v>
      </c>
      <c r="P24" s="125">
        <f>P23+Q24-$C$10</f>
        <v>3270.8000000000011</v>
      </c>
      <c r="Q24" s="137">
        <f>C$10</f>
        <v>15454.545454545454</v>
      </c>
    </row>
    <row r="25" spans="1:17" x14ac:dyDescent="0.25">
      <c r="A25" s="52">
        <v>3</v>
      </c>
      <c r="B25" s="125">
        <f t="shared" ref="B25:B34" si="0">B24+C25-C$3</f>
        <v>384.8153920000002</v>
      </c>
      <c r="C25" s="137">
        <f t="shared" ref="C25:C33" si="1">C$3</f>
        <v>1818.2545454545455</v>
      </c>
      <c r="D25" s="125">
        <f t="shared" ref="D25:D34" si="2">D24+E25-C$4</f>
        <v>384.8153920000002</v>
      </c>
      <c r="E25" s="138">
        <f t="shared" ref="E25:E34" si="3">C$4</f>
        <v>1818.2545454545455</v>
      </c>
      <c r="F25" s="125">
        <f t="shared" ref="F25:F34" si="4">F24+G25-$C$5</f>
        <v>69.266770559999998</v>
      </c>
      <c r="G25" s="138">
        <f t="shared" ref="G25:G34" si="5">$C$5</f>
        <v>327.28581818181812</v>
      </c>
      <c r="H25" s="125">
        <f t="shared" ref="H25:H34" si="6">H24+I25-$C$6</f>
        <v>384.8153920000002</v>
      </c>
      <c r="I25" s="137">
        <f t="shared" ref="I25:I34" si="7">C$6</f>
        <v>1818.2545454545455</v>
      </c>
      <c r="J25" s="125">
        <f t="shared" ref="J25:J34" si="8">J24+K25-$C$7</f>
        <v>480.49206400000003</v>
      </c>
      <c r="K25" s="137">
        <f t="shared" ref="K25:K34" si="9">C$7</f>
        <v>2270.3272727272724</v>
      </c>
      <c r="L25" s="125">
        <f t="shared" ref="L25:L34" si="10">L24+M25-$C$8</f>
        <v>866.04819599999973</v>
      </c>
      <c r="M25" s="138">
        <f t="shared" ref="M25:M34" si="11">C$8</f>
        <v>4092.0818181818177</v>
      </c>
      <c r="N25" s="125">
        <f t="shared" ref="N25:N34" si="12">N24+O25-$C$9</f>
        <v>3848</v>
      </c>
      <c r="O25" s="137">
        <f t="shared" ref="O25:O34" si="13">C$9</f>
        <v>18181.81818181818</v>
      </c>
      <c r="P25" s="125">
        <f t="shared" ref="P25:P34" si="14">P24+Q25-$C$10</f>
        <v>3270.8000000000011</v>
      </c>
      <c r="Q25" s="137">
        <f t="shared" ref="Q25:Q34" si="15">C$10</f>
        <v>15454.545454545454</v>
      </c>
    </row>
    <row r="26" spans="1:17" x14ac:dyDescent="0.25">
      <c r="A26" s="52">
        <v>4</v>
      </c>
      <c r="B26" s="125">
        <f t="shared" si="0"/>
        <v>384.8153920000002</v>
      </c>
      <c r="C26" s="137">
        <f t="shared" si="1"/>
        <v>1818.2545454545455</v>
      </c>
      <c r="D26" s="125">
        <f t="shared" si="2"/>
        <v>384.8153920000002</v>
      </c>
      <c r="E26" s="138">
        <f t="shared" si="3"/>
        <v>1818.2545454545455</v>
      </c>
      <c r="F26" s="125">
        <f t="shared" si="4"/>
        <v>69.266770559999998</v>
      </c>
      <c r="G26" s="138">
        <f t="shared" si="5"/>
        <v>327.28581818181812</v>
      </c>
      <c r="H26" s="125">
        <f t="shared" si="6"/>
        <v>384.8153920000002</v>
      </c>
      <c r="I26" s="137">
        <f t="shared" si="7"/>
        <v>1818.2545454545455</v>
      </c>
      <c r="J26" s="125">
        <f t="shared" si="8"/>
        <v>480.49206400000003</v>
      </c>
      <c r="K26" s="137">
        <f t="shared" si="9"/>
        <v>2270.3272727272724</v>
      </c>
      <c r="L26" s="125">
        <f t="shared" si="10"/>
        <v>866.04819599999973</v>
      </c>
      <c r="M26" s="138">
        <f t="shared" si="11"/>
        <v>4092.0818181818177</v>
      </c>
      <c r="N26" s="125">
        <f t="shared" si="12"/>
        <v>3848</v>
      </c>
      <c r="O26" s="137">
        <f t="shared" si="13"/>
        <v>18181.81818181818</v>
      </c>
      <c r="P26" s="125">
        <f t="shared" si="14"/>
        <v>3270.8000000000011</v>
      </c>
      <c r="Q26" s="137">
        <f t="shared" si="15"/>
        <v>15454.545454545454</v>
      </c>
    </row>
    <row r="27" spans="1:17" x14ac:dyDescent="0.25">
      <c r="A27" s="52">
        <v>5</v>
      </c>
      <c r="B27" s="125">
        <f t="shared" si="0"/>
        <v>384.8153920000002</v>
      </c>
      <c r="C27" s="137">
        <f t="shared" si="1"/>
        <v>1818.2545454545455</v>
      </c>
      <c r="D27" s="125">
        <f t="shared" si="2"/>
        <v>384.8153920000002</v>
      </c>
      <c r="E27" s="138">
        <f t="shared" si="3"/>
        <v>1818.2545454545455</v>
      </c>
      <c r="F27" s="125">
        <f t="shared" si="4"/>
        <v>69.266770559999998</v>
      </c>
      <c r="G27" s="138">
        <f t="shared" si="5"/>
        <v>327.28581818181812</v>
      </c>
      <c r="H27" s="125">
        <f t="shared" si="6"/>
        <v>384.8153920000002</v>
      </c>
      <c r="I27" s="137">
        <f t="shared" si="7"/>
        <v>1818.2545454545455</v>
      </c>
      <c r="J27" s="125">
        <f t="shared" si="8"/>
        <v>480.49206400000003</v>
      </c>
      <c r="K27" s="137">
        <f t="shared" si="9"/>
        <v>2270.3272727272724</v>
      </c>
      <c r="L27" s="125">
        <f t="shared" si="10"/>
        <v>866.04819599999973</v>
      </c>
      <c r="M27" s="138">
        <f t="shared" si="11"/>
        <v>4092.0818181818177</v>
      </c>
      <c r="N27" s="125">
        <f t="shared" si="12"/>
        <v>3848</v>
      </c>
      <c r="O27" s="137">
        <f t="shared" si="13"/>
        <v>18181.81818181818</v>
      </c>
      <c r="P27" s="125">
        <f t="shared" si="14"/>
        <v>3270.8000000000011</v>
      </c>
      <c r="Q27" s="137">
        <f t="shared" si="15"/>
        <v>15454.545454545454</v>
      </c>
    </row>
    <row r="28" spans="1:17" x14ac:dyDescent="0.25">
      <c r="A28" s="52">
        <v>6</v>
      </c>
      <c r="B28" s="125">
        <f t="shared" si="0"/>
        <v>384.8153920000002</v>
      </c>
      <c r="C28" s="137">
        <f t="shared" si="1"/>
        <v>1818.2545454545455</v>
      </c>
      <c r="D28" s="125">
        <f t="shared" si="2"/>
        <v>384.8153920000002</v>
      </c>
      <c r="E28" s="138">
        <f t="shared" si="3"/>
        <v>1818.2545454545455</v>
      </c>
      <c r="F28" s="125">
        <f t="shared" si="4"/>
        <v>69.266770559999998</v>
      </c>
      <c r="G28" s="138">
        <f t="shared" si="5"/>
        <v>327.28581818181812</v>
      </c>
      <c r="H28" s="125">
        <f t="shared" si="6"/>
        <v>384.8153920000002</v>
      </c>
      <c r="I28" s="137">
        <f t="shared" si="7"/>
        <v>1818.2545454545455</v>
      </c>
      <c r="J28" s="125">
        <f t="shared" si="8"/>
        <v>480.49206400000003</v>
      </c>
      <c r="K28" s="137">
        <f t="shared" si="9"/>
        <v>2270.3272727272724</v>
      </c>
      <c r="L28" s="125">
        <f t="shared" si="10"/>
        <v>866.04819599999973</v>
      </c>
      <c r="M28" s="138">
        <f t="shared" si="11"/>
        <v>4092.0818181818177</v>
      </c>
      <c r="N28" s="125">
        <f t="shared" si="12"/>
        <v>3848</v>
      </c>
      <c r="O28" s="137">
        <f t="shared" si="13"/>
        <v>18181.81818181818</v>
      </c>
      <c r="P28" s="125">
        <f t="shared" si="14"/>
        <v>3270.8000000000011</v>
      </c>
      <c r="Q28" s="137">
        <f t="shared" si="15"/>
        <v>15454.545454545454</v>
      </c>
    </row>
    <row r="29" spans="1:17" x14ac:dyDescent="0.25">
      <c r="A29" s="52">
        <v>7</v>
      </c>
      <c r="B29" s="125">
        <f t="shared" si="0"/>
        <v>384.8153920000002</v>
      </c>
      <c r="C29" s="137">
        <f t="shared" si="1"/>
        <v>1818.2545454545455</v>
      </c>
      <c r="D29" s="125">
        <f t="shared" si="2"/>
        <v>384.8153920000002</v>
      </c>
      <c r="E29" s="138">
        <f t="shared" si="3"/>
        <v>1818.2545454545455</v>
      </c>
      <c r="F29" s="125">
        <f t="shared" si="4"/>
        <v>69.266770559999998</v>
      </c>
      <c r="G29" s="138">
        <f t="shared" si="5"/>
        <v>327.28581818181812</v>
      </c>
      <c r="H29" s="125">
        <f t="shared" si="6"/>
        <v>384.8153920000002</v>
      </c>
      <c r="I29" s="137">
        <f t="shared" si="7"/>
        <v>1818.2545454545455</v>
      </c>
      <c r="J29" s="125">
        <f t="shared" si="8"/>
        <v>480.49206400000003</v>
      </c>
      <c r="K29" s="137">
        <f t="shared" si="9"/>
        <v>2270.3272727272724</v>
      </c>
      <c r="L29" s="125">
        <f t="shared" si="10"/>
        <v>866.04819599999973</v>
      </c>
      <c r="M29" s="138">
        <f t="shared" si="11"/>
        <v>4092.0818181818177</v>
      </c>
      <c r="N29" s="125">
        <f t="shared" si="12"/>
        <v>3848</v>
      </c>
      <c r="O29" s="137">
        <f t="shared" si="13"/>
        <v>18181.81818181818</v>
      </c>
      <c r="P29" s="125">
        <f t="shared" si="14"/>
        <v>3270.8000000000011</v>
      </c>
      <c r="Q29" s="137">
        <f t="shared" si="15"/>
        <v>15454.545454545454</v>
      </c>
    </row>
    <row r="30" spans="1:17" x14ac:dyDescent="0.25">
      <c r="A30" s="52">
        <v>8</v>
      </c>
      <c r="B30" s="125">
        <f t="shared" si="0"/>
        <v>384.8153920000002</v>
      </c>
      <c r="C30" s="137">
        <f t="shared" si="1"/>
        <v>1818.2545454545455</v>
      </c>
      <c r="D30" s="125">
        <f t="shared" si="2"/>
        <v>384.8153920000002</v>
      </c>
      <c r="E30" s="138">
        <f t="shared" si="3"/>
        <v>1818.2545454545455</v>
      </c>
      <c r="F30" s="125">
        <f t="shared" si="4"/>
        <v>69.266770559999998</v>
      </c>
      <c r="G30" s="138">
        <f t="shared" si="5"/>
        <v>327.28581818181812</v>
      </c>
      <c r="H30" s="125">
        <f t="shared" si="6"/>
        <v>384.8153920000002</v>
      </c>
      <c r="I30" s="137">
        <f t="shared" si="7"/>
        <v>1818.2545454545455</v>
      </c>
      <c r="J30" s="125">
        <f t="shared" si="8"/>
        <v>480.49206400000003</v>
      </c>
      <c r="K30" s="137">
        <f t="shared" si="9"/>
        <v>2270.3272727272724</v>
      </c>
      <c r="L30" s="125">
        <f t="shared" si="10"/>
        <v>866.04819599999973</v>
      </c>
      <c r="M30" s="138">
        <f t="shared" si="11"/>
        <v>4092.0818181818177</v>
      </c>
      <c r="N30" s="125">
        <f t="shared" si="12"/>
        <v>3848</v>
      </c>
      <c r="O30" s="137">
        <f t="shared" si="13"/>
        <v>18181.81818181818</v>
      </c>
      <c r="P30" s="125">
        <f t="shared" si="14"/>
        <v>3270.8000000000011</v>
      </c>
      <c r="Q30" s="137">
        <f t="shared" si="15"/>
        <v>15454.545454545454</v>
      </c>
    </row>
    <row r="31" spans="1:17" x14ac:dyDescent="0.25">
      <c r="A31" s="52">
        <v>9</v>
      </c>
      <c r="B31" s="125">
        <f t="shared" si="0"/>
        <v>384.8153920000002</v>
      </c>
      <c r="C31" s="137">
        <f t="shared" si="1"/>
        <v>1818.2545454545455</v>
      </c>
      <c r="D31" s="125">
        <f t="shared" si="2"/>
        <v>384.8153920000002</v>
      </c>
      <c r="E31" s="138">
        <f t="shared" si="3"/>
        <v>1818.2545454545455</v>
      </c>
      <c r="F31" s="125">
        <f t="shared" si="4"/>
        <v>69.266770559999998</v>
      </c>
      <c r="G31" s="138">
        <f t="shared" si="5"/>
        <v>327.28581818181812</v>
      </c>
      <c r="H31" s="125">
        <f t="shared" si="6"/>
        <v>384.8153920000002</v>
      </c>
      <c r="I31" s="137">
        <f t="shared" si="7"/>
        <v>1818.2545454545455</v>
      </c>
      <c r="J31" s="125">
        <f t="shared" si="8"/>
        <v>480.49206400000003</v>
      </c>
      <c r="K31" s="137">
        <f t="shared" si="9"/>
        <v>2270.3272727272724</v>
      </c>
      <c r="L31" s="125">
        <f t="shared" si="10"/>
        <v>866.04819599999973</v>
      </c>
      <c r="M31" s="138">
        <f t="shared" si="11"/>
        <v>4092.0818181818177</v>
      </c>
      <c r="N31" s="125">
        <f t="shared" si="12"/>
        <v>3848</v>
      </c>
      <c r="O31" s="137">
        <f t="shared" si="13"/>
        <v>18181.81818181818</v>
      </c>
      <c r="P31" s="125">
        <f t="shared" si="14"/>
        <v>3270.8000000000011</v>
      </c>
      <c r="Q31" s="137">
        <f t="shared" si="15"/>
        <v>15454.545454545454</v>
      </c>
    </row>
    <row r="32" spans="1:17" x14ac:dyDescent="0.25">
      <c r="A32" s="52">
        <v>10</v>
      </c>
      <c r="B32" s="125">
        <f t="shared" si="0"/>
        <v>384.8153920000002</v>
      </c>
      <c r="C32" s="137">
        <f t="shared" si="1"/>
        <v>1818.2545454545455</v>
      </c>
      <c r="D32" s="125">
        <f t="shared" si="2"/>
        <v>384.8153920000002</v>
      </c>
      <c r="E32" s="138">
        <f t="shared" si="3"/>
        <v>1818.2545454545455</v>
      </c>
      <c r="F32" s="125">
        <f t="shared" si="4"/>
        <v>69.266770559999998</v>
      </c>
      <c r="G32" s="138">
        <f t="shared" si="5"/>
        <v>327.28581818181812</v>
      </c>
      <c r="H32" s="125">
        <f t="shared" si="6"/>
        <v>384.8153920000002</v>
      </c>
      <c r="I32" s="137">
        <f t="shared" si="7"/>
        <v>1818.2545454545455</v>
      </c>
      <c r="J32" s="125">
        <f t="shared" si="8"/>
        <v>480.49206400000003</v>
      </c>
      <c r="K32" s="137">
        <f t="shared" si="9"/>
        <v>2270.3272727272724</v>
      </c>
      <c r="L32" s="125">
        <f t="shared" si="10"/>
        <v>866.04819599999973</v>
      </c>
      <c r="M32" s="138">
        <f t="shared" si="11"/>
        <v>4092.0818181818177</v>
      </c>
      <c r="N32" s="125">
        <f t="shared" si="12"/>
        <v>3848</v>
      </c>
      <c r="O32" s="137">
        <f t="shared" si="13"/>
        <v>18181.81818181818</v>
      </c>
      <c r="P32" s="125">
        <f t="shared" si="14"/>
        <v>3270.8000000000011</v>
      </c>
      <c r="Q32" s="137">
        <f t="shared" si="15"/>
        <v>15454.545454545454</v>
      </c>
    </row>
    <row r="33" spans="1:17" x14ac:dyDescent="0.25">
      <c r="A33" s="52">
        <v>11</v>
      </c>
      <c r="B33" s="125">
        <f t="shared" si="0"/>
        <v>384.8153920000002</v>
      </c>
      <c r="C33" s="137">
        <f t="shared" si="1"/>
        <v>1818.2545454545455</v>
      </c>
      <c r="D33" s="125">
        <f t="shared" si="2"/>
        <v>384.8153920000002</v>
      </c>
      <c r="E33" s="138">
        <f t="shared" si="3"/>
        <v>1818.2545454545455</v>
      </c>
      <c r="F33" s="125">
        <f t="shared" si="4"/>
        <v>69.266770559999998</v>
      </c>
      <c r="G33" s="138">
        <f t="shared" si="5"/>
        <v>327.28581818181812</v>
      </c>
      <c r="H33" s="125">
        <f t="shared" si="6"/>
        <v>384.8153920000002</v>
      </c>
      <c r="I33" s="137">
        <f t="shared" si="7"/>
        <v>1818.2545454545455</v>
      </c>
      <c r="J33" s="125">
        <f t="shared" si="8"/>
        <v>480.49206400000003</v>
      </c>
      <c r="K33" s="137">
        <f t="shared" si="9"/>
        <v>2270.3272727272724</v>
      </c>
      <c r="L33" s="125">
        <f t="shared" si="10"/>
        <v>866.04819599999973</v>
      </c>
      <c r="M33" s="138">
        <f t="shared" si="11"/>
        <v>4092.0818181818177</v>
      </c>
      <c r="N33" s="125">
        <f t="shared" si="12"/>
        <v>3848</v>
      </c>
      <c r="O33" s="137">
        <f t="shared" si="13"/>
        <v>18181.81818181818</v>
      </c>
      <c r="P33" s="125">
        <f t="shared" si="14"/>
        <v>3270.8000000000011</v>
      </c>
      <c r="Q33" s="137">
        <f t="shared" si="15"/>
        <v>15454.545454545454</v>
      </c>
    </row>
    <row r="34" spans="1:17" ht="15.75" thickBot="1" x14ac:dyDescent="0.3">
      <c r="A34" s="40">
        <v>12</v>
      </c>
      <c r="B34" s="127">
        <f t="shared" si="0"/>
        <v>384.8153920000002</v>
      </c>
      <c r="C34" s="139">
        <f>C$3</f>
        <v>1818.2545454545455</v>
      </c>
      <c r="D34" s="127">
        <f t="shared" si="2"/>
        <v>384.8153920000002</v>
      </c>
      <c r="E34" s="140">
        <f t="shared" si="3"/>
        <v>1818.2545454545455</v>
      </c>
      <c r="F34" s="127">
        <f t="shared" si="4"/>
        <v>69.266770559999998</v>
      </c>
      <c r="G34" s="140">
        <f t="shared" si="5"/>
        <v>327.28581818181812</v>
      </c>
      <c r="H34" s="127">
        <f t="shared" si="6"/>
        <v>384.8153920000002</v>
      </c>
      <c r="I34" s="139">
        <f t="shared" si="7"/>
        <v>1818.2545454545455</v>
      </c>
      <c r="J34" s="127">
        <f t="shared" si="8"/>
        <v>480.49206400000003</v>
      </c>
      <c r="K34" s="139">
        <f t="shared" si="9"/>
        <v>2270.3272727272724</v>
      </c>
      <c r="L34" s="127">
        <f t="shared" si="10"/>
        <v>866.04819599999973</v>
      </c>
      <c r="M34" s="140">
        <f t="shared" si="11"/>
        <v>4092.0818181818177</v>
      </c>
      <c r="N34" s="127">
        <f t="shared" si="12"/>
        <v>3848</v>
      </c>
      <c r="O34" s="139">
        <f t="shared" si="13"/>
        <v>18181.81818181818</v>
      </c>
      <c r="P34" s="127">
        <f t="shared" si="14"/>
        <v>3270.8000000000011</v>
      </c>
      <c r="Q34" s="139">
        <f t="shared" si="15"/>
        <v>15454.545454545454</v>
      </c>
    </row>
    <row r="35" spans="1:17" s="144" customFormat="1" ht="15.75" thickBot="1" x14ac:dyDescent="0.3">
      <c r="A35" s="141" t="s">
        <v>70</v>
      </c>
      <c r="B35" s="142">
        <f>SUM(B23:B34)/12</f>
        <v>384.81539200000026</v>
      </c>
      <c r="C35" s="145">
        <f>SUM(C23:C34)</f>
        <v>20000.800000000003</v>
      </c>
      <c r="D35" s="142">
        <f>SUM(D23:D34)/12</f>
        <v>384.81539200000026</v>
      </c>
      <c r="E35" s="145">
        <f>SUM(E23:E34)</f>
        <v>20000.800000000003</v>
      </c>
      <c r="F35" s="142">
        <f>SUM(F23:F34)/12</f>
        <v>69.266770559999983</v>
      </c>
      <c r="G35" s="145">
        <f>SUM(G23:G34)</f>
        <v>3600.1439999999998</v>
      </c>
      <c r="H35" s="142">
        <f>SUM(H23:H34)/12</f>
        <v>384.81539200000026</v>
      </c>
      <c r="I35" s="145">
        <f>SUM(I23:I34)</f>
        <v>20000.800000000003</v>
      </c>
      <c r="J35" s="142">
        <f>SUM(J23:J34)/12</f>
        <v>480.49206400000003</v>
      </c>
      <c r="K35" s="145">
        <f>SUM(K23:K34)</f>
        <v>24973.599999999991</v>
      </c>
      <c r="L35" s="146">
        <f>SUM(L23:L34)/12</f>
        <v>866.04819599999973</v>
      </c>
      <c r="M35" s="143">
        <f>SUM(M23:M34)</f>
        <v>45012.899999999994</v>
      </c>
      <c r="N35" s="160">
        <f>SUM(N23:N34)/12</f>
        <v>3848</v>
      </c>
      <c r="O35" s="145">
        <f>SUM(O23:O34)</f>
        <v>199999.99999999997</v>
      </c>
      <c r="P35" s="160">
        <f>SUM(P23:P34)/12</f>
        <v>3270.8000000000015</v>
      </c>
      <c r="Q35" s="145">
        <f>SUM(Q23:Q34)</f>
        <v>169999.99999999997</v>
      </c>
    </row>
  </sheetData>
  <mergeCells count="30">
    <mergeCell ref="J21:K21"/>
    <mergeCell ref="L21:M21"/>
    <mergeCell ref="N21:O21"/>
    <mergeCell ref="P21:Q21"/>
    <mergeCell ref="A21:A22"/>
    <mergeCell ref="B21:C21"/>
    <mergeCell ref="D21:E21"/>
    <mergeCell ref="F21:G21"/>
    <mergeCell ref="H21:I21"/>
    <mergeCell ref="G3:H3"/>
    <mergeCell ref="G4:H4"/>
    <mergeCell ref="G5:H5"/>
    <mergeCell ref="G6:H6"/>
    <mergeCell ref="G7:H7"/>
    <mergeCell ref="A9:B9"/>
    <mergeCell ref="A10:B10"/>
    <mergeCell ref="A7:B7"/>
    <mergeCell ref="A8:B8"/>
    <mergeCell ref="G9:H9"/>
    <mergeCell ref="G8:H8"/>
    <mergeCell ref="E6:F6"/>
    <mergeCell ref="A3:B3"/>
    <mergeCell ref="A4:B4"/>
    <mergeCell ref="A5:B5"/>
    <mergeCell ref="A6:B6"/>
    <mergeCell ref="A14:Q14"/>
    <mergeCell ref="A15:Q15"/>
    <mergeCell ref="A16:Q16"/>
    <mergeCell ref="A17:Q18"/>
    <mergeCell ref="G10:H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zoomScaleNormal="100" workbookViewId="0">
      <selection activeCell="O32" sqref="O32"/>
    </sheetView>
  </sheetViews>
  <sheetFormatPr baseColWidth="10" defaultColWidth="11.42578125" defaultRowHeight="15" x14ac:dyDescent="0.25"/>
  <cols>
    <col min="1" max="1" width="27.42578125" bestFit="1" customWidth="1"/>
    <col min="2" max="15" width="9.7109375" customWidth="1"/>
    <col min="16" max="17" width="10.5703125" customWidth="1"/>
    <col min="18" max="23" width="9.7109375" customWidth="1"/>
    <col min="24" max="25" width="10.5703125" customWidth="1"/>
  </cols>
  <sheetData>
    <row r="1" spans="1:25" ht="19.5" thickBot="1" x14ac:dyDescent="0.35">
      <c r="A1" s="34" t="s">
        <v>71</v>
      </c>
    </row>
    <row r="2" spans="1:25" ht="18.75" customHeight="1" thickBot="1" x14ac:dyDescent="0.3">
      <c r="A2" s="208" t="s">
        <v>72</v>
      </c>
      <c r="B2" s="198" t="s">
        <v>73</v>
      </c>
      <c r="C2" s="199"/>
      <c r="D2" s="199"/>
      <c r="E2" s="199"/>
      <c r="F2" s="199"/>
      <c r="G2" s="199"/>
      <c r="H2" s="199"/>
      <c r="I2" s="200"/>
      <c r="J2" s="166" t="s">
        <v>74</v>
      </c>
      <c r="K2" s="167"/>
      <c r="L2" s="167"/>
      <c r="M2" s="167"/>
      <c r="N2" s="167"/>
      <c r="O2" s="167"/>
      <c r="P2" s="167"/>
      <c r="Q2" s="207"/>
      <c r="R2" s="167" t="s">
        <v>75</v>
      </c>
      <c r="S2" s="167"/>
      <c r="T2" s="167"/>
      <c r="U2" s="167"/>
      <c r="V2" s="167"/>
      <c r="W2" s="167"/>
      <c r="X2" s="167"/>
      <c r="Y2" s="207"/>
    </row>
    <row r="3" spans="1:25" ht="18.75" customHeight="1" thickBot="1" x14ac:dyDescent="0.3">
      <c r="A3" s="209"/>
      <c r="B3" s="88" t="s">
        <v>60</v>
      </c>
      <c r="C3" s="88" t="s">
        <v>61</v>
      </c>
      <c r="D3" s="88" t="s">
        <v>76</v>
      </c>
      <c r="E3" s="88" t="s">
        <v>63</v>
      </c>
      <c r="F3" s="88" t="s">
        <v>77</v>
      </c>
      <c r="G3" s="88" t="s">
        <v>78</v>
      </c>
      <c r="H3" s="88" t="s">
        <v>66</v>
      </c>
      <c r="I3" s="88" t="s">
        <v>67</v>
      </c>
      <c r="J3" s="88" t="s">
        <v>60</v>
      </c>
      <c r="K3" s="88" t="s">
        <v>61</v>
      </c>
      <c r="L3" s="88" t="s">
        <v>76</v>
      </c>
      <c r="M3" s="88" t="s">
        <v>63</v>
      </c>
      <c r="N3" s="88" t="s">
        <v>77</v>
      </c>
      <c r="O3" s="88" t="s">
        <v>78</v>
      </c>
      <c r="P3" s="88" t="s">
        <v>66</v>
      </c>
      <c r="Q3" s="88" t="s">
        <v>67</v>
      </c>
      <c r="R3" s="32" t="s">
        <v>60</v>
      </c>
      <c r="S3" s="36" t="s">
        <v>61</v>
      </c>
      <c r="T3" s="36" t="s">
        <v>76</v>
      </c>
      <c r="U3" s="36" t="s">
        <v>63</v>
      </c>
      <c r="V3" s="36" t="s">
        <v>79</v>
      </c>
      <c r="W3" s="36" t="s">
        <v>80</v>
      </c>
      <c r="X3" s="88" t="s">
        <v>66</v>
      </c>
      <c r="Y3" s="88" t="s">
        <v>67</v>
      </c>
    </row>
    <row r="4" spans="1:25" ht="15.75" thickBot="1" x14ac:dyDescent="0.3">
      <c r="A4" s="210"/>
      <c r="B4" s="90" t="s">
        <v>38</v>
      </c>
      <c r="C4" s="90" t="s">
        <v>38</v>
      </c>
      <c r="D4" s="90" t="s">
        <v>38</v>
      </c>
      <c r="E4" s="90" t="s">
        <v>38</v>
      </c>
      <c r="F4" s="90" t="s">
        <v>81</v>
      </c>
      <c r="G4" s="90" t="s">
        <v>81</v>
      </c>
      <c r="H4" s="90" t="s">
        <v>46</v>
      </c>
      <c r="I4" s="90" t="s">
        <v>48</v>
      </c>
      <c r="J4" s="90" t="s">
        <v>38</v>
      </c>
      <c r="K4" s="90" t="s">
        <v>38</v>
      </c>
      <c r="L4" s="90" t="s">
        <v>38</v>
      </c>
      <c r="M4" s="90" t="s">
        <v>38</v>
      </c>
      <c r="N4" s="90" t="s">
        <v>81</v>
      </c>
      <c r="O4" s="90" t="s">
        <v>81</v>
      </c>
      <c r="P4" s="90" t="s">
        <v>46</v>
      </c>
      <c r="Q4" s="90" t="s">
        <v>48</v>
      </c>
      <c r="R4" s="30" t="s">
        <v>38</v>
      </c>
      <c r="S4" s="90" t="s">
        <v>38</v>
      </c>
      <c r="T4" s="90" t="s">
        <v>38</v>
      </c>
      <c r="U4" s="90" t="s">
        <v>38</v>
      </c>
      <c r="V4" s="90" t="s">
        <v>81</v>
      </c>
      <c r="W4" s="90" t="s">
        <v>81</v>
      </c>
      <c r="X4" s="90" t="s">
        <v>46</v>
      </c>
      <c r="Y4" s="90" t="s">
        <v>48</v>
      </c>
    </row>
    <row r="5" spans="1:25" x14ac:dyDescent="0.25">
      <c r="A5" s="19" t="s">
        <v>28</v>
      </c>
      <c r="B5" s="201" t="s">
        <v>21</v>
      </c>
      <c r="C5" s="202"/>
      <c r="D5" s="202"/>
      <c r="E5" s="202"/>
      <c r="F5" s="202"/>
      <c r="G5" s="202"/>
      <c r="H5" s="202"/>
      <c r="I5" s="203"/>
      <c r="J5" s="211">
        <f>'Evolucion Stock y Ventas'!B9</f>
        <v>82901</v>
      </c>
      <c r="K5" s="194"/>
      <c r="L5" s="194"/>
      <c r="M5" s="194"/>
      <c r="N5" s="194"/>
      <c r="O5" s="194"/>
      <c r="P5" s="194"/>
      <c r="Q5" s="195"/>
      <c r="R5" s="194">
        <f>'Evolucion Stock y Ventas'!B10</f>
        <v>99999.999999999985</v>
      </c>
      <c r="S5" s="194"/>
      <c r="T5" s="194"/>
      <c r="U5" s="194"/>
      <c r="V5" s="194"/>
      <c r="W5" s="194"/>
      <c r="X5" s="194"/>
      <c r="Y5" s="195"/>
    </row>
    <row r="6" spans="1:25" ht="15.75" thickBot="1" x14ac:dyDescent="0.3">
      <c r="A6" s="157" t="s">
        <v>82</v>
      </c>
      <c r="B6" s="204" t="s">
        <v>21</v>
      </c>
      <c r="C6" s="205"/>
      <c r="D6" s="205"/>
      <c r="E6" s="205"/>
      <c r="F6" s="205"/>
      <c r="G6" s="205"/>
      <c r="H6" s="205"/>
      <c r="I6" s="206"/>
      <c r="J6" s="212">
        <f>'Evolucion Stock y Ventas'!$B$16</f>
        <v>3462</v>
      </c>
      <c r="K6" s="196"/>
      <c r="L6" s="196"/>
      <c r="M6" s="196"/>
      <c r="N6" s="196"/>
      <c r="O6" s="196"/>
      <c r="P6" s="196"/>
      <c r="Q6" s="197"/>
      <c r="R6" s="196">
        <f>'Evolucion Stock y Ventas'!$B$16</f>
        <v>3462</v>
      </c>
      <c r="S6" s="196"/>
      <c r="T6" s="196"/>
      <c r="U6" s="196"/>
      <c r="V6" s="196"/>
      <c r="W6" s="196"/>
      <c r="X6" s="196"/>
      <c r="Y6" s="197"/>
    </row>
    <row r="7" spans="1:25" x14ac:dyDescent="0.25">
      <c r="A7" s="213" t="s">
        <v>83</v>
      </c>
      <c r="B7" s="201" t="s">
        <v>21</v>
      </c>
      <c r="C7" s="202"/>
      <c r="D7" s="202"/>
      <c r="E7" s="202"/>
      <c r="F7" s="202"/>
      <c r="G7" s="202"/>
      <c r="H7" s="202"/>
      <c r="I7" s="203"/>
      <c r="J7" s="211">
        <f>'Evolucion Produccion'!G13</f>
        <v>86363</v>
      </c>
      <c r="K7" s="194"/>
      <c r="L7" s="194"/>
      <c r="M7" s="194"/>
      <c r="N7" s="194"/>
      <c r="O7" s="194"/>
      <c r="P7" s="194"/>
      <c r="Q7" s="195"/>
      <c r="R7" s="194">
        <f>'Evolucion Produccion'!G18</f>
        <v>99999.999999999985</v>
      </c>
      <c r="S7" s="194"/>
      <c r="T7" s="194"/>
      <c r="U7" s="194"/>
      <c r="V7" s="194"/>
      <c r="W7" s="194"/>
      <c r="X7" s="194"/>
      <c r="Y7" s="195"/>
    </row>
    <row r="8" spans="1:25" x14ac:dyDescent="0.25">
      <c r="A8" s="214"/>
      <c r="B8" s="106" t="s">
        <v>21</v>
      </c>
      <c r="C8" s="105" t="s">
        <v>21</v>
      </c>
      <c r="D8" s="105" t="s">
        <v>21</v>
      </c>
      <c r="E8" s="105" t="s">
        <v>21</v>
      </c>
      <c r="F8" s="105" t="s">
        <v>21</v>
      </c>
      <c r="G8" s="105" t="s">
        <v>21</v>
      </c>
      <c r="H8" s="105" t="s">
        <v>21</v>
      </c>
      <c r="I8" s="107" t="s">
        <v>21</v>
      </c>
      <c r="J8" s="128">
        <f>[1]Datos!$F$8*'Evolucion Produccion'!$G$13</f>
        <v>15890.791999999999</v>
      </c>
      <c r="K8" s="100">
        <f>[1]Datos!$F$9*'Evolucion Produccion'!$G$13</f>
        <v>15890.791999999999</v>
      </c>
      <c r="L8" s="101">
        <f>[1]Datos!$F$10*'Evolucion Produccion'!$G$13</f>
        <v>2860.3425599999996</v>
      </c>
      <c r="M8" s="100">
        <f>[1]Datos!$F$11*'Evolucion Produccion'!$G$13</f>
        <v>15890.791999999999</v>
      </c>
      <c r="N8" s="100">
        <f>[1]Datos!$F$12*'Evolucion Produccion'!$G$13</f>
        <v>21418.024000000001</v>
      </c>
      <c r="O8" s="100">
        <f>[1]Datos!$F$13*'Evolucion Produccion'!$G$13</f>
        <v>38604.260999999999</v>
      </c>
      <c r="P8" s="100">
        <f>[1]Datos!$F$14*'Evolucion Produccion'!$G$13</f>
        <v>172726</v>
      </c>
      <c r="Q8" s="102">
        <f>[1]Datos!$F$15*'Evolucion Produccion'!$G$13</f>
        <v>146817.1</v>
      </c>
      <c r="R8" s="103">
        <f>'[1]Proceso y Materiales'!$AD$13</f>
        <v>18400</v>
      </c>
      <c r="S8" s="104">
        <f>'[1]Proceso y Materiales'!$AD$14</f>
        <v>18400</v>
      </c>
      <c r="T8" s="100">
        <f>'[1]Proceso y Materiales'!$AD$15</f>
        <v>3311.9999999999995</v>
      </c>
      <c r="U8" s="103">
        <f>'[1]Proceso y Materiales'!$AD$16</f>
        <v>18400</v>
      </c>
      <c r="V8" s="104">
        <f>'[1]Proceso y Materiales'!$AD$17</f>
        <v>24800</v>
      </c>
      <c r="W8" s="100">
        <f>'[1]Proceso y Materiales'!$AD$18</f>
        <v>44700</v>
      </c>
      <c r="X8" s="101">
        <f>'[1]Proceso y Materiales'!$AD$19</f>
        <v>200000</v>
      </c>
      <c r="Y8" s="102">
        <f>'[1]Proceso y Materiales'!$AD$20</f>
        <v>170000</v>
      </c>
    </row>
    <row r="9" spans="1:25" x14ac:dyDescent="0.25">
      <c r="A9" s="158" t="s">
        <v>84</v>
      </c>
      <c r="B9" s="106" t="s">
        <v>21</v>
      </c>
      <c r="C9" s="105" t="s">
        <v>21</v>
      </c>
      <c r="D9" s="105" t="s">
        <v>21</v>
      </c>
      <c r="E9" s="105" t="s">
        <v>21</v>
      </c>
      <c r="F9" s="105" t="s">
        <v>21</v>
      </c>
      <c r="G9" s="105" t="s">
        <v>21</v>
      </c>
      <c r="H9" s="105" t="s">
        <v>21</v>
      </c>
      <c r="I9" s="107" t="s">
        <v>21</v>
      </c>
      <c r="J9" s="108">
        <f>'Consumo MP'!$G$11*[1]Datos!$D$9</f>
        <v>1503.195804267963</v>
      </c>
      <c r="K9" s="109">
        <f>'Consumo MP'!$G12*[1]Datos!$D$9</f>
        <v>1503.195804267963</v>
      </c>
      <c r="L9" s="110">
        <f>'Consumo MP'!$G13*[1]Datos!$D$9</f>
        <v>270.57524476823329</v>
      </c>
      <c r="M9" s="109">
        <f>'Consumo MP'!$G14*[1]Datos!$D$9</f>
        <v>1503.195804267963</v>
      </c>
      <c r="N9" s="109">
        <f>'Consumo MP'!$G15*[1]Datos!$D$10</f>
        <v>151.01779558832868</v>
      </c>
      <c r="O9" s="109">
        <f>'Consumo MP'!$G16*[1]Datos!$D$10</f>
        <v>272.1973976934795</v>
      </c>
      <c r="P9" s="109" t="s">
        <v>21</v>
      </c>
      <c r="Q9" s="111" t="s">
        <v>21</v>
      </c>
      <c r="R9" s="115">
        <f>'[1]Proceso y Materiales'!$C$24</f>
        <v>1600.7999999999993</v>
      </c>
      <c r="S9" s="112">
        <f>'[1]Proceso y Materiales'!$C$25</f>
        <v>1600.7999999999993</v>
      </c>
      <c r="T9" s="113">
        <f>'[1]Proceso y Materiales'!$C$26</f>
        <v>288.14399999999978</v>
      </c>
      <c r="U9" s="112">
        <f>'[1]Proceso y Materiales'!$C$27</f>
        <v>1600.7999999999993</v>
      </c>
      <c r="V9" s="114">
        <f>'[1]Proceso y Materiales'!$C$28</f>
        <v>173.59999999999854</v>
      </c>
      <c r="W9" s="113">
        <f>'[1]Proceso y Materiales'!$C$29</f>
        <v>312.89999999999418</v>
      </c>
      <c r="X9" s="110" t="s">
        <v>21</v>
      </c>
      <c r="Y9" s="111" t="s">
        <v>21</v>
      </c>
    </row>
    <row r="10" spans="1:25" ht="15.75" thickBot="1" x14ac:dyDescent="0.3">
      <c r="A10" s="159" t="s">
        <v>85</v>
      </c>
      <c r="B10" s="99" t="s">
        <v>21</v>
      </c>
      <c r="C10" s="98" t="s">
        <v>21</v>
      </c>
      <c r="D10" s="98" t="s">
        <v>21</v>
      </c>
      <c r="E10" s="98" t="s">
        <v>21</v>
      </c>
      <c r="F10" s="98" t="s">
        <v>21</v>
      </c>
      <c r="G10" s="98" t="s">
        <v>21</v>
      </c>
      <c r="H10" s="98" t="s">
        <v>21</v>
      </c>
      <c r="I10" s="121" t="s">
        <v>21</v>
      </c>
      <c r="J10" s="94">
        <f>'Consumo MP'!$B28</f>
        <v>4.6945109170305672</v>
      </c>
      <c r="K10" s="95">
        <f>'Consumo MP'!$B29</f>
        <v>4.6945109170305672</v>
      </c>
      <c r="L10" s="96">
        <f>'Consumo MP'!$B30</f>
        <v>0.84501196506550202</v>
      </c>
      <c r="M10" s="95">
        <f>'Consumo MP'!$B31</f>
        <v>4.6945109170305672</v>
      </c>
      <c r="N10" s="95">
        <f>'Consumo MP'!$B32</f>
        <v>5.8617074235807856</v>
      </c>
      <c r="O10" s="95">
        <f>'Consumo MP'!$B33</f>
        <v>10.565254912663754</v>
      </c>
      <c r="P10" s="95">
        <f>'Consumo MP'!$B34</f>
        <v>46.943231441048034</v>
      </c>
      <c r="Q10" s="93">
        <f>'Consumo MP'!$B35</f>
        <v>39.901746724890835</v>
      </c>
      <c r="R10" s="96">
        <f>'Consumo MP'!$B28</f>
        <v>4.6945109170305672</v>
      </c>
      <c r="S10" s="92">
        <f>'Consumo MP'!$B29</f>
        <v>4.6945109170305672</v>
      </c>
      <c r="T10" s="95">
        <f>'Consumo MP'!$B30</f>
        <v>0.84501196506550202</v>
      </c>
      <c r="U10" s="92">
        <f>'Consumo MP'!$B31</f>
        <v>4.6945109170305672</v>
      </c>
      <c r="V10" s="97">
        <f>'Consumo MP'!$B32</f>
        <v>5.8617074235807856</v>
      </c>
      <c r="W10" s="95">
        <f>'Consumo MP'!$B33</f>
        <v>10.565254912663754</v>
      </c>
      <c r="X10" s="96">
        <f>'Consumo MP'!$B34</f>
        <v>46.943231441048034</v>
      </c>
      <c r="Y10" s="93">
        <f>'Consumo MP'!$B35</f>
        <v>39.901746724890835</v>
      </c>
    </row>
    <row r="11" spans="1:25" x14ac:dyDescent="0.25">
      <c r="A11" s="91" t="s">
        <v>86</v>
      </c>
      <c r="B11" s="148" t="s">
        <v>21</v>
      </c>
      <c r="C11" s="149" t="s">
        <v>21</v>
      </c>
      <c r="D11" s="149" t="s">
        <v>21</v>
      </c>
      <c r="E11" s="149" t="s">
        <v>21</v>
      </c>
      <c r="F11" s="149" t="s">
        <v>21</v>
      </c>
      <c r="G11" s="119" t="s">
        <v>21</v>
      </c>
      <c r="H11" s="149" t="s">
        <v>21</v>
      </c>
      <c r="I11" s="120" t="s">
        <v>21</v>
      </c>
      <c r="J11" s="150">
        <f>'Consumo MP'!$G11</f>
        <v>17278.112692735209</v>
      </c>
      <c r="K11" s="151">
        <f>'Consumo MP'!$G12</f>
        <v>17278.112692735209</v>
      </c>
      <c r="L11" s="152">
        <f>'Consumo MP'!$G13</f>
        <v>3110.0602846923371</v>
      </c>
      <c r="M11" s="153">
        <f>'Consumo MP'!$G14</f>
        <v>17278.112692735209</v>
      </c>
      <c r="N11" s="151">
        <f>'Consumo MP'!$G15</f>
        <v>21573.97079833267</v>
      </c>
      <c r="O11" s="154">
        <f>'Consumo MP'!$G16</f>
        <v>38885.342527639928</v>
      </c>
      <c r="P11" s="154">
        <f>'Consumo MP'!$G17</f>
        <v>172772.94323144105</v>
      </c>
      <c r="Q11" s="155">
        <f>'Consumo MP'!$G18</f>
        <v>146858.08356490667</v>
      </c>
      <c r="R11" s="153">
        <f>'Consumo MP'!$K11</f>
        <v>20000.8</v>
      </c>
      <c r="S11" s="154">
        <f>'Consumo MP'!$K12</f>
        <v>20000.8</v>
      </c>
      <c r="T11" s="154">
        <f>'Consumo MP'!$K13</f>
        <v>3600.1439999999993</v>
      </c>
      <c r="U11" s="154">
        <f>'Consumo MP'!$K14</f>
        <v>20000.8</v>
      </c>
      <c r="V11" s="151">
        <f>'Consumo MP'!$K15</f>
        <v>24973.599999999999</v>
      </c>
      <c r="W11" s="151">
        <f>'Consumo MP'!$K16</f>
        <v>45012.899999999994</v>
      </c>
      <c r="X11" s="151">
        <f>'Consumo MP'!$K17</f>
        <v>200000</v>
      </c>
      <c r="Y11" s="156">
        <f>'Consumo MP'!$K18</f>
        <v>170000</v>
      </c>
    </row>
    <row r="12" spans="1:25" ht="15.75" thickBot="1" x14ac:dyDescent="0.3">
      <c r="A12" s="157" t="s">
        <v>87</v>
      </c>
      <c r="B12" s="94">
        <f>'Consumo MP'!$B4</f>
        <v>2727.3818181818178</v>
      </c>
      <c r="C12" s="95">
        <f>'Consumo MP'!$B5</f>
        <v>2727.3818181818178</v>
      </c>
      <c r="D12" s="95">
        <f>'Consumo MP'!$B6</f>
        <v>490.9287272727272</v>
      </c>
      <c r="E12" s="95">
        <f>'Consumo MP'!$B7</f>
        <v>2727.3818181818178</v>
      </c>
      <c r="F12" s="95">
        <f>'Consumo MP'!$B8</f>
        <v>3405.4909090909086</v>
      </c>
      <c r="G12" s="95">
        <f>'Consumo MP'!$B9</f>
        <v>6138.1227272727265</v>
      </c>
      <c r="H12" s="95">
        <f>'Consumo MP'!$B10</f>
        <v>27272</v>
      </c>
      <c r="I12" s="93">
        <f>'Consumo MP'!$B11</f>
        <v>23181.81818181818</v>
      </c>
      <c r="J12" s="116">
        <f>'Programa de Compras'!$B35</f>
        <v>384.81539200000026</v>
      </c>
      <c r="K12" s="162">
        <f>'Programa de Compras'!$D35</f>
        <v>384.81539200000026</v>
      </c>
      <c r="L12" s="163">
        <f>'Programa de Compras'!$F35</f>
        <v>69.266770559999983</v>
      </c>
      <c r="M12" s="92">
        <f>'Programa de Compras'!$H35</f>
        <v>384.81539200000026</v>
      </c>
      <c r="N12" s="162">
        <f>'Programa de Compras'!$J35</f>
        <v>480.49206400000003</v>
      </c>
      <c r="O12" s="163">
        <f>'Programa de Compras'!$L35</f>
        <v>866.04819599999973</v>
      </c>
      <c r="P12" s="163">
        <f>'Programa de Compras'!$N35</f>
        <v>3848</v>
      </c>
      <c r="Q12" s="96">
        <f>'Programa de Compras'!$P35</f>
        <v>3270.8000000000015</v>
      </c>
      <c r="R12" s="116">
        <f>'Programa de Compras'!$B35</f>
        <v>384.81539200000026</v>
      </c>
      <c r="S12" s="162">
        <f>'Programa de Compras'!$D35</f>
        <v>384.81539200000026</v>
      </c>
      <c r="T12" s="162">
        <f>'Programa de Compras'!$F35</f>
        <v>69.266770559999983</v>
      </c>
      <c r="U12" s="162">
        <f>'Programa de Compras'!$H35</f>
        <v>384.81539200000026</v>
      </c>
      <c r="V12" s="162">
        <f>'Programa de Compras'!$J35</f>
        <v>480.49206400000003</v>
      </c>
      <c r="W12" s="162">
        <f>'Programa de Compras'!$L35</f>
        <v>866.04819599999973</v>
      </c>
      <c r="X12" s="162">
        <f>'Programa de Compras'!$N35</f>
        <v>3848</v>
      </c>
      <c r="Y12" s="161">
        <f>'Programa de Compras'!$P35</f>
        <v>3270.8000000000015</v>
      </c>
    </row>
    <row r="13" spans="1:25" ht="15.75" thickBot="1" x14ac:dyDescent="0.3">
      <c r="A13" s="2" t="s">
        <v>88</v>
      </c>
      <c r="B13" s="94">
        <f>'Consumo MP'!$B4</f>
        <v>2727.3818181818178</v>
      </c>
      <c r="C13" s="95">
        <f>'Consumo MP'!$B5</f>
        <v>2727.3818181818178</v>
      </c>
      <c r="D13" s="95">
        <f>'Consumo MP'!$B6</f>
        <v>490.9287272727272</v>
      </c>
      <c r="E13" s="95">
        <f>'Consumo MP'!$B7</f>
        <v>2727.3818181818178</v>
      </c>
      <c r="F13" s="95">
        <f>'Consumo MP'!$B8</f>
        <v>3405.4909090909086</v>
      </c>
      <c r="G13" s="95">
        <f>'Consumo MP'!$B9</f>
        <v>6138.1227272727265</v>
      </c>
      <c r="H13" s="95">
        <f>'Consumo MP'!$B10</f>
        <v>27272</v>
      </c>
      <c r="I13" s="93">
        <f>'Consumo MP'!$B11</f>
        <v>23181.81818181818</v>
      </c>
      <c r="J13" s="129">
        <f>J11+J12-B12</f>
        <v>14935.546266553392</v>
      </c>
      <c r="K13" s="92">
        <f>K11+K12-C12</f>
        <v>14935.546266553392</v>
      </c>
      <c r="L13" s="131">
        <f t="shared" ref="L13:Q13" si="0">L11+L12-D12</f>
        <v>2688.3983279796103</v>
      </c>
      <c r="M13" s="131">
        <f t="shared" si="0"/>
        <v>14935.546266553392</v>
      </c>
      <c r="N13" s="131">
        <f t="shared" si="0"/>
        <v>18648.971953241762</v>
      </c>
      <c r="O13" s="131">
        <f t="shared" si="0"/>
        <v>33613.267996367198</v>
      </c>
      <c r="P13" s="131">
        <f t="shared" si="0"/>
        <v>149348.94323144105</v>
      </c>
      <c r="Q13" s="130">
        <f t="shared" si="0"/>
        <v>126947.06538308848</v>
      </c>
      <c r="R13" s="116">
        <f t="shared" ref="R13" si="1">R11+R12-J12</f>
        <v>20000.8</v>
      </c>
      <c r="S13" s="131">
        <f t="shared" ref="S13" si="2">S11+S12-K12</f>
        <v>20000.8</v>
      </c>
      <c r="T13" s="132">
        <f t="shared" ref="T13" si="3">T11+T12-L12</f>
        <v>3600.1439999999993</v>
      </c>
      <c r="U13" s="92">
        <f t="shared" ref="U13" si="4">U11+U12-M12</f>
        <v>20000.8</v>
      </c>
      <c r="V13" s="131">
        <f t="shared" ref="V13" si="5">V11+V12-N12</f>
        <v>24973.599999999999</v>
      </c>
      <c r="W13" s="131">
        <f t="shared" ref="W13" si="6">W11+W12-O12</f>
        <v>45012.899999999994</v>
      </c>
      <c r="X13" s="132">
        <f t="shared" ref="X13" si="7">X11+X12-P12</f>
        <v>200000</v>
      </c>
      <c r="Y13" s="93">
        <f t="shared" ref="Y13" si="8">Y11+Y12-Q12</f>
        <v>170000</v>
      </c>
    </row>
    <row r="14" spans="1:25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x14ac:dyDescent="0.25">
      <c r="A16" s="89" t="s">
        <v>89</v>
      </c>
    </row>
    <row r="17" spans="1:1" x14ac:dyDescent="0.25">
      <c r="A17" s="89" t="s">
        <v>90</v>
      </c>
    </row>
  </sheetData>
  <mergeCells count="14">
    <mergeCell ref="A2:A4"/>
    <mergeCell ref="J2:Q2"/>
    <mergeCell ref="J5:Q5"/>
    <mergeCell ref="J6:Q6"/>
    <mergeCell ref="J7:Q7"/>
    <mergeCell ref="A7:A8"/>
    <mergeCell ref="R5:Y5"/>
    <mergeCell ref="R6:Y6"/>
    <mergeCell ref="R7:Y7"/>
    <mergeCell ref="B2:I2"/>
    <mergeCell ref="B5:I5"/>
    <mergeCell ref="B6:I6"/>
    <mergeCell ref="B7:I7"/>
    <mergeCell ref="R2:Y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Evolucion Produccion</vt:lpstr>
      <vt:lpstr>Evolucion Stock y Ventas</vt:lpstr>
      <vt:lpstr>Consumo MP</vt:lpstr>
      <vt:lpstr>Programa de Compras</vt:lpstr>
      <vt:lpstr>Resumen General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Emiliano Lavecchia</dc:creator>
  <cp:keywords/>
  <dc:description/>
  <cp:lastModifiedBy>Emiliano Lavecchia</cp:lastModifiedBy>
  <cp:revision/>
  <dcterms:created xsi:type="dcterms:W3CDTF">2016-06-22T01:36:42Z</dcterms:created>
  <dcterms:modified xsi:type="dcterms:W3CDTF">2016-08-28T18:54:59Z</dcterms:modified>
  <cp:category/>
  <cp:contentStatus/>
</cp:coreProperties>
</file>